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08" windowWidth="14808" windowHeight="1116" tabRatio="852"/>
  </bookViews>
  <sheets>
    <sheet name="прил 5 (Рз,ПР 24-26)" sheetId="6" r:id="rId1"/>
    <sheet name="прил 6 (ЦС,ВР 24)" sheetId="7" r:id="rId2"/>
    <sheet name="прил8 (ведом 24)" sheetId="3" r:id="rId3"/>
    <sheet name="прил.10 (Источники 24-26)" sheetId="8" r:id="rId4"/>
  </sheets>
  <definedNames>
    <definedName name="_xlnm._FilterDatabase" localSheetId="0" hidden="1">'прил 5 (Рз,ПР 24-26)'!$A$4:$A$63</definedName>
    <definedName name="_xlnm._FilterDatabase" localSheetId="1" hidden="1">'прил 6 (ЦС,ВР 24)'!$A$4:$H$535</definedName>
    <definedName name="_xlnm._FilterDatabase" localSheetId="2" hidden="1">'прил8 (ведом 24)'!$A$4:$M$823</definedName>
    <definedName name="Z_168CADD9_CFDC_4445_BFE6_DAD4B9423C72_.wvu.FilterData" localSheetId="1" hidden="1">'прил 6 (ЦС,ВР 24)'!#REF!</definedName>
    <definedName name="Z_1F25B6A1_C9F7_11D8_A2FD_006098EF8B30_.wvu.FilterData" localSheetId="1" hidden="1">'прил 6 (ЦС,ВР 24)'!#REF!</definedName>
    <definedName name="Z_29D950F2_21ED_48E6_BFC6_87DD89E0125A_.wvu.FilterData" localSheetId="1" hidden="1">'прил 6 (ЦС,ВР 24)'!#REF!</definedName>
    <definedName name="Z_2CA7FCD5_27A5_4474_9D49_7A7E23BD2FF9_.wvu.FilterData" localSheetId="1" hidden="1">'прил 6 (ЦС,ВР 24)'!#REF!</definedName>
    <definedName name="Z_48E28AC5_4E0A_4FBA_AE6D_340F9E8D4B3C_.wvu.FilterData" localSheetId="1" hidden="1">'прил 6 (ЦС,ВР 24)'!#REF!</definedName>
    <definedName name="Z_6398E0F2_3205_40F4_BF0A_C9F4D0DA9A75_.wvu.FilterData" localSheetId="1" hidden="1">'прил 6 (ЦС,ВР 24)'!#REF!</definedName>
    <definedName name="Z_64DF1B77_0EDD_4B56_A91C_5E003BE599EF_.wvu.FilterData" localSheetId="1" hidden="1">'прил 6 (ЦС,ВР 24)'!#REF!</definedName>
    <definedName name="Z_6786C020_BCF1_463A_B3E9_7DE69D46EAB3_.wvu.FilterData" localSheetId="1" hidden="1">'прил 6 (ЦС,ВР 24)'!#REF!</definedName>
    <definedName name="Z_8E2E7D81_C767_11D8_A2FD_006098EF8B30_.wvu.FilterData" localSheetId="1" hidden="1">'прил 6 (ЦС,ВР 24)'!#REF!</definedName>
    <definedName name="Z_97D0CDFA_8A34_4B3C_BA32_D4F0E3218B75_.wvu.FilterData" localSheetId="1" hidden="1">'прил 6 (ЦС,ВР 24)'!#REF!</definedName>
    <definedName name="Z_B246FE0E_E986_4211_B02A_04E4565C0FED_.wvu.Cols" localSheetId="1" hidden="1">'прил 6 (ЦС,ВР 24)'!$A:$A,'прил 6 (ЦС,ВР 24)'!#REF!</definedName>
    <definedName name="Z_B246FE0E_E986_4211_B02A_04E4565C0FED_.wvu.FilterData" localSheetId="1" hidden="1">'прил 6 (ЦС,ВР 24)'!#REF!</definedName>
    <definedName name="Z_B246FE0E_E986_4211_B02A_04E4565C0FED_.wvu.PrintArea" localSheetId="1" hidden="1">'прил 6 (ЦС,ВР 24)'!#REF!</definedName>
    <definedName name="Z_B246FE0E_E986_4211_B02A_04E4565C0FED_.wvu.PrintTitles" localSheetId="1" hidden="1">'прил 6 (ЦС,ВР 24)'!#REF!</definedName>
    <definedName name="Z_C54CDF8B_FA5C_4A02_B343_3FEFD9721392_.wvu.FilterData" localSheetId="1" hidden="1">'прил 6 (ЦС,ВР 24)'!#REF!</definedName>
    <definedName name="Z_D7174C22_B878_4584_A218_37ED88979064_.wvu.FilterData" localSheetId="1" hidden="1">'прил 6 (ЦС,ВР 24)'!#REF!</definedName>
    <definedName name="Z_DD7538FB_7299_4DEE_90D5_2739132A1616_.wvu.FilterData" localSheetId="1" hidden="1">'прил 6 (ЦС,ВР 24)'!#REF!</definedName>
    <definedName name="Z_E4B436A8_4A5B_422F_8C0E_9267F763D19D_.wvu.FilterData" localSheetId="1" hidden="1">'прил 6 (ЦС,ВР 24)'!#REF!</definedName>
    <definedName name="Z_E6BB4361_1D58_11D9_A2FD_006098EF8B30_.wvu.FilterData" localSheetId="1" hidden="1">'прил 6 (ЦС,ВР 24)'!#REF!</definedName>
    <definedName name="Z_EF486DA3_1DF3_11D9_A2FD_006098EF8B30_.wvu.FilterData" localSheetId="1" hidden="1">'прил 6 (ЦС,ВР 24)'!#REF!</definedName>
    <definedName name="Z_EF486DA8_1DF3_11D9_A2FD_006098EF8B30_.wvu.FilterData" localSheetId="1" hidden="1">'прил 6 (ЦС,ВР 24)'!#REF!</definedName>
    <definedName name="Z_EF486DAA_1DF3_11D9_A2FD_006098EF8B30_.wvu.FilterData" localSheetId="1" hidden="1">'прил 6 (ЦС,ВР 24)'!#REF!</definedName>
    <definedName name="Z_EF486DAC_1DF3_11D9_A2FD_006098EF8B30_.wvu.FilterData" localSheetId="1" hidden="1">'прил 6 (ЦС,ВР 24)'!#REF!</definedName>
    <definedName name="Z_EF5A4981_C8E4_11D8_A2FC_006098EF8BA8_.wvu.Cols" localSheetId="1" hidden="1">'прил 6 (ЦС,ВР 24)'!$A:$A,'прил 6 (ЦС,ВР 24)'!#REF!,'прил 6 (ЦС,ВР 24)'!#REF!</definedName>
    <definedName name="Z_EF5A4981_C8E4_11D8_A2FC_006098EF8BA8_.wvu.FilterData" localSheetId="1" hidden="1">'прил 6 (ЦС,ВР 24)'!#REF!</definedName>
    <definedName name="Z_EF5A4981_C8E4_11D8_A2FC_006098EF8BA8_.wvu.PrintArea" localSheetId="1" hidden="1">'прил 6 (ЦС,ВР 24)'!#REF!</definedName>
    <definedName name="Z_EF5A4981_C8E4_11D8_A2FC_006098EF8BA8_.wvu.PrintTitles" localSheetId="1" hidden="1">'прил 6 (ЦС,ВР 24)'!#REF!</definedName>
    <definedName name="_xlnm.Print_Titles" localSheetId="0">'прил 5 (Рз,ПР 24-26)'!$14:$14</definedName>
    <definedName name="_xlnm.Print_Titles" localSheetId="1">'прил 6 (ЦС,ВР 24)'!$12:$12</definedName>
    <definedName name="_xlnm.Print_Titles" localSheetId="3">'прил.10 (Источники 24-26)'!$13:$13</definedName>
    <definedName name="_xlnm.Print_Titles" localSheetId="2">'прил8 (ведом 24)'!$13:$13</definedName>
    <definedName name="_xlnm.Print_Area" localSheetId="0">'прил 5 (Рз,ПР 24-26)'!$A$1:$F$64</definedName>
    <definedName name="_xlnm.Print_Area" localSheetId="1">'прил 6 (ЦС,ВР 24)'!$A$1:$H$525</definedName>
    <definedName name="_xlnm.Print_Area" localSheetId="3">'прил.10 (Источники 24-26)'!$A$1:$E$39</definedName>
    <definedName name="_xlnm.Print_Area" localSheetId="2">'прил8 (ведом 24)'!$A$1:$M$713</definedName>
  </definedNames>
  <calcPr calcId="145621" iterate="1"/>
</workbook>
</file>

<file path=xl/calcChain.xml><?xml version="1.0" encoding="utf-8"?>
<calcChain xmlns="http://schemas.openxmlformats.org/spreadsheetml/2006/main">
  <c r="L502" i="3" l="1"/>
  <c r="L501" i="3" s="1"/>
  <c r="L500" i="3"/>
  <c r="L498" i="3"/>
  <c r="M383" i="3" l="1"/>
  <c r="M382" i="3"/>
  <c r="M51" i="3" l="1"/>
  <c r="H174" i="7" l="1"/>
  <c r="H173" i="7" s="1"/>
  <c r="M557" i="3"/>
  <c r="L558" i="3"/>
  <c r="L557" i="3" s="1"/>
  <c r="M255" i="3" l="1"/>
  <c r="M666" i="3" l="1"/>
  <c r="M622" i="3"/>
  <c r="M621" i="3"/>
  <c r="M579" i="3"/>
  <c r="M363" i="3"/>
  <c r="M277" i="3"/>
  <c r="M521" i="3" l="1"/>
  <c r="M394" i="3" l="1"/>
  <c r="H39" i="7" l="1"/>
  <c r="M65" i="3" l="1"/>
  <c r="M69" i="3"/>
  <c r="M555" i="3" l="1"/>
  <c r="M562" i="3"/>
  <c r="M525" i="3" l="1"/>
  <c r="M523" i="3" l="1"/>
  <c r="M580" i="3" l="1"/>
  <c r="M384" i="3" l="1"/>
  <c r="M391" i="3"/>
  <c r="M388" i="3"/>
  <c r="M386" i="3" s="1"/>
  <c r="M393" i="3"/>
  <c r="L387" i="3"/>
  <c r="M390" i="3" l="1"/>
  <c r="H357" i="7" l="1"/>
  <c r="M299" i="3"/>
  <c r="M298" i="3" s="1"/>
  <c r="M297" i="3" s="1"/>
  <c r="L300" i="3"/>
  <c r="L299" i="3" s="1"/>
  <c r="L298" i="3" s="1"/>
  <c r="L297" i="3" s="1"/>
  <c r="M264" i="3" l="1"/>
  <c r="M178" i="3" l="1"/>
  <c r="H489" i="7"/>
  <c r="H488" i="7" s="1"/>
  <c r="H487" i="7" s="1"/>
  <c r="M73" i="3"/>
  <c r="M72" i="3" s="1"/>
  <c r="L74" i="3"/>
  <c r="L73" i="3" s="1"/>
  <c r="L72" i="3" s="1"/>
  <c r="M90" i="3" l="1"/>
  <c r="M30" i="3"/>
  <c r="M78" i="3"/>
  <c r="M77" i="3"/>
  <c r="M289" i="3" l="1"/>
  <c r="M110" i="3"/>
  <c r="M105" i="3"/>
  <c r="M29" i="3"/>
  <c r="K704" i="3" l="1"/>
  <c r="K701" i="3"/>
  <c r="K698" i="3"/>
  <c r="K691" i="3"/>
  <c r="K688" i="3"/>
  <c r="K685" i="3"/>
  <c r="K682" i="3"/>
  <c r="K672" i="3"/>
  <c r="K671" i="3" s="1"/>
  <c r="K670" i="3" s="1"/>
  <c r="K669" i="3" s="1"/>
  <c r="K668" i="3" s="1"/>
  <c r="K667" i="3" s="1"/>
  <c r="K665" i="3"/>
  <c r="K661" i="3"/>
  <c r="K654" i="3"/>
  <c r="K653" i="3" s="1"/>
  <c r="K651" i="3"/>
  <c r="K650" i="3" s="1"/>
  <c r="K648" i="3"/>
  <c r="K647" i="3" s="1"/>
  <c r="K645" i="3"/>
  <c r="K644" i="3" s="1"/>
  <c r="K634" i="3"/>
  <c r="K633" i="3" s="1"/>
  <c r="K632" i="3" s="1"/>
  <c r="K631" i="3" s="1"/>
  <c r="K630" i="3" s="1"/>
  <c r="K628" i="3"/>
  <c r="K626" i="3"/>
  <c r="K624" i="3"/>
  <c r="K620" i="3"/>
  <c r="K616" i="3"/>
  <c r="K615" i="3" s="1"/>
  <c r="K614" i="3" s="1"/>
  <c r="K611" i="3"/>
  <c r="K610" i="3" s="1"/>
  <c r="K609" i="3" s="1"/>
  <c r="K608" i="3" s="1"/>
  <c r="K606" i="3"/>
  <c r="K605" i="3" s="1"/>
  <c r="K604" i="3" s="1"/>
  <c r="K600" i="3"/>
  <c r="K599" i="3"/>
  <c r="K596" i="3" s="1"/>
  <c r="K589" i="3"/>
  <c r="K588" i="3" s="1"/>
  <c r="K587" i="3" s="1"/>
  <c r="K586" i="3" s="1"/>
  <c r="K585" i="3" s="1"/>
  <c r="K584" i="3" s="1"/>
  <c r="K579" i="3"/>
  <c r="K578" i="3" s="1"/>
  <c r="K574" i="3"/>
  <c r="K570" i="3"/>
  <c r="K569" i="3" s="1"/>
  <c r="K568" i="3" s="1"/>
  <c r="K565" i="3"/>
  <c r="K564" i="3" s="1"/>
  <c r="K562" i="3"/>
  <c r="K561" i="3" s="1"/>
  <c r="K554" i="3"/>
  <c r="K553" i="3" s="1"/>
  <c r="K552" i="3" s="1"/>
  <c r="K551" i="3"/>
  <c r="K550" i="3" s="1"/>
  <c r="K548" i="3"/>
  <c r="K547" i="3"/>
  <c r="K546" i="3" s="1"/>
  <c r="K544" i="3"/>
  <c r="K543" i="3"/>
  <c r="K542" i="3" s="1"/>
  <c r="K535" i="3"/>
  <c r="K534" i="3" s="1"/>
  <c r="K532" i="3"/>
  <c r="K531" i="3" s="1"/>
  <c r="K527" i="3"/>
  <c r="K526" i="3" s="1"/>
  <c r="K525" i="3"/>
  <c r="K524" i="3" s="1"/>
  <c r="K522" i="3"/>
  <c r="K521" i="3"/>
  <c r="K520" i="3" s="1"/>
  <c r="K513" i="3"/>
  <c r="K512" i="3" s="1"/>
  <c r="K510" i="3"/>
  <c r="K509" i="3" s="1"/>
  <c r="K501" i="3"/>
  <c r="K499" i="3"/>
  <c r="K498" i="3"/>
  <c r="K489" i="3"/>
  <c r="K488" i="3" s="1"/>
  <c r="K487" i="3" s="1"/>
  <c r="K486" i="3" s="1"/>
  <c r="K485" i="3" s="1"/>
  <c r="K484" i="3" s="1"/>
  <c r="K482" i="3"/>
  <c r="K480" i="3"/>
  <c r="K476" i="3"/>
  <c r="K475" i="3"/>
  <c r="K473" i="3" s="1"/>
  <c r="K471" i="3"/>
  <c r="K469" i="3"/>
  <c r="K465" i="3"/>
  <c r="K464" i="3" s="1"/>
  <c r="K460" i="3"/>
  <c r="K459" i="3" s="1"/>
  <c r="K458" i="3" s="1"/>
  <c r="K454" i="3"/>
  <c r="K453" i="3" s="1"/>
  <c r="K452" i="3" s="1"/>
  <c r="K451" i="3" s="1"/>
  <c r="K450" i="3" s="1"/>
  <c r="K447" i="3"/>
  <c r="K445" i="3"/>
  <c r="K442" i="3"/>
  <c r="K440" i="3"/>
  <c r="K439" i="3"/>
  <c r="K438" i="3" s="1"/>
  <c r="K436" i="3"/>
  <c r="K434" i="3"/>
  <c r="K428" i="3"/>
  <c r="K427" i="3" s="1"/>
  <c r="K426" i="3" s="1"/>
  <c r="K423" i="3"/>
  <c r="K422" i="3" s="1"/>
  <c r="K418" i="3"/>
  <c r="K416" i="3"/>
  <c r="K412" i="3"/>
  <c r="K411" i="3"/>
  <c r="K410" i="3" s="1"/>
  <c r="K408" i="3"/>
  <c r="K405" i="3"/>
  <c r="K401" i="3"/>
  <c r="K397" i="3"/>
  <c r="K413" i="3"/>
  <c r="K395" i="3"/>
  <c r="K392" i="3"/>
  <c r="K391" i="3"/>
  <c r="K390" i="3"/>
  <c r="K386" i="3"/>
  <c r="K381" i="3"/>
  <c r="K375" i="3"/>
  <c r="K374" i="3" s="1"/>
  <c r="K373" i="3" s="1"/>
  <c r="K372" i="3" s="1"/>
  <c r="K370" i="3"/>
  <c r="K368" i="3"/>
  <c r="K366" i="3"/>
  <c r="K365" i="3"/>
  <c r="K364" i="3" s="1"/>
  <c r="K362" i="3"/>
  <c r="K360" i="3"/>
  <c r="K353" i="3"/>
  <c r="K352" i="3" s="1"/>
  <c r="K350" i="3"/>
  <c r="K349" i="3" s="1"/>
  <c r="K347" i="3"/>
  <c r="K346" i="3" s="1"/>
  <c r="K344" i="3"/>
  <c r="K343" i="3" s="1"/>
  <c r="K335" i="3"/>
  <c r="K334" i="3" s="1"/>
  <c r="K333" i="3" s="1"/>
  <c r="K332" i="3" s="1"/>
  <c r="K331" i="3" s="1"/>
  <c r="K330" i="3" s="1"/>
  <c r="K328" i="3"/>
  <c r="K326" i="3"/>
  <c r="K319" i="3"/>
  <c r="K318" i="3" s="1"/>
  <c r="K317" i="3" s="1"/>
  <c r="K316" i="3" s="1"/>
  <c r="K315" i="3" s="1"/>
  <c r="K313" i="3"/>
  <c r="K312" i="3" s="1"/>
  <c r="K311" i="3" s="1"/>
  <c r="K310" i="3" s="1"/>
  <c r="K309" i="3" s="1"/>
  <c r="K307" i="3"/>
  <c r="K306" i="3" s="1"/>
  <c r="K305" i="3" s="1"/>
  <c r="K304" i="3" s="1"/>
  <c r="K303" i="3" s="1"/>
  <c r="K302" i="3" s="1"/>
  <c r="K301" i="3" s="1"/>
  <c r="K295" i="3"/>
  <c r="K294" i="3" s="1"/>
  <c r="K293" i="3" s="1"/>
  <c r="K292" i="3" s="1"/>
  <c r="K291" i="3" s="1"/>
  <c r="K290" i="3" s="1"/>
  <c r="K288" i="3"/>
  <c r="K287" i="3" s="1"/>
  <c r="K286" i="3" s="1"/>
  <c r="K285" i="3" s="1"/>
  <c r="K284" i="3" s="1"/>
  <c r="K282" i="3"/>
  <c r="K281" i="3" s="1"/>
  <c r="K280" i="3" s="1"/>
  <c r="K279" i="3" s="1"/>
  <c r="K277" i="3"/>
  <c r="K276" i="3" s="1"/>
  <c r="K275" i="3" s="1"/>
  <c r="K274" i="3" s="1"/>
  <c r="K272" i="3"/>
  <c r="K271" i="3" s="1"/>
  <c r="K269" i="3"/>
  <c r="K268" i="3" s="1"/>
  <c r="K266" i="3"/>
  <c r="K263" i="3"/>
  <c r="K262" i="3" s="1"/>
  <c r="K259" i="3"/>
  <c r="K258" i="3" s="1"/>
  <c r="K254" i="3"/>
  <c r="K253" i="3" s="1"/>
  <c r="K251" i="3"/>
  <c r="K250" i="3" s="1"/>
  <c r="K242" i="3"/>
  <c r="K241" i="3" s="1"/>
  <c r="K240" i="3" s="1"/>
  <c r="K239" i="3" s="1"/>
  <c r="K238" i="3" s="1"/>
  <c r="K236" i="3"/>
  <c r="K234" i="3"/>
  <c r="K233" i="3"/>
  <c r="K232" i="3" s="1"/>
  <c r="K224" i="3"/>
  <c r="K223" i="3" s="1"/>
  <c r="K222" i="3" s="1"/>
  <c r="K221" i="3" s="1"/>
  <c r="K220" i="3" s="1"/>
  <c r="K219" i="3" s="1"/>
  <c r="K217" i="3"/>
  <c r="K216" i="3" s="1"/>
  <c r="K215" i="3" s="1"/>
  <c r="K214" i="3" s="1"/>
  <c r="K213" i="3" s="1"/>
  <c r="K212" i="3" s="1"/>
  <c r="K210" i="3"/>
  <c r="K209" i="3" s="1"/>
  <c r="K207" i="3"/>
  <c r="K206" i="3" s="1"/>
  <c r="K204" i="3"/>
  <c r="K203" i="3" s="1"/>
  <c r="K198" i="3"/>
  <c r="K197" i="3" s="1"/>
  <c r="K195" i="3"/>
  <c r="K194" i="3"/>
  <c r="K184" i="3"/>
  <c r="K183" i="3" s="1"/>
  <c r="K182" i="3" s="1"/>
  <c r="K181" i="3" s="1"/>
  <c r="K180" i="3" s="1"/>
  <c r="K179" i="3" s="1"/>
  <c r="K177" i="3"/>
  <c r="K176" i="3" s="1"/>
  <c r="K175" i="3" s="1"/>
  <c r="K174" i="3" s="1"/>
  <c r="K173" i="3" s="1"/>
  <c r="K172" i="3"/>
  <c r="K171" i="3" s="1"/>
  <c r="K170" i="3" s="1"/>
  <c r="K169" i="3" s="1"/>
  <c r="K168" i="3" s="1"/>
  <c r="K167" i="3" s="1"/>
  <c r="K164" i="3"/>
  <c r="K163" i="3" s="1"/>
  <c r="K162" i="3" s="1"/>
  <c r="K161" i="3" s="1"/>
  <c r="K160" i="3" s="1"/>
  <c r="K159" i="3" s="1"/>
  <c r="K157" i="3"/>
  <c r="K156" i="3" s="1"/>
  <c r="K155" i="3" s="1"/>
  <c r="K154" i="3" s="1"/>
  <c r="K153" i="3" s="1"/>
  <c r="K152" i="3" s="1"/>
  <c r="K151" i="3"/>
  <c r="K150" i="3" s="1"/>
  <c r="K149" i="3" s="1"/>
  <c r="K148" i="3" s="1"/>
  <c r="K147" i="3" s="1"/>
  <c r="K145" i="3"/>
  <c r="K144" i="3" s="1"/>
  <c r="K143" i="3" s="1"/>
  <c r="K142" i="3" s="1"/>
  <c r="K140" i="3"/>
  <c r="K139" i="3" s="1"/>
  <c r="K138" i="3" s="1"/>
  <c r="K136" i="3"/>
  <c r="K135" i="3" s="1"/>
  <c r="K134" i="3" s="1"/>
  <c r="K130" i="3"/>
  <c r="K129" i="3" s="1"/>
  <c r="K128" i="3" s="1"/>
  <c r="K127" i="3" s="1"/>
  <c r="K126" i="3" s="1"/>
  <c r="K124" i="3"/>
  <c r="K123" i="3" s="1"/>
  <c r="K121" i="3"/>
  <c r="K120" i="3" s="1"/>
  <c r="K114" i="3"/>
  <c r="K113" i="3" s="1"/>
  <c r="K112" i="3" s="1"/>
  <c r="K110" i="3"/>
  <c r="K108" i="3" s="1"/>
  <c r="K107" i="3" s="1"/>
  <c r="K106" i="3" s="1"/>
  <c r="K105" i="3"/>
  <c r="K104" i="3" s="1"/>
  <c r="K103" i="3" s="1"/>
  <c r="K101" i="3"/>
  <c r="K100" i="3"/>
  <c r="K99" i="3" s="1"/>
  <c r="K93" i="3"/>
  <c r="K91" i="3"/>
  <c r="K89" i="3"/>
  <c r="K88" i="3"/>
  <c r="K87" i="3" s="1"/>
  <c r="K80" i="3"/>
  <c r="K78" i="3"/>
  <c r="K77" i="3"/>
  <c r="K71" i="3"/>
  <c r="K70" i="3"/>
  <c r="K69" i="3"/>
  <c r="K68" i="3" s="1"/>
  <c r="K65" i="3"/>
  <c r="K64" i="3" s="1"/>
  <c r="K63" i="3" s="1"/>
  <c r="K61" i="3"/>
  <c r="K60" i="3" s="1"/>
  <c r="K56" i="3"/>
  <c r="K55" i="3" s="1"/>
  <c r="K54" i="3" s="1"/>
  <c r="K53" i="3" s="1"/>
  <c r="K51" i="3"/>
  <c r="K50" i="3" s="1"/>
  <c r="K49" i="3" s="1"/>
  <c r="K48" i="3" s="1"/>
  <c r="K47" i="3" s="1"/>
  <c r="K45" i="3"/>
  <c r="K44" i="3" s="1"/>
  <c r="K43" i="3" s="1"/>
  <c r="K42" i="3" s="1"/>
  <c r="K41" i="3" s="1"/>
  <c r="K38" i="3"/>
  <c r="K35" i="3"/>
  <c r="K33" i="3"/>
  <c r="K31" i="3"/>
  <c r="K27" i="3"/>
  <c r="K21" i="3"/>
  <c r="K20" i="3" s="1"/>
  <c r="K19" i="3" s="1"/>
  <c r="K18" i="3" s="1"/>
  <c r="K17" i="3" s="1"/>
  <c r="K76" i="3" l="1"/>
  <c r="K193" i="3"/>
  <c r="K192" i="3" s="1"/>
  <c r="K468" i="3"/>
  <c r="K463" i="3" s="1"/>
  <c r="K497" i="3"/>
  <c r="K496" i="3" s="1"/>
  <c r="K495" i="3" s="1"/>
  <c r="K494" i="3" s="1"/>
  <c r="K493" i="3" s="1"/>
  <c r="K492" i="3" s="1"/>
  <c r="K231" i="3"/>
  <c r="K230" i="3" s="1"/>
  <c r="K229" i="3" s="1"/>
  <c r="K228" i="3" s="1"/>
  <c r="K227" i="3" s="1"/>
  <c r="K389" i="3"/>
  <c r="K380" i="3" s="1"/>
  <c r="K379" i="3" s="1"/>
  <c r="K378" i="3" s="1"/>
  <c r="K377" i="3" s="1"/>
  <c r="K479" i="3"/>
  <c r="K560" i="3"/>
  <c r="K559" i="3" s="1"/>
  <c r="K75" i="3"/>
  <c r="K86" i="3"/>
  <c r="K85" i="3" s="1"/>
  <c r="K84" i="3" s="1"/>
  <c r="K83" i="3" s="1"/>
  <c r="K603" i="3"/>
  <c r="K602" i="3" s="1"/>
  <c r="K660" i="3"/>
  <c r="K659" i="3" s="1"/>
  <c r="K658" i="3" s="1"/>
  <c r="K657" i="3" s="1"/>
  <c r="K656" i="3" s="1"/>
  <c r="K26" i="3"/>
  <c r="K25" i="3" s="1"/>
  <c r="K24" i="3" s="1"/>
  <c r="K23" i="3" s="1"/>
  <c r="K191" i="3"/>
  <c r="K190" i="3" s="1"/>
  <c r="K189" i="3" s="1"/>
  <c r="K325" i="3"/>
  <c r="K324" i="3" s="1"/>
  <c r="K323" i="3" s="1"/>
  <c r="K322" i="3" s="1"/>
  <c r="K321" i="3" s="1"/>
  <c r="K573" i="3"/>
  <c r="K572" i="3" s="1"/>
  <c r="K567" i="3" s="1"/>
  <c r="K566" i="3" s="1"/>
  <c r="K619" i="3"/>
  <c r="K618" i="3" s="1"/>
  <c r="K613" i="3" s="1"/>
  <c r="K612" i="3" s="1"/>
  <c r="K119" i="3"/>
  <c r="K118" i="3" s="1"/>
  <c r="K117" i="3" s="1"/>
  <c r="K257" i="3"/>
  <c r="K256" i="3" s="1"/>
  <c r="K308" i="3"/>
  <c r="K359" i="3"/>
  <c r="K358" i="3" s="1"/>
  <c r="K357" i="3" s="1"/>
  <c r="K356" i="3" s="1"/>
  <c r="K433" i="3"/>
  <c r="K432" i="3" s="1"/>
  <c r="K431" i="3" s="1"/>
  <c r="K430" i="3" s="1"/>
  <c r="K681" i="3"/>
  <c r="K680" i="3" s="1"/>
  <c r="K679" i="3" s="1"/>
  <c r="K678" i="3" s="1"/>
  <c r="K697" i="3"/>
  <c r="K696" i="3" s="1"/>
  <c r="K695" i="3" s="1"/>
  <c r="K694" i="3" s="1"/>
  <c r="K133" i="3"/>
  <c r="K132" i="3" s="1"/>
  <c r="K166" i="3"/>
  <c r="K249" i="3"/>
  <c r="K248" i="3" s="1"/>
  <c r="K247" i="3" s="1"/>
  <c r="K246" i="3" s="1"/>
  <c r="K519" i="3"/>
  <c r="K518" i="3" s="1"/>
  <c r="K517" i="3" s="1"/>
  <c r="K516" i="3" s="1"/>
  <c r="K541" i="3"/>
  <c r="K540" i="3" s="1"/>
  <c r="K595" i="3"/>
  <c r="K594" i="3" s="1"/>
  <c r="K593" i="3" s="1"/>
  <c r="K592" i="3" s="1"/>
  <c r="K67" i="3"/>
  <c r="K202" i="3"/>
  <c r="K201" i="3" s="1"/>
  <c r="K200" i="3" s="1"/>
  <c r="K508" i="3"/>
  <c r="K507" i="3" s="1"/>
  <c r="K506" i="3" s="1"/>
  <c r="K505" i="3" s="1"/>
  <c r="K643" i="3"/>
  <c r="K642" i="3" s="1"/>
  <c r="K641" i="3" s="1"/>
  <c r="K640" i="3" s="1"/>
  <c r="K98" i="3"/>
  <c r="K97" i="3" s="1"/>
  <c r="K96" i="3" s="1"/>
  <c r="K95" i="3" s="1"/>
  <c r="K342" i="3"/>
  <c r="K341" i="3" s="1"/>
  <c r="K340" i="3" s="1"/>
  <c r="K339" i="3" s="1"/>
  <c r="K530" i="3"/>
  <c r="K529" i="3" s="1"/>
  <c r="K528" i="3" s="1"/>
  <c r="M543" i="3"/>
  <c r="M547" i="3"/>
  <c r="K539" i="3" l="1"/>
  <c r="K538" i="3" s="1"/>
  <c r="K537" i="3" s="1"/>
  <c r="K82" i="3"/>
  <c r="K59" i="3"/>
  <c r="K58" i="3" s="1"/>
  <c r="K52" i="3" s="1"/>
  <c r="K16" i="3" s="1"/>
  <c r="K462" i="3"/>
  <c r="K457" i="3" s="1"/>
  <c r="K456" i="3" s="1"/>
  <c r="K355" i="3" s="1"/>
  <c r="K338" i="3" s="1"/>
  <c r="K116" i="3"/>
  <c r="K639" i="3"/>
  <c r="K245" i="3"/>
  <c r="K515" i="3"/>
  <c r="K677" i="3"/>
  <c r="K676" i="3" s="1"/>
  <c r="K188" i="3"/>
  <c r="K187" i="3" s="1"/>
  <c r="K591" i="3"/>
  <c r="K583" i="3" s="1"/>
  <c r="K15" i="3" l="1"/>
  <c r="K504" i="3"/>
  <c r="K14" i="3" l="1"/>
  <c r="H90" i="7"/>
  <c r="H96" i="7"/>
  <c r="H95" i="7"/>
  <c r="M501" i="3"/>
  <c r="M442" i="3"/>
  <c r="L444" i="3"/>
  <c r="L443" i="3"/>
  <c r="L442" i="3" s="1"/>
  <c r="H94" i="7" l="1"/>
  <c r="H86" i="7" l="1"/>
  <c r="H85" i="7"/>
  <c r="M434" i="3"/>
  <c r="K717" i="3"/>
  <c r="K719" i="3"/>
  <c r="K728" i="3"/>
  <c r="K750" i="3"/>
  <c r="K762" i="3"/>
  <c r="K763" i="3" s="1"/>
  <c r="K759" i="3"/>
  <c r="M499" i="3"/>
  <c r="H84" i="7" s="1"/>
  <c r="M498" i="3"/>
  <c r="M497" i="3" s="1"/>
  <c r="M496" i="3" s="1"/>
  <c r="H83" i="7" l="1"/>
  <c r="K765" i="3"/>
  <c r="K768" i="3" s="1"/>
  <c r="K742" i="3"/>
  <c r="K724" i="3"/>
  <c r="K747" i="3"/>
  <c r="K756" i="3"/>
  <c r="K727" i="3"/>
  <c r="K716" i="3"/>
  <c r="K738" i="3"/>
  <c r="K723" i="3"/>
  <c r="K757" i="3"/>
  <c r="K753" i="3"/>
  <c r="K741" i="3"/>
  <c r="K715" i="3"/>
  <c r="K735" i="3"/>
  <c r="K733" i="3"/>
  <c r="K746" i="3" l="1"/>
  <c r="K748" i="3" s="1"/>
  <c r="K718" i="3"/>
  <c r="K729" i="3"/>
  <c r="K730" i="3" s="1"/>
  <c r="K725" i="3"/>
  <c r="K736" i="3"/>
  <c r="K740" i="3"/>
  <c r="K758" i="3"/>
  <c r="K760" i="3" s="1"/>
  <c r="K739" i="3"/>
  <c r="K752" i="3"/>
  <c r="K754" i="3" s="1"/>
  <c r="K743" i="3" l="1"/>
  <c r="K744" i="3" s="1"/>
  <c r="K720" i="3"/>
  <c r="K721" i="3" s="1"/>
  <c r="H79" i="7"/>
  <c r="H78" i="7"/>
  <c r="M423" i="3"/>
  <c r="M422" i="3" s="1"/>
  <c r="L425" i="3"/>
  <c r="L424" i="3"/>
  <c r="K769" i="3" l="1"/>
  <c r="H77" i="7"/>
  <c r="H76" i="7" s="1"/>
  <c r="L423" i="3"/>
  <c r="L422" i="3" s="1"/>
  <c r="M411" i="3"/>
  <c r="M412" i="3"/>
  <c r="M475" i="3" l="1"/>
  <c r="M471" i="3"/>
  <c r="M469" i="3" l="1"/>
  <c r="M465" i="3"/>
  <c r="M234" i="3" l="1"/>
  <c r="M672" i="3"/>
  <c r="M233" i="3"/>
  <c r="M194" i="3"/>
  <c r="M172" i="3"/>
  <c r="H496" i="7"/>
  <c r="H495" i="7" s="1"/>
  <c r="M80" i="3"/>
  <c r="L81" i="3"/>
  <c r="L80" i="3" s="1"/>
  <c r="M71" i="3" l="1"/>
  <c r="M259" i="3" l="1"/>
  <c r="M88" i="3" l="1"/>
  <c r="M100" i="3"/>
  <c r="M276" i="3"/>
  <c r="L277" i="3"/>
  <c r="M288" i="3" l="1"/>
  <c r="M263" i="3"/>
  <c r="M439" i="3"/>
  <c r="M438" i="3" s="1"/>
  <c r="M365" i="3"/>
  <c r="M554" i="3"/>
  <c r="M599" i="3"/>
  <c r="M307" i="3" l="1"/>
  <c r="M551" i="3" l="1"/>
  <c r="L46" i="3" l="1"/>
  <c r="M527" i="3" l="1"/>
  <c r="H153" i="7" s="1"/>
  <c r="H152" i="7" l="1"/>
  <c r="M526" i="3"/>
  <c r="L527" i="3"/>
  <c r="L526" i="3" s="1"/>
  <c r="L706" i="3" l="1"/>
  <c r="L705" i="3"/>
  <c r="L703" i="3"/>
  <c r="L702" i="3"/>
  <c r="L700" i="3"/>
  <c r="L699" i="3"/>
  <c r="L693" i="3"/>
  <c r="L692" i="3"/>
  <c r="L690" i="3"/>
  <c r="L689" i="3"/>
  <c r="L687" i="3"/>
  <c r="L686" i="3"/>
  <c r="L684" i="3"/>
  <c r="L683" i="3"/>
  <c r="L674" i="3"/>
  <c r="L673" i="3"/>
  <c r="L672" i="3"/>
  <c r="L666" i="3"/>
  <c r="L665" i="3" s="1"/>
  <c r="L664" i="3"/>
  <c r="L663" i="3"/>
  <c r="L662" i="3"/>
  <c r="L655" i="3"/>
  <c r="L654" i="3" s="1"/>
  <c r="L653" i="3" s="1"/>
  <c r="L652" i="3"/>
  <c r="L651" i="3" s="1"/>
  <c r="L650" i="3" s="1"/>
  <c r="L649" i="3"/>
  <c r="L648" i="3" s="1"/>
  <c r="L647" i="3" s="1"/>
  <c r="L646" i="3"/>
  <c r="L645" i="3" s="1"/>
  <c r="L644" i="3" s="1"/>
  <c r="L637" i="3"/>
  <c r="L636" i="3"/>
  <c r="L635" i="3"/>
  <c r="L629" i="3"/>
  <c r="L628" i="3" s="1"/>
  <c r="L627" i="3"/>
  <c r="L626" i="3" s="1"/>
  <c r="L625" i="3"/>
  <c r="L624" i="3" s="1"/>
  <c r="L623" i="3"/>
  <c r="L622" i="3"/>
  <c r="L621" i="3"/>
  <c r="L617" i="3"/>
  <c r="L616" i="3" s="1"/>
  <c r="L615" i="3" s="1"/>
  <c r="L614" i="3" s="1"/>
  <c r="L607" i="3"/>
  <c r="L606" i="3" s="1"/>
  <c r="L605" i="3" s="1"/>
  <c r="L604" i="3" s="1"/>
  <c r="L601" i="3"/>
  <c r="L600" i="3" s="1"/>
  <c r="L599" i="3"/>
  <c r="L598" i="3"/>
  <c r="L597" i="3"/>
  <c r="L590" i="3"/>
  <c r="L589" i="3" s="1"/>
  <c r="L588" i="3" s="1"/>
  <c r="L587" i="3" s="1"/>
  <c r="L586" i="3" s="1"/>
  <c r="L585" i="3" s="1"/>
  <c r="L584" i="3" s="1"/>
  <c r="L581" i="3"/>
  <c r="L580" i="3"/>
  <c r="L579" i="3"/>
  <c r="L577" i="3"/>
  <c r="L576" i="3"/>
  <c r="L575" i="3"/>
  <c r="L571" i="3"/>
  <c r="L570" i="3" s="1"/>
  <c r="L569" i="3" s="1"/>
  <c r="L568" i="3" s="1"/>
  <c r="L563" i="3"/>
  <c r="L562" i="3"/>
  <c r="L556" i="3"/>
  <c r="L555" i="3"/>
  <c r="L554" i="3"/>
  <c r="L551" i="3"/>
  <c r="L550" i="3" s="1"/>
  <c r="L549" i="3"/>
  <c r="L548" i="3" s="1"/>
  <c r="L547" i="3"/>
  <c r="L546" i="3" s="1"/>
  <c r="L545" i="3"/>
  <c r="L544" i="3" s="1"/>
  <c r="L543" i="3"/>
  <c r="L542" i="3" s="1"/>
  <c r="L536" i="3"/>
  <c r="L535" i="3" s="1"/>
  <c r="L534" i="3" s="1"/>
  <c r="L533" i="3"/>
  <c r="L532" i="3" s="1"/>
  <c r="L531" i="3" s="1"/>
  <c r="L525" i="3"/>
  <c r="L524" i="3" s="1"/>
  <c r="L523" i="3"/>
  <c r="L522" i="3" s="1"/>
  <c r="L521" i="3"/>
  <c r="L520" i="3" s="1"/>
  <c r="L514" i="3"/>
  <c r="L513" i="3" s="1"/>
  <c r="L512" i="3" s="1"/>
  <c r="L511" i="3"/>
  <c r="L510" i="3" s="1"/>
  <c r="L509" i="3" s="1"/>
  <c r="L491" i="3"/>
  <c r="L490" i="3"/>
  <c r="L483" i="3"/>
  <c r="L482" i="3" s="1"/>
  <c r="L481" i="3"/>
  <c r="L480" i="3" s="1"/>
  <c r="L478" i="3"/>
  <c r="L477" i="3"/>
  <c r="L475" i="3"/>
  <c r="L474" i="3"/>
  <c r="L472" i="3"/>
  <c r="L471" i="3"/>
  <c r="L470" i="3"/>
  <c r="L469" i="3"/>
  <c r="L467" i="3"/>
  <c r="L466" i="3"/>
  <c r="L465" i="3"/>
  <c r="L461" i="3"/>
  <c r="L460" i="3" s="1"/>
  <c r="L459" i="3" s="1"/>
  <c r="L458" i="3" s="1"/>
  <c r="L455" i="3"/>
  <c r="L454" i="3" s="1"/>
  <c r="L453" i="3" s="1"/>
  <c r="L452" i="3" s="1"/>
  <c r="L451" i="3" s="1"/>
  <c r="L450" i="3" s="1"/>
  <c r="L449" i="3"/>
  <c r="L448" i="3"/>
  <c r="L446" i="3"/>
  <c r="L445" i="3" s="1"/>
  <c r="L441" i="3"/>
  <c r="L440" i="3" s="1"/>
  <c r="L439" i="3"/>
  <c r="L438" i="3" s="1"/>
  <c r="L437" i="3"/>
  <c r="L436" i="3" s="1"/>
  <c r="L435" i="3"/>
  <c r="L434" i="3" s="1"/>
  <c r="L429" i="3"/>
  <c r="L428" i="3" s="1"/>
  <c r="L427" i="3" s="1"/>
  <c r="L426" i="3" s="1"/>
  <c r="L421" i="3"/>
  <c r="L420" i="3"/>
  <c r="L419" i="3"/>
  <c r="L417" i="3"/>
  <c r="L416" i="3" s="1"/>
  <c r="L412" i="3"/>
  <c r="L411" i="3"/>
  <c r="L409" i="3"/>
  <c r="L408" i="3" s="1"/>
  <c r="L407" i="3"/>
  <c r="L406" i="3"/>
  <c r="L404" i="3"/>
  <c r="L403" i="3"/>
  <c r="L402" i="3"/>
  <c r="L400" i="3"/>
  <c r="L399" i="3"/>
  <c r="L398" i="3"/>
  <c r="L415" i="3"/>
  <c r="L414" i="3"/>
  <c r="L396" i="3"/>
  <c r="L395" i="3" s="1"/>
  <c r="L394" i="3"/>
  <c r="L393" i="3"/>
  <c r="L391" i="3"/>
  <c r="L390" i="3"/>
  <c r="L388" i="3"/>
  <c r="L386" i="3" s="1"/>
  <c r="L385" i="3"/>
  <c r="L384" i="3"/>
  <c r="L383" i="3"/>
  <c r="L382" i="3"/>
  <c r="L376" i="3"/>
  <c r="L375" i="3" s="1"/>
  <c r="L374" i="3" s="1"/>
  <c r="L373" i="3" s="1"/>
  <c r="L372" i="3" s="1"/>
  <c r="L371" i="3"/>
  <c r="L370" i="3" s="1"/>
  <c r="L369" i="3"/>
  <c r="L368" i="3" s="1"/>
  <c r="L367" i="3"/>
  <c r="L366" i="3" s="1"/>
  <c r="L365" i="3"/>
  <c r="L364" i="3" s="1"/>
  <c r="L363" i="3"/>
  <c r="L362" i="3" s="1"/>
  <c r="L361" i="3"/>
  <c r="L360" i="3" s="1"/>
  <c r="L354" i="3"/>
  <c r="L353" i="3" s="1"/>
  <c r="L352" i="3" s="1"/>
  <c r="L351" i="3"/>
  <c r="L350" i="3" s="1"/>
  <c r="L349" i="3" s="1"/>
  <c r="L348" i="3"/>
  <c r="L347" i="3" s="1"/>
  <c r="L346" i="3" s="1"/>
  <c r="L345" i="3"/>
  <c r="L344" i="3" s="1"/>
  <c r="L343" i="3" s="1"/>
  <c r="L336" i="3"/>
  <c r="L335" i="3" s="1"/>
  <c r="L334" i="3" s="1"/>
  <c r="L333" i="3" s="1"/>
  <c r="L332" i="3" s="1"/>
  <c r="L331" i="3" s="1"/>
  <c r="L330" i="3" s="1"/>
  <c r="L329" i="3"/>
  <c r="L328" i="3" s="1"/>
  <c r="L327" i="3"/>
  <c r="L326" i="3" s="1"/>
  <c r="L320" i="3"/>
  <c r="L319" i="3" s="1"/>
  <c r="L318" i="3" s="1"/>
  <c r="L317" i="3" s="1"/>
  <c r="L316" i="3" s="1"/>
  <c r="L315" i="3" s="1"/>
  <c r="L314" i="3"/>
  <c r="L313" i="3" s="1"/>
  <c r="L312" i="3" s="1"/>
  <c r="L311" i="3" s="1"/>
  <c r="L310" i="3" s="1"/>
  <c r="L309" i="3" s="1"/>
  <c r="L307" i="3"/>
  <c r="L306" i="3" s="1"/>
  <c r="L305" i="3" s="1"/>
  <c r="L304" i="3" s="1"/>
  <c r="L303" i="3" s="1"/>
  <c r="L302" i="3" s="1"/>
  <c r="L296" i="3"/>
  <c r="L295" i="3" s="1"/>
  <c r="L294" i="3" s="1"/>
  <c r="L293" i="3" s="1"/>
  <c r="L289" i="3"/>
  <c r="L288" i="3"/>
  <c r="L283" i="3"/>
  <c r="L282" i="3" s="1"/>
  <c r="L281" i="3" s="1"/>
  <c r="L280" i="3" s="1"/>
  <c r="L279" i="3" s="1"/>
  <c r="L278" i="3"/>
  <c r="L273" i="3"/>
  <c r="L272" i="3" s="1"/>
  <c r="L271" i="3" s="1"/>
  <c r="L270" i="3"/>
  <c r="L269" i="3" s="1"/>
  <c r="L268" i="3" s="1"/>
  <c r="L267" i="3"/>
  <c r="L266" i="3" s="1"/>
  <c r="L265" i="3"/>
  <c r="L264" i="3"/>
  <c r="L263" i="3"/>
  <c r="L261" i="3"/>
  <c r="L260" i="3"/>
  <c r="L259" i="3"/>
  <c r="L255" i="3"/>
  <c r="L254" i="3" s="1"/>
  <c r="L253" i="3" s="1"/>
  <c r="L252" i="3"/>
  <c r="L251" i="3" s="1"/>
  <c r="L250" i="3" s="1"/>
  <c r="L243" i="3"/>
  <c r="L242" i="3" s="1"/>
  <c r="L241" i="3" s="1"/>
  <c r="L240" i="3" s="1"/>
  <c r="L239" i="3" s="1"/>
  <c r="L238" i="3" s="1"/>
  <c r="L237" i="3"/>
  <c r="L236" i="3" s="1"/>
  <c r="L235" i="3"/>
  <c r="L234" i="3"/>
  <c r="L233" i="3"/>
  <c r="L225" i="3"/>
  <c r="L224" i="3" s="1"/>
  <c r="L223" i="3" s="1"/>
  <c r="L222" i="3" s="1"/>
  <c r="L221" i="3" s="1"/>
  <c r="L220" i="3" s="1"/>
  <c r="L218" i="3"/>
  <c r="L217" i="3" s="1"/>
  <c r="L216" i="3" s="1"/>
  <c r="L215" i="3" s="1"/>
  <c r="L214" i="3" s="1"/>
  <c r="L213" i="3" s="1"/>
  <c r="L212" i="3" s="1"/>
  <c r="L211" i="3"/>
  <c r="L210" i="3" s="1"/>
  <c r="L209" i="3" s="1"/>
  <c r="L208" i="3"/>
  <c r="L207" i="3" s="1"/>
  <c r="L206" i="3" s="1"/>
  <c r="L205" i="3"/>
  <c r="L204" i="3" s="1"/>
  <c r="L203" i="3" s="1"/>
  <c r="L199" i="3"/>
  <c r="L198" i="3" s="1"/>
  <c r="L197" i="3" s="1"/>
  <c r="L196" i="3"/>
  <c r="L194" i="3"/>
  <c r="L185" i="3"/>
  <c r="L184" i="3" s="1"/>
  <c r="L183" i="3" s="1"/>
  <c r="L182" i="3" s="1"/>
  <c r="L181" i="3" s="1"/>
  <c r="L180" i="3" s="1"/>
  <c r="L179" i="3" s="1"/>
  <c r="L762" i="3" s="1"/>
  <c r="L763" i="3" s="1"/>
  <c r="L178" i="3"/>
  <c r="L177" i="3" s="1"/>
  <c r="L176" i="3" s="1"/>
  <c r="L175" i="3" s="1"/>
  <c r="L174" i="3" s="1"/>
  <c r="L173" i="3" s="1"/>
  <c r="L172" i="3"/>
  <c r="L171" i="3" s="1"/>
  <c r="L170" i="3" s="1"/>
  <c r="L169" i="3" s="1"/>
  <c r="L168" i="3" s="1"/>
  <c r="L167" i="3" s="1"/>
  <c r="L750" i="3" s="1"/>
  <c r="L165" i="3"/>
  <c r="L164" i="3" s="1"/>
  <c r="L163" i="3" s="1"/>
  <c r="L162" i="3" s="1"/>
  <c r="L161" i="3" s="1"/>
  <c r="L160" i="3" s="1"/>
  <c r="L159" i="3" s="1"/>
  <c r="L158" i="3"/>
  <c r="L157" i="3" s="1"/>
  <c r="L156" i="3" s="1"/>
  <c r="L155" i="3" s="1"/>
  <c r="L154" i="3" s="1"/>
  <c r="L153" i="3" s="1"/>
  <c r="L146" i="3"/>
  <c r="L145" i="3" s="1"/>
  <c r="L144" i="3" s="1"/>
  <c r="L143" i="3" s="1"/>
  <c r="L142" i="3" s="1"/>
  <c r="L141" i="3"/>
  <c r="L140" i="3" s="1"/>
  <c r="L139" i="3" s="1"/>
  <c r="L138" i="3" s="1"/>
  <c r="L137" i="3"/>
  <c r="L136" i="3" s="1"/>
  <c r="L135" i="3" s="1"/>
  <c r="L134" i="3" s="1"/>
  <c r="L131" i="3"/>
  <c r="L130" i="3" s="1"/>
  <c r="L129" i="3" s="1"/>
  <c r="L128" i="3" s="1"/>
  <c r="L127" i="3" s="1"/>
  <c r="L126" i="3" s="1"/>
  <c r="L728" i="3" s="1"/>
  <c r="L125" i="3"/>
  <c r="L124" i="3" s="1"/>
  <c r="L123" i="3" s="1"/>
  <c r="L122" i="3"/>
  <c r="L121" i="3" s="1"/>
  <c r="L120" i="3" s="1"/>
  <c r="L115" i="3"/>
  <c r="L114" i="3" s="1"/>
  <c r="L113" i="3" s="1"/>
  <c r="L112" i="3" s="1"/>
  <c r="L111" i="3"/>
  <c r="L110" i="3"/>
  <c r="L109" i="3"/>
  <c r="L105" i="3"/>
  <c r="L104" i="3" s="1"/>
  <c r="L103" i="3" s="1"/>
  <c r="L102" i="3"/>
  <c r="L101" i="3" s="1"/>
  <c r="L100" i="3"/>
  <c r="L99" i="3" s="1"/>
  <c r="L94" i="3"/>
  <c r="L93" i="3" s="1"/>
  <c r="L92" i="3"/>
  <c r="L91" i="3" s="1"/>
  <c r="L90" i="3"/>
  <c r="L89" i="3" s="1"/>
  <c r="L88" i="3"/>
  <c r="L87" i="3" s="1"/>
  <c r="L79" i="3"/>
  <c r="L78" i="3"/>
  <c r="L77" i="3"/>
  <c r="L71" i="3"/>
  <c r="L70" i="3" s="1"/>
  <c r="L69" i="3"/>
  <c r="L68" i="3" s="1"/>
  <c r="L66" i="3"/>
  <c r="L65" i="3"/>
  <c r="L62" i="3"/>
  <c r="L61" i="3" s="1"/>
  <c r="L60" i="3" s="1"/>
  <c r="L57" i="3"/>
  <c r="L56" i="3" s="1"/>
  <c r="L55" i="3" s="1"/>
  <c r="L54" i="3" s="1"/>
  <c r="L53" i="3" s="1"/>
  <c r="L51" i="3"/>
  <c r="L50" i="3" s="1"/>
  <c r="L49" i="3" s="1"/>
  <c r="L48" i="3" s="1"/>
  <c r="L47" i="3" s="1"/>
  <c r="L719" i="3" s="1"/>
  <c r="L45" i="3"/>
  <c r="L44" i="3" s="1"/>
  <c r="L43" i="3" s="1"/>
  <c r="L42" i="3" s="1"/>
  <c r="L41" i="3" s="1"/>
  <c r="L717" i="3" s="1"/>
  <c r="L40" i="3"/>
  <c r="L39" i="3"/>
  <c r="L37" i="3"/>
  <c r="L36" i="3"/>
  <c r="L34" i="3"/>
  <c r="L33" i="3" s="1"/>
  <c r="L32" i="3"/>
  <c r="L31" i="3" s="1"/>
  <c r="L30" i="3"/>
  <c r="L29" i="3"/>
  <c r="L28" i="3"/>
  <c r="L22" i="3"/>
  <c r="L21" i="3" l="1"/>
  <c r="L20" i="3" s="1"/>
  <c r="L19" i="3" s="1"/>
  <c r="L18" i="3" s="1"/>
  <c r="L17" i="3" s="1"/>
  <c r="L715" i="3" s="1"/>
  <c r="L292" i="3"/>
  <c r="L291" i="3" s="1"/>
  <c r="L290" i="3" s="1"/>
  <c r="L685" i="3"/>
  <c r="L76" i="3"/>
  <c r="L75" i="3" s="1"/>
  <c r="L276" i="3"/>
  <c r="L275" i="3" s="1"/>
  <c r="L274" i="3" s="1"/>
  <c r="L561" i="3"/>
  <c r="L691" i="3"/>
  <c r="L35" i="3"/>
  <c r="L392" i="3"/>
  <c r="L596" i="3"/>
  <c r="L595" i="3" s="1"/>
  <c r="L594" i="3" s="1"/>
  <c r="L593" i="3" s="1"/>
  <c r="L592" i="3" s="1"/>
  <c r="L756" i="3" s="1"/>
  <c r="L661" i="3"/>
  <c r="L660" i="3" s="1"/>
  <c r="L659" i="3" s="1"/>
  <c r="L658" i="3" s="1"/>
  <c r="L657" i="3" s="1"/>
  <c r="L742" i="3" s="1"/>
  <c r="L389" i="3"/>
  <c r="L447" i="3"/>
  <c r="L473" i="3"/>
  <c r="L405" i="3"/>
  <c r="L262" i="3"/>
  <c r="L27" i="3"/>
  <c r="L232" i="3"/>
  <c r="L231" i="3" s="1"/>
  <c r="L230" i="3" s="1"/>
  <c r="L229" i="3" s="1"/>
  <c r="L228" i="3" s="1"/>
  <c r="L227" i="3" s="1"/>
  <c r="L381" i="3"/>
  <c r="L413" i="3"/>
  <c r="L476" i="3"/>
  <c r="L620" i="3"/>
  <c r="L619" i="3" s="1"/>
  <c r="L618" i="3" s="1"/>
  <c r="L613" i="3" s="1"/>
  <c r="L612" i="3" s="1"/>
  <c r="L410" i="3"/>
  <c r="L418" i="3"/>
  <c r="L464" i="3"/>
  <c r="L468" i="3"/>
  <c r="L553" i="3"/>
  <c r="L552" i="3" s="1"/>
  <c r="L574" i="3"/>
  <c r="L634" i="3"/>
  <c r="L633" i="3" s="1"/>
  <c r="L632" i="3" s="1"/>
  <c r="L631" i="3" s="1"/>
  <c r="L630" i="3" s="1"/>
  <c r="L759" i="3" s="1"/>
  <c r="L701" i="3"/>
  <c r="L258" i="3"/>
  <c r="L519" i="3"/>
  <c r="L518" i="3" s="1"/>
  <c r="L517" i="3" s="1"/>
  <c r="L516" i="3" s="1"/>
  <c r="L397" i="3"/>
  <c r="L38" i="3"/>
  <c r="L108" i="3"/>
  <c r="L107" i="3" s="1"/>
  <c r="L106" i="3" s="1"/>
  <c r="L64" i="3"/>
  <c r="L63" i="3" s="1"/>
  <c r="L67" i="3"/>
  <c r="L671" i="3"/>
  <c r="L670" i="3" s="1"/>
  <c r="L669" i="3" s="1"/>
  <c r="L668" i="3" s="1"/>
  <c r="L667" i="3" s="1"/>
  <c r="L489" i="3"/>
  <c r="L488" i="3" s="1"/>
  <c r="L487" i="3" s="1"/>
  <c r="L486" i="3" s="1"/>
  <c r="L485" i="3" s="1"/>
  <c r="L484" i="3" s="1"/>
  <c r="L682" i="3"/>
  <c r="L287" i="3"/>
  <c r="L286" i="3" s="1"/>
  <c r="L285" i="3" s="1"/>
  <c r="L284" i="3" s="1"/>
  <c r="L401" i="3"/>
  <c r="L578" i="3"/>
  <c r="L688" i="3"/>
  <c r="L698" i="3"/>
  <c r="L704" i="3"/>
  <c r="L202" i="3"/>
  <c r="L201" i="3" s="1"/>
  <c r="L200" i="3" s="1"/>
  <c r="L479" i="3"/>
  <c r="L98" i="3"/>
  <c r="L97" i="3" s="1"/>
  <c r="L325" i="3"/>
  <c r="L324" i="3" s="1"/>
  <c r="L323" i="3" s="1"/>
  <c r="L322" i="3" s="1"/>
  <c r="L321" i="3" s="1"/>
  <c r="L508" i="3"/>
  <c r="L507" i="3" s="1"/>
  <c r="L506" i="3" s="1"/>
  <c r="L505" i="3" s="1"/>
  <c r="L86" i="3"/>
  <c r="L85" i="3" s="1"/>
  <c r="L84" i="3" s="1"/>
  <c r="L83" i="3" s="1"/>
  <c r="L723" i="3" s="1"/>
  <c r="L133" i="3"/>
  <c r="L541" i="3"/>
  <c r="L733" i="3"/>
  <c r="L301" i="3"/>
  <c r="L308" i="3"/>
  <c r="L765" i="3"/>
  <c r="L768" i="3" s="1"/>
  <c r="L219" i="3"/>
  <c r="L735" i="3"/>
  <c r="L152" i="3"/>
  <c r="L166" i="3"/>
  <c r="L249" i="3"/>
  <c r="L342" i="3"/>
  <c r="L341" i="3" s="1"/>
  <c r="L340" i="3" s="1"/>
  <c r="L339" i="3" s="1"/>
  <c r="L119" i="3"/>
  <c r="L118" i="3" s="1"/>
  <c r="L117" i="3" s="1"/>
  <c r="L530" i="3"/>
  <c r="L529" i="3" s="1"/>
  <c r="L528" i="3" s="1"/>
  <c r="L643" i="3"/>
  <c r="L642" i="3" s="1"/>
  <c r="L641" i="3" s="1"/>
  <c r="L640" i="3" s="1"/>
  <c r="L359" i="3"/>
  <c r="L358" i="3" s="1"/>
  <c r="L357" i="3" s="1"/>
  <c r="L356" i="3" s="1"/>
  <c r="L741" i="3"/>
  <c r="L59" i="3" l="1"/>
  <c r="L58" i="3" s="1"/>
  <c r="L52" i="3" s="1"/>
  <c r="L380" i="3"/>
  <c r="L573" i="3"/>
  <c r="L572" i="3" s="1"/>
  <c r="L567" i="3" s="1"/>
  <c r="L566" i="3" s="1"/>
  <c r="L747" i="3" s="1"/>
  <c r="L257" i="3"/>
  <c r="L256" i="3" s="1"/>
  <c r="L248" i="3" s="1"/>
  <c r="L247" i="3" s="1"/>
  <c r="L246" i="3" s="1"/>
  <c r="L245" i="3" s="1"/>
  <c r="L26" i="3"/>
  <c r="L25" i="3" s="1"/>
  <c r="L24" i="3" s="1"/>
  <c r="L23" i="3" s="1"/>
  <c r="L716" i="3" s="1"/>
  <c r="L463" i="3"/>
  <c r="L462" i="3" s="1"/>
  <c r="L457" i="3" s="1"/>
  <c r="L456" i="3" s="1"/>
  <c r="L743" i="3" s="1"/>
  <c r="L96" i="3"/>
  <c r="L95" i="3" s="1"/>
  <c r="L724" i="3" s="1"/>
  <c r="L725" i="3" s="1"/>
  <c r="L540" i="3"/>
  <c r="L433" i="3"/>
  <c r="L432" i="3" s="1"/>
  <c r="L431" i="3" s="1"/>
  <c r="L430" i="3" s="1"/>
  <c r="L740" i="3" s="1"/>
  <c r="L656" i="3"/>
  <c r="L639" i="3" s="1"/>
  <c r="L681" i="3"/>
  <c r="L680" i="3" s="1"/>
  <c r="L679" i="3" s="1"/>
  <c r="L678" i="3" s="1"/>
  <c r="L752" i="3" s="1"/>
  <c r="L515" i="3"/>
  <c r="L697" i="3"/>
  <c r="L696" i="3" s="1"/>
  <c r="L695" i="3" s="1"/>
  <c r="L694" i="3" s="1"/>
  <c r="L753" i="3" s="1"/>
  <c r="L738" i="3"/>
  <c r="L736" i="3"/>
  <c r="L727" i="3"/>
  <c r="L379" i="3" l="1"/>
  <c r="L378" i="3" s="1"/>
  <c r="L377" i="3" s="1"/>
  <c r="L739" i="3" s="1"/>
  <c r="L744" i="3" s="1"/>
  <c r="L754" i="3"/>
  <c r="L16" i="3"/>
  <c r="L82" i="3"/>
  <c r="L720" i="3"/>
  <c r="L677" i="3"/>
  <c r="L676" i="3" s="1"/>
  <c r="L355" i="3" l="1"/>
  <c r="L499" i="3" l="1"/>
  <c r="L497" i="3" l="1"/>
  <c r="L496" i="3" l="1"/>
  <c r="L495" i="3" s="1"/>
  <c r="L494" i="3" s="1"/>
  <c r="L493" i="3" s="1"/>
  <c r="L492" i="3" s="1"/>
  <c r="L338" i="3" s="1"/>
  <c r="L758" i="3" l="1"/>
  <c r="H258" i="7"/>
  <c r="H257" i="7" s="1"/>
  <c r="H122" i="7" l="1"/>
  <c r="H121" i="7" s="1"/>
  <c r="H483" i="7" l="1"/>
  <c r="H482" i="7" s="1"/>
  <c r="H481" i="7" s="1"/>
  <c r="M184" i="3" l="1"/>
  <c r="M183" i="3" s="1"/>
  <c r="M182" i="3" s="1"/>
  <c r="M181" i="3" s="1"/>
  <c r="M180" i="3" s="1"/>
  <c r="M179" i="3" s="1"/>
  <c r="M762" i="3" s="1"/>
  <c r="M151" i="3" l="1"/>
  <c r="L151" i="3" s="1"/>
  <c r="L150" i="3" s="1"/>
  <c r="L149" i="3" s="1"/>
  <c r="L148" i="3" s="1"/>
  <c r="L147" i="3" s="1"/>
  <c r="L132" i="3" s="1"/>
  <c r="L729" i="3" l="1"/>
  <c r="L730" i="3" s="1"/>
  <c r="L116" i="3"/>
  <c r="L15" i="3" s="1"/>
  <c r="H196" i="7" l="1"/>
  <c r="H195" i="7" s="1"/>
  <c r="M510" i="3"/>
  <c r="M509" i="3" s="1"/>
  <c r="M565" i="3"/>
  <c r="L565" i="3" s="1"/>
  <c r="L564" i="3" s="1"/>
  <c r="L560" i="3" s="1"/>
  <c r="L559" i="3" s="1"/>
  <c r="L539" i="3" s="1"/>
  <c r="L538" i="3" s="1"/>
  <c r="L746" i="3" l="1"/>
  <c r="L748" i="3" s="1"/>
  <c r="L537" i="3"/>
  <c r="L504" i="3" s="1"/>
  <c r="M645" i="3" l="1"/>
  <c r="M644" i="3" s="1"/>
  <c r="H378" i="7" l="1"/>
  <c r="M326" i="3"/>
  <c r="H69" i="7" l="1"/>
  <c r="H68" i="7" s="1"/>
  <c r="H113" i="7"/>
  <c r="H120" i="7"/>
  <c r="H119" i="7" s="1"/>
  <c r="M416" i="3" l="1"/>
  <c r="M408" i="3"/>
  <c r="M344" i="3"/>
  <c r="M343" i="3" s="1"/>
  <c r="H453" i="7" l="1"/>
  <c r="H452" i="7" s="1"/>
  <c r="M61" i="3"/>
  <c r="M60" i="3" s="1"/>
  <c r="M27" i="3" l="1"/>
  <c r="H380" i="7" l="1"/>
  <c r="H379" i="7" s="1"/>
  <c r="M328" i="3"/>
  <c r="M325" i="3" s="1"/>
  <c r="M611" i="3" l="1"/>
  <c r="L611" i="3" s="1"/>
  <c r="L610" i="3" s="1"/>
  <c r="L609" i="3" s="1"/>
  <c r="L608" i="3" s="1"/>
  <c r="L603" i="3" s="1"/>
  <c r="L602" i="3" s="1"/>
  <c r="H205" i="7"/>
  <c r="H221" i="7"/>
  <c r="H219" i="7"/>
  <c r="H218" i="7"/>
  <c r="H217" i="7"/>
  <c r="L757" i="3" l="1"/>
  <c r="L760" i="3" s="1"/>
  <c r="L591" i="3"/>
  <c r="L583" i="3" s="1"/>
  <c r="H310" i="7"/>
  <c r="H309" i="7" s="1"/>
  <c r="M195" i="3" l="1"/>
  <c r="L195" i="3" s="1"/>
  <c r="L193" i="3" s="1"/>
  <c r="L192" i="3" s="1"/>
  <c r="L191" i="3" s="1"/>
  <c r="L190" i="3" s="1"/>
  <c r="L189" i="3" s="1"/>
  <c r="L718" i="3" l="1"/>
  <c r="L721" i="3" s="1"/>
  <c r="L769" i="3" s="1"/>
  <c r="L188" i="3"/>
  <c r="L187" i="3" s="1"/>
  <c r="L14" i="3" s="1"/>
  <c r="M204" i="3"/>
  <c r="M203" i="3" s="1"/>
  <c r="M454" i="3" l="1"/>
  <c r="M453" i="3" s="1"/>
  <c r="M452" i="3" s="1"/>
  <c r="M451" i="3" l="1"/>
  <c r="M450" i="3" s="1"/>
  <c r="H100" i="7" l="1"/>
  <c r="M447" i="3"/>
  <c r="H225" i="7" l="1"/>
  <c r="H224" i="7" s="1"/>
  <c r="M610" i="3"/>
  <c r="M609" i="3" s="1"/>
  <c r="M608" i="3" s="1"/>
  <c r="M473" i="3" l="1"/>
  <c r="M193" i="3" l="1"/>
  <c r="M192" i="3" s="1"/>
  <c r="M428" i="3" l="1"/>
  <c r="H486" i="7" l="1"/>
  <c r="H485" i="7" s="1"/>
  <c r="H484" i="7" s="1"/>
  <c r="M150" i="3"/>
  <c r="M149" i="3" s="1"/>
  <c r="M148" i="3" s="1"/>
  <c r="H227" i="7" l="1"/>
  <c r="H223" i="7"/>
  <c r="M626" i="3"/>
  <c r="M628" i="3"/>
  <c r="M624" i="3"/>
  <c r="M620" i="3"/>
  <c r="M616" i="3"/>
  <c r="M615" i="3" s="1"/>
  <c r="M614" i="3" s="1"/>
  <c r="M619" i="3" l="1"/>
  <c r="M618" i="3" l="1"/>
  <c r="M613" i="3" s="1"/>
  <c r="M612" i="3" s="1"/>
  <c r="H511" i="7" l="1"/>
  <c r="H510" i="7" s="1"/>
  <c r="H88" i="7" l="1"/>
  <c r="H87" i="7" s="1"/>
  <c r="M436" i="3"/>
  <c r="H118" i="7" l="1"/>
  <c r="H241" i="7" l="1"/>
  <c r="H240" i="7" s="1"/>
  <c r="H239" i="7" s="1"/>
  <c r="M335" i="3"/>
  <c r="M334" i="3" s="1"/>
  <c r="M480" i="3" l="1"/>
  <c r="H125" i="7" l="1"/>
  <c r="M476" i="3" l="1"/>
  <c r="H319" i="7" l="1"/>
  <c r="H318" i="7" s="1"/>
  <c r="H317" i="7" s="1"/>
  <c r="M198" i="3" l="1"/>
  <c r="M197" i="3" s="1"/>
  <c r="H208" i="7" l="1"/>
  <c r="H71" i="7" l="1"/>
  <c r="H70" i="7" s="1"/>
  <c r="M313" i="3"/>
  <c r="M312" i="3" s="1"/>
  <c r="H403" i="7" l="1"/>
  <c r="H402" i="7" s="1"/>
  <c r="H401" i="7" s="1"/>
  <c r="H400" i="7" s="1"/>
  <c r="M157" i="3"/>
  <c r="M156" i="3" s="1"/>
  <c r="M155" i="3" s="1"/>
  <c r="M154" i="3" s="1"/>
  <c r="M153" i="3" s="1"/>
  <c r="M735" i="3" l="1"/>
  <c r="M152" i="3"/>
  <c r="M553" i="3" l="1"/>
  <c r="M552" i="3" s="1"/>
  <c r="H130" i="7" l="1"/>
  <c r="H132" i="7"/>
  <c r="M482" i="3" l="1"/>
  <c r="M479" i="3" s="1"/>
  <c r="H46" i="7"/>
  <c r="H45" i="7"/>
  <c r="M392" i="3"/>
  <c r="H44" i="7" l="1"/>
  <c r="M242" i="3"/>
  <c r="M241" i="3" s="1"/>
  <c r="M240" i="3" s="1"/>
  <c r="M239" i="3" s="1"/>
  <c r="M238" i="3" s="1"/>
  <c r="H298" i="7" l="1"/>
  <c r="H297" i="7" s="1"/>
  <c r="H296" i="7" s="1"/>
  <c r="H295" i="7" s="1"/>
  <c r="H494" i="7" l="1"/>
  <c r="H493" i="7"/>
  <c r="H492" i="7"/>
  <c r="H491" i="7" l="1"/>
  <c r="H490" i="7" s="1"/>
  <c r="M76" i="3"/>
  <c r="M75" i="3" s="1"/>
  <c r="H177" i="7" l="1"/>
  <c r="M535" i="3"/>
  <c r="M534" i="3" s="1"/>
  <c r="M606" i="3" l="1"/>
  <c r="H161" i="7" l="1"/>
  <c r="H160" i="7" s="1"/>
  <c r="M544" i="3"/>
  <c r="H358" i="7" l="1"/>
  <c r="H356" i="7" s="1"/>
  <c r="M262" i="3"/>
  <c r="H377" i="7" l="1"/>
  <c r="H376" i="7" s="1"/>
  <c r="H375" i="7" s="1"/>
  <c r="M282" i="3"/>
  <c r="M281" i="3" s="1"/>
  <c r="M280" i="3" s="1"/>
  <c r="M279" i="3" s="1"/>
  <c r="M401" i="3" l="1"/>
  <c r="M333" i="3" l="1"/>
  <c r="M332" i="3" s="1"/>
  <c r="M331" i="3" s="1"/>
  <c r="M330" i="3" s="1"/>
  <c r="H283" i="7"/>
  <c r="H282" i="7" s="1"/>
  <c r="H167" i="7" l="1"/>
  <c r="H166" i="7" s="1"/>
  <c r="M550" i="3" l="1"/>
  <c r="M600" i="3" l="1"/>
  <c r="M596" i="3" l="1"/>
  <c r="M595" i="3" s="1"/>
  <c r="M594" i="3" s="1"/>
  <c r="M593" i="3" s="1"/>
  <c r="H237" i="7" l="1"/>
  <c r="H236" i="7" s="1"/>
  <c r="H235" i="7"/>
  <c r="H234" i="7"/>
  <c r="H233" i="7"/>
  <c r="H232" i="7" l="1"/>
  <c r="H231" i="7" s="1"/>
  <c r="M275" i="3" l="1"/>
  <c r="M274" i="3" s="1"/>
  <c r="H355" i="7" l="1"/>
  <c r="H354" i="7" s="1"/>
  <c r="M578" i="3"/>
  <c r="H465" i="7" l="1"/>
  <c r="H464" i="7"/>
  <c r="M38" i="3"/>
  <c r="H61" i="7"/>
  <c r="H60" i="7" s="1"/>
  <c r="H75" i="7"/>
  <c r="H74" i="7"/>
  <c r="H73" i="7"/>
  <c r="H463" i="7" l="1"/>
  <c r="H72" i="7"/>
  <c r="M418" i="3"/>
  <c r="M410" i="3" l="1"/>
  <c r="H389" i="7"/>
  <c r="H390" i="7"/>
  <c r="M698" i="3"/>
  <c r="M704" i="3"/>
  <c r="M685" i="3"/>
  <c r="M688" i="3"/>
  <c r="H388" i="7" l="1"/>
  <c r="H345" i="7"/>
  <c r="H344" i="7" s="1"/>
  <c r="H308" i="7"/>
  <c r="H307" i="7" s="1"/>
  <c r="H468" i="7"/>
  <c r="H467" i="7" s="1"/>
  <c r="M319" i="3" l="1"/>
  <c r="M318" i="3" s="1"/>
  <c r="M317" i="3" s="1"/>
  <c r="M316" i="3" s="1"/>
  <c r="M315" i="3" s="1"/>
  <c r="M217" i="3"/>
  <c r="M216" i="3" s="1"/>
  <c r="M215" i="3" s="1"/>
  <c r="M214" i="3" s="1"/>
  <c r="M213" i="3" s="1"/>
  <c r="M212" i="3" s="1"/>
  <c r="M164" i="3"/>
  <c r="M163" i="3" s="1"/>
  <c r="M162" i="3" s="1"/>
  <c r="M161" i="3" s="1"/>
  <c r="M160" i="3" s="1"/>
  <c r="M741" i="3" l="1"/>
  <c r="M159" i="3"/>
  <c r="M254" i="3" l="1"/>
  <c r="M287" i="3"/>
  <c r="M701" i="3" l="1"/>
  <c r="M697" i="3" s="1"/>
  <c r="H48" i="7" l="1"/>
  <c r="M440" i="3" l="1"/>
  <c r="H47" i="7" l="1"/>
  <c r="M395" i="3"/>
  <c r="M366" i="3" l="1"/>
  <c r="H440" i="7" l="1"/>
  <c r="H333" i="7" l="1"/>
  <c r="M561" i="3" l="1"/>
  <c r="H181" i="7" l="1"/>
  <c r="H24" i="7" l="1"/>
  <c r="H23" i="7" s="1"/>
  <c r="M682" i="3" l="1"/>
  <c r="M445" i="3" l="1"/>
  <c r="M353" i="3" l="1"/>
  <c r="M258" i="3"/>
  <c r="M232" i="3"/>
  <c r="M64" i="3"/>
  <c r="M45" i="3"/>
  <c r="M21" i="3"/>
  <c r="M20" i="3" s="1"/>
  <c r="M50" i="3" l="1"/>
  <c r="M49" i="3" s="1"/>
  <c r="M56" i="3" l="1"/>
  <c r="M108" i="3" l="1"/>
  <c r="H98" i="7" l="1"/>
  <c r="H97" i="7" s="1"/>
  <c r="H129" i="7"/>
  <c r="M114" i="3" l="1"/>
  <c r="M113" i="3" s="1"/>
  <c r="M112" i="3" s="1"/>
  <c r="M347" i="3" l="1"/>
  <c r="H66" i="7" l="1"/>
  <c r="H67" i="7"/>
  <c r="H65" i="7" l="1"/>
  <c r="M413" i="3" l="1"/>
  <c r="H135" i="7" l="1"/>
  <c r="H134" i="7" s="1"/>
  <c r="H133" i="7" s="1"/>
  <c r="H138" i="7"/>
  <c r="H137" i="7" s="1"/>
  <c r="H136" i="7" s="1"/>
  <c r="H141" i="7"/>
  <c r="H140" i="7" s="1"/>
  <c r="H139" i="7" s="1"/>
  <c r="M346" i="3"/>
  <c r="M350" i="3"/>
  <c r="M349" i="3" s="1"/>
  <c r="M352" i="3"/>
  <c r="H117" i="7"/>
  <c r="H116" i="7" s="1"/>
  <c r="H131" i="7"/>
  <c r="M342" i="3" l="1"/>
  <c r="M341" i="3" s="1"/>
  <c r="M340" i="3" s="1"/>
  <c r="M339" i="3" s="1"/>
  <c r="H128" i="7"/>
  <c r="H230" i="7" l="1"/>
  <c r="H229" i="7" s="1"/>
  <c r="H228" i="7" s="1"/>
  <c r="H238" i="7" l="1"/>
  <c r="M589" i="3" l="1"/>
  <c r="M588" i="3" s="1"/>
  <c r="M587" i="3" s="1"/>
  <c r="M586" i="3" s="1"/>
  <c r="M585" i="3" s="1"/>
  <c r="M584" i="3" s="1"/>
  <c r="H471" i="7" l="1"/>
  <c r="M272" i="3" l="1"/>
  <c r="H149" i="7" l="1"/>
  <c r="H148" i="7" s="1"/>
  <c r="M522" i="3"/>
  <c r="H176" i="7" l="1"/>
  <c r="H175" i="7" s="1"/>
  <c r="H199" i="7"/>
  <c r="H198" i="7" s="1"/>
  <c r="H197" i="7" s="1"/>
  <c r="H261" i="7"/>
  <c r="H260" i="7" s="1"/>
  <c r="H259" i="7" s="1"/>
  <c r="H264" i="7"/>
  <c r="H263" i="7" s="1"/>
  <c r="H262" i="7" s="1"/>
  <c r="H267" i="7"/>
  <c r="H266" i="7" s="1"/>
  <c r="H265" i="7" s="1"/>
  <c r="M654" i="3" l="1"/>
  <c r="M653" i="3" s="1"/>
  <c r="M651" i="3"/>
  <c r="M650" i="3" s="1"/>
  <c r="M648" i="3"/>
  <c r="M647" i="3" s="1"/>
  <c r="M643" i="3" l="1"/>
  <c r="M642" i="3" s="1"/>
  <c r="M641" i="3" l="1"/>
  <c r="M640" i="3" s="1"/>
  <c r="M513" i="3"/>
  <c r="M512" i="3" s="1"/>
  <c r="M508" i="3" s="1"/>
  <c r="M507" i="3" s="1"/>
  <c r="M506" i="3" s="1"/>
  <c r="M505" i="3" l="1"/>
  <c r="H322" i="7" l="1"/>
  <c r="H321" i="7" s="1"/>
  <c r="H320" i="7" s="1"/>
  <c r="M210" i="3"/>
  <c r="M209" i="3" s="1"/>
  <c r="M532" i="3" l="1"/>
  <c r="M531" i="3" s="1"/>
  <c r="M530" i="3" l="1"/>
  <c r="M529" i="3" s="1"/>
  <c r="M528" i="3" s="1"/>
  <c r="M19" i="3" l="1"/>
  <c r="M18" i="3" s="1"/>
  <c r="M17" i="3" s="1"/>
  <c r="M31" i="3"/>
  <c r="M33" i="3"/>
  <c r="M44" i="3"/>
  <c r="M43" i="3" s="1"/>
  <c r="M42" i="3" s="1"/>
  <c r="M41" i="3" s="1"/>
  <c r="M717" i="3" s="1"/>
  <c r="M48" i="3"/>
  <c r="M47" i="3" s="1"/>
  <c r="M55" i="3"/>
  <c r="M54" i="3" s="1"/>
  <c r="M53" i="3" s="1"/>
  <c r="M63" i="3"/>
  <c r="M68" i="3"/>
  <c r="M70" i="3"/>
  <c r="M87" i="3"/>
  <c r="M89" i="3"/>
  <c r="M91" i="3"/>
  <c r="M93" i="3"/>
  <c r="M99" i="3"/>
  <c r="M101" i="3"/>
  <c r="M104" i="3"/>
  <c r="M103" i="3" s="1"/>
  <c r="M121" i="3"/>
  <c r="M120" i="3" s="1"/>
  <c r="M124" i="3"/>
  <c r="M123" i="3" s="1"/>
  <c r="M130" i="3"/>
  <c r="M129" i="3" s="1"/>
  <c r="M136" i="3"/>
  <c r="M135" i="3" s="1"/>
  <c r="M134" i="3" s="1"/>
  <c r="M140" i="3"/>
  <c r="M139" i="3" s="1"/>
  <c r="M138" i="3" s="1"/>
  <c r="M145" i="3"/>
  <c r="M144" i="3" s="1"/>
  <c r="M171" i="3"/>
  <c r="M170" i="3" s="1"/>
  <c r="M169" i="3" s="1"/>
  <c r="M168" i="3" s="1"/>
  <c r="M167" i="3" s="1"/>
  <c r="M177" i="3"/>
  <c r="M176" i="3" s="1"/>
  <c r="M175" i="3" s="1"/>
  <c r="M174" i="3" s="1"/>
  <c r="M173" i="3" s="1"/>
  <c r="M191" i="3"/>
  <c r="M207" i="3"/>
  <c r="M206" i="3" s="1"/>
  <c r="M202" i="3" s="1"/>
  <c r="M224" i="3"/>
  <c r="M236" i="3"/>
  <c r="M231" i="3" s="1"/>
  <c r="M251" i="3"/>
  <c r="M250" i="3" s="1"/>
  <c r="M266" i="3"/>
  <c r="M257" i="3" s="1"/>
  <c r="M269" i="3"/>
  <c r="M268" i="3" s="1"/>
  <c r="M286" i="3"/>
  <c r="M285" i="3" s="1"/>
  <c r="M284" i="3" s="1"/>
  <c r="M295" i="3"/>
  <c r="M294" i="3" s="1"/>
  <c r="M293" i="3" s="1"/>
  <c r="M292" i="3" s="1"/>
  <c r="M306" i="3"/>
  <c r="M305" i="3" s="1"/>
  <c r="M360" i="3"/>
  <c r="M362" i="3"/>
  <c r="M364" i="3"/>
  <c r="M368" i="3"/>
  <c r="M370" i="3"/>
  <c r="M375" i="3"/>
  <c r="M374" i="3" s="1"/>
  <c r="M397" i="3"/>
  <c r="M433" i="3"/>
  <c r="M520" i="3"/>
  <c r="M524" i="3"/>
  <c r="M542" i="3"/>
  <c r="M546" i="3"/>
  <c r="M548" i="3"/>
  <c r="M605" i="3"/>
  <c r="M604" i="3" s="1"/>
  <c r="M634" i="3"/>
  <c r="M633" i="3" s="1"/>
  <c r="M632" i="3" s="1"/>
  <c r="M631" i="3" s="1"/>
  <c r="M630" i="3" s="1"/>
  <c r="M759" i="3" s="1"/>
  <c r="M671" i="3"/>
  <c r="M670" i="3" s="1"/>
  <c r="M669" i="3" s="1"/>
  <c r="M668" i="3" s="1"/>
  <c r="M667" i="3" s="1"/>
  <c r="M691" i="3"/>
  <c r="M681" i="3" s="1"/>
  <c r="M680" i="3" s="1"/>
  <c r="M519" i="3" l="1"/>
  <c r="M541" i="3"/>
  <c r="M359" i="3"/>
  <c r="M166" i="3"/>
  <c r="M223" i="3"/>
  <c r="M222" i="3" s="1"/>
  <c r="M221" i="3" s="1"/>
  <c r="M220" i="3" s="1"/>
  <c r="M219" i="3" s="1"/>
  <c r="M291" i="3"/>
  <c r="M290" i="3" s="1"/>
  <c r="M324" i="3"/>
  <c r="M323" i="3" s="1"/>
  <c r="M322" i="3" s="1"/>
  <c r="M321" i="3" s="1"/>
  <c r="M311" i="3"/>
  <c r="M310" i="3" s="1"/>
  <c r="M309" i="3" s="1"/>
  <c r="M308" i="3" s="1"/>
  <c r="M143" i="3"/>
  <c r="M142" i="3" s="1"/>
  <c r="M128" i="3"/>
  <c r="M127" i="3" s="1"/>
  <c r="M126" i="3" s="1"/>
  <c r="M728" i="3" s="1"/>
  <c r="M715" i="3"/>
  <c r="M373" i="3"/>
  <c r="M372" i="3" s="1"/>
  <c r="M147" i="3"/>
  <c r="M750" i="3"/>
  <c r="M719" i="3"/>
  <c r="M201" i="3"/>
  <c r="M200" i="3" s="1"/>
  <c r="M86" i="3"/>
  <c r="M85" i="3" s="1"/>
  <c r="M84" i="3" s="1"/>
  <c r="M83" i="3" s="1"/>
  <c r="M271" i="3"/>
  <c r="M696" i="3"/>
  <c r="M695" i="3" s="1"/>
  <c r="M694" i="3" s="1"/>
  <c r="M753" i="3" s="1"/>
  <c r="M489" i="3"/>
  <c r="M488" i="3" s="1"/>
  <c r="M487" i="3" s="1"/>
  <c r="M486" i="3" s="1"/>
  <c r="M485" i="3" s="1"/>
  <c r="M484" i="3" s="1"/>
  <c r="M230" i="3"/>
  <c r="M229" i="3" s="1"/>
  <c r="M228" i="3" s="1"/>
  <c r="M227" i="3" s="1"/>
  <c r="M119" i="3"/>
  <c r="M118" i="3" s="1"/>
  <c r="M117" i="3" s="1"/>
  <c r="M727" i="3" s="1"/>
  <c r="M98" i="3"/>
  <c r="M97" i="3" s="1"/>
  <c r="M665" i="3"/>
  <c r="M661" i="3"/>
  <c r="M253" i="3"/>
  <c r="M249" i="3" s="1"/>
  <c r="M574" i="3"/>
  <c r="M573" i="3" s="1"/>
  <c r="M570" i="3"/>
  <c r="M569" i="3" s="1"/>
  <c r="M568" i="3" s="1"/>
  <c r="M564" i="3"/>
  <c r="M468" i="3"/>
  <c r="M464" i="3"/>
  <c r="M460" i="3"/>
  <c r="M459" i="3" s="1"/>
  <c r="M458" i="3" s="1"/>
  <c r="M427" i="3"/>
  <c r="M426" i="3" s="1"/>
  <c r="M405" i="3"/>
  <c r="M389" i="3"/>
  <c r="M381" i="3"/>
  <c r="M304" i="3"/>
  <c r="M190" i="3"/>
  <c r="M189" i="3" s="1"/>
  <c r="M133" i="3"/>
  <c r="M107" i="3"/>
  <c r="M106" i="3" s="1"/>
  <c r="M67" i="3"/>
  <c r="M59" i="3" s="1"/>
  <c r="M35" i="3"/>
  <c r="M26" i="3" s="1"/>
  <c r="M25" i="3" s="1"/>
  <c r="M380" i="3" l="1"/>
  <c r="M379" i="3" s="1"/>
  <c r="M463" i="3"/>
  <c r="M462" i="3" s="1"/>
  <c r="M457" i="3" s="1"/>
  <c r="M456" i="3" s="1"/>
  <c r="M718" i="3"/>
  <c r="M765" i="3"/>
  <c r="M768" i="3" s="1"/>
  <c r="M603" i="3"/>
  <c r="M602" i="3" s="1"/>
  <c r="M757" i="3" s="1"/>
  <c r="M592" i="3"/>
  <c r="M132" i="3"/>
  <c r="M729" i="3" s="1"/>
  <c r="M96" i="3"/>
  <c r="M303" i="3"/>
  <c r="M302" i="3" s="1"/>
  <c r="M358" i="3"/>
  <c r="M357" i="3" s="1"/>
  <c r="M679" i="3"/>
  <c r="M678" i="3" s="1"/>
  <c r="M518" i="3"/>
  <c r="M517" i="3" s="1"/>
  <c r="M516" i="3" s="1"/>
  <c r="M515" i="3" s="1"/>
  <c r="M540" i="3"/>
  <c r="M572" i="3"/>
  <c r="M567" i="3" s="1"/>
  <c r="M566" i="3" s="1"/>
  <c r="M747" i="3" s="1"/>
  <c r="M723" i="3"/>
  <c r="M58" i="3"/>
  <c r="M52" i="3" s="1"/>
  <c r="M256" i="3"/>
  <c r="M248" i="3" s="1"/>
  <c r="M247" i="3" s="1"/>
  <c r="M660" i="3"/>
  <c r="M659" i="3" s="1"/>
  <c r="M658" i="3" s="1"/>
  <c r="M657" i="3" s="1"/>
  <c r="M742" i="3" s="1"/>
  <c r="M763" i="3"/>
  <c r="M188" i="3"/>
  <c r="M187" i="3" s="1"/>
  <c r="M560" i="3"/>
  <c r="M559" i="3" s="1"/>
  <c r="M24" i="3"/>
  <c r="M23" i="3" s="1"/>
  <c r="M743" i="3" l="1"/>
  <c r="M16" i="3"/>
  <c r="M356" i="3"/>
  <c r="M738" i="3" s="1"/>
  <c r="M378" i="3"/>
  <c r="M377" i="3" s="1"/>
  <c r="M739" i="3" s="1"/>
  <c r="M591" i="3"/>
  <c r="M583" i="3" s="1"/>
  <c r="M756" i="3"/>
  <c r="M733" i="3"/>
  <c r="M736" i="3" s="1"/>
  <c r="M301" i="3"/>
  <c r="M752" i="3"/>
  <c r="M754" i="3" s="1"/>
  <c r="M677" i="3"/>
  <c r="M676" i="3" s="1"/>
  <c r="M95" i="3"/>
  <c r="M724" i="3" s="1"/>
  <c r="M656" i="3"/>
  <c r="M639" i="3" s="1"/>
  <c r="M539" i="3"/>
  <c r="M538" i="3" s="1"/>
  <c r="M746" i="3" s="1"/>
  <c r="M748" i="3" s="1"/>
  <c r="M116" i="3"/>
  <c r="M716" i="3"/>
  <c r="M720" i="3" l="1"/>
  <c r="M725" i="3"/>
  <c r="M730" i="3"/>
  <c r="M82" i="3"/>
  <c r="M15" i="3" s="1"/>
  <c r="M537" i="3"/>
  <c r="M504" i="3" s="1"/>
  <c r="M246" i="3" l="1"/>
  <c r="M245" i="3" s="1"/>
  <c r="M721" i="3"/>
  <c r="H93" i="7"/>
  <c r="H92" i="7" s="1"/>
  <c r="H63" i="7" l="1"/>
  <c r="H64" i="7"/>
  <c r="H62" i="7" l="1"/>
  <c r="H222" i="7" l="1"/>
  <c r="H220" i="7" l="1"/>
  <c r="H462" i="7" l="1"/>
  <c r="H248" i="7" l="1"/>
  <c r="H20" i="7" l="1"/>
  <c r="H19" i="7" s="1"/>
  <c r="H40" i="7"/>
  <c r="H38" i="7" s="1"/>
  <c r="H151" i="7" l="1"/>
  <c r="H150" i="7" s="1"/>
  <c r="H409" i="7" l="1"/>
  <c r="H408" i="7" s="1"/>
  <c r="H502" i="7" l="1"/>
  <c r="H127" i="7"/>
  <c r="H126" i="7" s="1"/>
  <c r="H124" i="7"/>
  <c r="H123" i="7" s="1"/>
  <c r="H114" i="7"/>
  <c r="H104" i="7"/>
  <c r="H101" i="7"/>
  <c r="H99" i="7" s="1"/>
  <c r="H91" i="7"/>
  <c r="H59" i="7"/>
  <c r="H58" i="7"/>
  <c r="H56" i="7"/>
  <c r="H55" i="7"/>
  <c r="H54" i="7"/>
  <c r="H52" i="7"/>
  <c r="H51" i="7"/>
  <c r="H50" i="7"/>
  <c r="H34" i="7"/>
  <c r="H31" i="7"/>
  <c r="H29" i="7"/>
  <c r="H27" i="7"/>
  <c r="H26" i="7"/>
  <c r="H110" i="7"/>
  <c r="H43" i="7"/>
  <c r="H42" i="7"/>
  <c r="H36" i="7"/>
  <c r="H35" i="7"/>
  <c r="H49" i="7" l="1"/>
  <c r="H41" i="7"/>
  <c r="H53" i="7"/>
  <c r="H57" i="7"/>
  <c r="H25" i="7"/>
  <c r="H89" i="7"/>
  <c r="H109" i="7"/>
  <c r="H115" i="7"/>
  <c r="H37" i="7"/>
  <c r="H33" i="7" s="1"/>
  <c r="H18" i="7"/>
  <c r="H22" i="7"/>
  <c r="H112" i="7"/>
  <c r="H111" i="7" s="1"/>
  <c r="H108" i="7"/>
  <c r="H107" i="7" l="1"/>
  <c r="H106" i="7" s="1"/>
  <c r="H105" i="7" s="1"/>
  <c r="H32" i="7"/>
  <c r="H518" i="7" l="1"/>
  <c r="H513" i="7"/>
  <c r="H512" i="7" s="1"/>
  <c r="H509" i="7"/>
  <c r="H508" i="7"/>
  <c r="H507" i="7"/>
  <c r="H480" i="7"/>
  <c r="H479" i="7"/>
  <c r="H476" i="7"/>
  <c r="H474" i="7"/>
  <c r="H470" i="7"/>
  <c r="H469" i="7" s="1"/>
  <c r="H466" i="7" s="1"/>
  <c r="H459" i="7"/>
  <c r="H457" i="7"/>
  <c r="H455" i="7"/>
  <c r="H451" i="7"/>
  <c r="H450" i="7"/>
  <c r="H449" i="7"/>
  <c r="H446" i="7"/>
  <c r="H434" i="7"/>
  <c r="H428" i="7"/>
  <c r="H424" i="7"/>
  <c r="H418" i="7"/>
  <c r="H412" i="7"/>
  <c r="H399" i="7"/>
  <c r="H393" i="7"/>
  <c r="H387" i="7"/>
  <c r="H386" i="7"/>
  <c r="H384" i="7"/>
  <c r="H383" i="7"/>
  <c r="H374" i="7"/>
  <c r="H373" i="7"/>
  <c r="H371" i="7"/>
  <c r="H370" i="7"/>
  <c r="H368" i="7"/>
  <c r="H367" i="7"/>
  <c r="H365" i="7"/>
  <c r="H364" i="7"/>
  <c r="H353" i="7"/>
  <c r="H350" i="7"/>
  <c r="H349" i="7" s="1"/>
  <c r="H348" i="7" s="1"/>
  <c r="H347" i="7"/>
  <c r="H343" i="7"/>
  <c r="H342" i="7"/>
  <c r="H341" i="7"/>
  <c r="H339" i="7"/>
  <c r="H338" i="7"/>
  <c r="H337" i="7"/>
  <c r="H332" i="7"/>
  <c r="H330" i="7"/>
  <c r="H316" i="7"/>
  <c r="H313" i="7"/>
  <c r="H306" i="7"/>
  <c r="H305" i="7"/>
  <c r="H304" i="7"/>
  <c r="H294" i="7"/>
  <c r="H292" i="7"/>
  <c r="H288" i="7"/>
  <c r="H285" i="7"/>
  <c r="H279" i="7"/>
  <c r="H277" i="7"/>
  <c r="H275" i="7"/>
  <c r="H273" i="7"/>
  <c r="H256" i="7"/>
  <c r="H255" i="7"/>
  <c r="H254" i="7"/>
  <c r="H250" i="7"/>
  <c r="H249" i="7" s="1"/>
  <c r="H247" i="7"/>
  <c r="H246" i="7"/>
  <c r="H226" i="7"/>
  <c r="H214" i="7"/>
  <c r="H213" i="7"/>
  <c r="H212" i="7"/>
  <c r="H207" i="7"/>
  <c r="H194" i="7"/>
  <c r="H193" i="7"/>
  <c r="H192" i="7"/>
  <c r="H189" i="7"/>
  <c r="H190" i="7"/>
  <c r="H188" i="7"/>
  <c r="H184" i="7"/>
  <c r="H183" i="7" s="1"/>
  <c r="H172" i="7"/>
  <c r="H171" i="7"/>
  <c r="H170" i="7"/>
  <c r="H165" i="7"/>
  <c r="H164" i="7" s="1"/>
  <c r="H159" i="7"/>
  <c r="H156" i="7"/>
  <c r="H147" i="7"/>
  <c r="H253" i="7" l="1"/>
  <c r="H252" i="7" s="1"/>
  <c r="H251" i="7" s="1"/>
  <c r="H385" i="7"/>
  <c r="H366" i="7"/>
  <c r="H382" i="7"/>
  <c r="H372" i="7"/>
  <c r="H363" i="7"/>
  <c r="H369" i="7"/>
  <c r="H448" i="7"/>
  <c r="H506" i="7"/>
  <c r="H505" i="7" s="1"/>
  <c r="H478" i="7"/>
  <c r="H216" i="7"/>
  <c r="H215" i="7" s="1"/>
  <c r="H352" i="7"/>
  <c r="H351" i="7" s="1"/>
  <c r="H245" i="7"/>
  <c r="H328" i="7" l="1"/>
  <c r="H163" i="7" l="1"/>
  <c r="H182" i="7"/>
  <c r="H180" i="7" s="1"/>
  <c r="H293" i="7" l="1"/>
  <c r="H291" i="7" s="1"/>
  <c r="E15" i="6" l="1"/>
  <c r="H15" i="6" l="1"/>
  <c r="H501" i="7" l="1"/>
  <c r="H500" i="7" s="1"/>
  <c r="H499" i="7" s="1"/>
  <c r="H498" i="7" s="1"/>
  <c r="H398" i="7" l="1"/>
  <c r="H397" i="7" s="1"/>
  <c r="H454" i="7" l="1"/>
  <c r="H21" i="7" l="1"/>
  <c r="H103" i="7" l="1"/>
  <c r="H102" i="7" s="1"/>
  <c r="H169" i="7" l="1"/>
  <c r="H168" i="7" s="1"/>
  <c r="H329" i="7" l="1"/>
  <c r="H346" i="7"/>
  <c r="H396" i="7" l="1"/>
  <c r="H395" i="7" s="1"/>
  <c r="H315" i="7" l="1"/>
  <c r="H314" i="7" s="1"/>
  <c r="F15" i="6" l="1"/>
  <c r="I15" i="6" s="1"/>
  <c r="H517" i="7" l="1"/>
  <c r="H516" i="7" s="1"/>
  <c r="H515" i="7" l="1"/>
  <c r="H17" i="7"/>
  <c r="H331" i="7" l="1"/>
  <c r="H407" i="7" l="1"/>
  <c r="H276" i="7"/>
  <c r="H284" i="7"/>
  <c r="H281" i="7" s="1"/>
  <c r="H278" i="7"/>
  <c r="H475" i="7" l="1"/>
  <c r="H473" i="7"/>
  <c r="H456" i="7"/>
  <c r="H472" i="7" l="1"/>
  <c r="H392" i="7"/>
  <c r="H391" i="7" s="1"/>
  <c r="H439" i="7" l="1"/>
  <c r="H438" i="7" s="1"/>
  <c r="H437" i="7" s="1"/>
  <c r="H436" i="7" s="1"/>
  <c r="H433" i="7"/>
  <c r="H432" i="7" s="1"/>
  <c r="H427" i="7"/>
  <c r="H426" i="7" s="1"/>
  <c r="H425" i="7" s="1"/>
  <c r="H423" i="7"/>
  <c r="H417" i="7"/>
  <c r="H416" i="7" s="1"/>
  <c r="H411" i="7"/>
  <c r="H410" i="7" s="1"/>
  <c r="H362" i="7" l="1"/>
  <c r="H431" i="7"/>
  <c r="H430" i="7" s="1"/>
  <c r="H415" i="7"/>
  <c r="H422" i="7"/>
  <c r="H421" i="7" s="1"/>
  <c r="H327" i="7"/>
  <c r="H326" i="7" s="1"/>
  <c r="H287" i="7"/>
  <c r="H204" i="7"/>
  <c r="H325" i="7" l="1"/>
  <c r="H211" i="7"/>
  <c r="H210" i="7" s="1"/>
  <c r="H191" i="7"/>
  <c r="H290" i="7"/>
  <c r="H289" i="7" s="1"/>
  <c r="H187" i="7"/>
  <c r="H381" i="7"/>
  <c r="H361" i="7" s="1"/>
  <c r="H360" i="7" s="1"/>
  <c r="H303" i="7"/>
  <c r="H302" i="7" s="1"/>
  <c r="H162" i="7"/>
  <c r="H155" i="7"/>
  <c r="H154" i="7" s="1"/>
  <c r="H146" i="7"/>
  <c r="H145" i="7" s="1"/>
  <c r="H30" i="7"/>
  <c r="H28" i="7"/>
  <c r="H272" i="7"/>
  <c r="H186" i="7" l="1"/>
  <c r="H185" i="7" s="1"/>
  <c r="H16" i="7"/>
  <c r="H15" i="7" s="1"/>
  <c r="H179" i="7"/>
  <c r="H158" i="7"/>
  <c r="H157" i="7" s="1"/>
  <c r="H144" i="7" l="1"/>
  <c r="H178" i="7"/>
  <c r="H143" i="7" l="1"/>
  <c r="H477" i="7"/>
  <c r="H336" i="7"/>
  <c r="H340" i="7"/>
  <c r="H335" i="7" l="1"/>
  <c r="H334" i="7" s="1"/>
  <c r="H324" i="7" s="1"/>
  <c r="H209" i="7"/>
  <c r="H458" i="7" l="1"/>
  <c r="H274" i="7"/>
  <c r="H271" i="7" s="1"/>
  <c r="H270" i="7" s="1"/>
  <c r="H504" i="7" l="1"/>
  <c r="H533" i="7" s="1"/>
  <c r="H420" i="7"/>
  <c r="H414" i="7"/>
  <c r="H406" i="7"/>
  <c r="H405" i="7" s="1"/>
  <c r="H312" i="7"/>
  <c r="H311" i="7" s="1"/>
  <c r="H286" i="7"/>
  <c r="H244" i="7"/>
  <c r="H243" i="7" s="1"/>
  <c r="H206" i="7"/>
  <c r="H203" i="7"/>
  <c r="H202" i="7" l="1"/>
  <c r="H201" i="7" s="1"/>
  <c r="H280" i="7"/>
  <c r="H269" i="7" s="1"/>
  <c r="H301" i="7"/>
  <c r="H300" i="7" l="1"/>
  <c r="H242" i="7" l="1"/>
  <c r="H445" i="7" l="1"/>
  <c r="H444" i="7" s="1"/>
  <c r="H461" i="7" l="1"/>
  <c r="H460" i="7" l="1"/>
  <c r="H447" i="7" l="1"/>
  <c r="H443" i="7" s="1"/>
  <c r="H442" i="7" l="1"/>
  <c r="H82" i="7"/>
  <c r="H81" i="7" s="1"/>
  <c r="H80" i="7" l="1"/>
  <c r="H14" i="7" s="1"/>
  <c r="H13" i="7" s="1"/>
  <c r="H529" i="7" l="1"/>
  <c r="H531" i="7" l="1"/>
  <c r="H535" i="7"/>
  <c r="H534" i="7" s="1"/>
  <c r="M432" i="3" l="1"/>
  <c r="M431" i="3" s="1"/>
  <c r="M430" i="3" s="1"/>
  <c r="M355" i="3" l="1"/>
  <c r="M740" i="3"/>
  <c r="M744" i="3" l="1"/>
  <c r="M495" i="3"/>
  <c r="M494" i="3" s="1"/>
  <c r="M493" i="3" s="1"/>
  <c r="M492" i="3" l="1"/>
  <c r="M338" i="3" s="1"/>
  <c r="M14" i="3" s="1"/>
  <c r="M758" i="3"/>
  <c r="M760" i="3" l="1"/>
  <c r="M769" i="3" s="1"/>
  <c r="D15" i="6"/>
  <c r="G15" i="6" s="1"/>
  <c r="J13" i="7"/>
</calcChain>
</file>

<file path=xl/sharedStrings.xml><?xml version="1.0" encoding="utf-8"?>
<sst xmlns="http://schemas.openxmlformats.org/spreadsheetml/2006/main" count="8244" uniqueCount="481">
  <si>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</si>
  <si>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</si>
  <si>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</si>
  <si>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</si>
  <si>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</si>
  <si>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</si>
  <si>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</si>
  <si>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</si>
  <si>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</si>
  <si>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</si>
  <si>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</si>
  <si>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</si>
  <si>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Сумма</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</si>
  <si>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</si>
  <si>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</si>
  <si>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</si>
  <si>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</si>
  <si>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</si>
  <si>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</si>
  <si>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</si>
  <si>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</si>
  <si>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</si>
  <si>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</si>
  <si>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</si>
  <si>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</si>
  <si>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</si>
  <si>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</si>
  <si>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</si>
  <si>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</si>
  <si>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</si>
  <si>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</si>
  <si>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</si>
  <si>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</si>
  <si>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</si>
  <si>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</si>
  <si>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</si>
  <si>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</si>
  <si>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</si>
  <si>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</si>
  <si>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</si>
  <si>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</si>
  <si>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</si>
  <si>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</si>
  <si>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</si>
  <si>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</si>
  <si>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</si>
  <si>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</si>
  <si>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</si>
  <si>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</si>
  <si>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</si>
  <si>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</si>
  <si>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</si>
  <si>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</si>
  <si>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</si>
  <si>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</si>
  <si>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</si>
  <si>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</si>
  <si>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</si>
  <si>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</si>
  <si>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</si>
  <si>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</si>
  <si>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</si>
  <si>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</si>
  <si>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</si>
  <si>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</si>
  <si>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</si>
  <si>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</si>
  <si>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</si>
  <si>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</si>
  <si>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</si>
  <si>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</si>
  <si>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</si>
  <si>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</si>
  <si>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</si>
  <si>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</si>
  <si>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</si>
  <si>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</si>
  <si>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</si>
  <si>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</si>
  <si>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</si>
  <si>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</si>
  <si>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</si>
  <si>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</si>
  <si>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</si>
  <si>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</si>
  <si>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</si>
  <si>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</si>
  <si>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</si>
  <si>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</si>
  <si>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</si>
  <si>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</si>
  <si>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</si>
  <si>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</si>
  <si>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</si>
  <si>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</si>
  <si>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</si>
  <si>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</si>
  <si>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</si>
  <si>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</si>
  <si>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</si>
  <si>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</si>
  <si>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</si>
  <si>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</si>
  <si>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</si>
  <si>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</si>
  <si>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</si>
  <si>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</si>
  <si>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</si>
  <si>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</si>
  <si>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</si>
  <si>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</si>
  <si>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</si>
  <si>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</si>
  <si>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</si>
  <si>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</si>
  <si>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</si>
  <si>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</si>
  <si>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</si>
  <si>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</si>
  <si>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</si>
  <si>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</si>
  <si>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</si>
  <si>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</si>
  <si>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</si>
  <si>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</si>
  <si>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</si>
  <si>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</si>
  <si>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</si>
  <si>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</si>
  <si>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</si>
  <si>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</si>
  <si>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</si>
  <si>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</si>
  <si>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</si>
  <si>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</si>
  <si>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</si>
  <si>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</si>
  <si>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</si>
  <si>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</si>
  <si>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</si>
  <si>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</si>
  <si>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</si>
  <si>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</si>
  <si>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</si>
  <si>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</si>
  <si>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</si>
  <si>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</si>
  <si>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</si>
  <si>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</si>
  <si>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</si>
  <si>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</si>
  <si>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</si>
  <si>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</si>
  <si>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</si>
  <si>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</si>
  <si>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</si>
  <si>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</si>
  <si>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</si>
  <si>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</si>
  <si>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</si>
  <si>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</si>
  <si>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</si>
  <si>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</si>
  <si>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</si>
  <si>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</si>
  <si>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</si>
  <si>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</si>
  <si>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</si>
  <si>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</si>
  <si>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</si>
  <si>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</si>
  <si>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</si>
  <si>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</si>
  <si>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</si>
  <si>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</si>
  <si>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</si>
  <si>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</si>
  <si>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</si>
  <si>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</si>
  <si>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</si>
  <si>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</si>
  <si>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</si>
  <si>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</si>
  <si>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</si>
  <si>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</si>
  <si>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</si>
  <si>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</si>
  <si>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</si>
  <si>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</si>
  <si>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</si>
  <si>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</si>
  <si>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</si>
  <si>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</si>
  <si>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</si>
  <si>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</si>
  <si>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</si>
  <si>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</si>
  <si>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</si>
  <si>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</si>
  <si>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</si>
  <si>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</si>
  <si>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</si>
  <si>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</si>
  <si>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</si>
  <si>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</si>
  <si>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</si>
  <si>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</si>
  <si>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</si>
  <si>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</si>
  <si>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</si>
  <si>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</si>
  <si>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</si>
  <si>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</si>
  <si>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</si>
  <si>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</si>
  <si>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</si>
  <si>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</si>
  <si>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</si>
  <si>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</si>
  <si>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</si>
  <si>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</si>
  <si>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Дотации на выравнивание бюджетной обеспеченности поселений</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</si>
  <si>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</si>
  <si>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</si>
  <si>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</si>
  <si>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</si>
  <si>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</si>
  <si>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</si>
  <si>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</si>
  <si>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</si>
  <si>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</si>
  <si>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</si>
  <si>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</si>
  <si>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</si>
  <si>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</si>
  <si>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</si>
  <si>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</si>
  <si>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</si>
  <si>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</si>
  <si>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</si>
  <si>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</si>
  <si>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</si>
  <si>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</si>
  <si>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</si>
  <si>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</si>
  <si>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</si>
  <si>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</si>
  <si>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</si>
  <si>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</si>
  <si>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</si>
  <si>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</si>
  <si>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</si>
  <si>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</si>
  <si>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</si>
  <si>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</si>
  <si>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</si>
  <si>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</si>
  <si>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</si>
  <si>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</si>
  <si>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</si>
  <si>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</si>
  <si>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</si>
  <si>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Создание условий для развития санаторно-курортного и туристского комплекса муниципального образования Апшеронский район</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</si>
  <si>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</si>
  <si>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</si>
  <si>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</si>
  <si>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</si>
  <si>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</si>
  <si>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</si>
  <si>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</si>
  <si>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</si>
  <si>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</si>
  <si>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</si>
  <si>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</si>
  <si>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</si>
  <si>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</si>
  <si>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</si>
  <si>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</si>
  <si>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</si>
  <si>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</si>
  <si>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</si>
  <si>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</si>
  <si>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</si>
  <si>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</si>
  <si>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</si>
  <si>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</si>
  <si>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</si>
  <si>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</si>
  <si>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</si>
  <si>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</si>
  <si>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</si>
  <si>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</si>
  <si>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</si>
  <si>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</si>
  <si>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</si>
  <si>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</si>
  <si>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</si>
  <si>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</si>
  <si>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</si>
  <si>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</si>
  <si>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</si>
  <si>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</si>
  <si>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</si>
  <si>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</si>
  <si>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</si>
  <si>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</si>
  <si>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</si>
  <si>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</si>
  <si>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</si>
  <si>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</si>
  <si>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</si>
  <si>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</si>
  <si>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</si>
  <si>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</si>
  <si>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</si>
  <si>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</si>
  <si>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11880</t>
  </si>
  <si>
    <t>Материально-техническое обеспечение деятельности органов местного самоуправления муниципального образования</t>
  </si>
  <si>
    <t>09020</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</si>
  <si>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</si>
  <si>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</si>
  <si>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</si>
  <si>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О.В.Чуйко</t>
  </si>
  <si>
    <t>0105</t>
  </si>
  <si>
    <t>60740</t>
  </si>
  <si>
    <t>10700</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</si>
  <si>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</si>
  <si>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</si>
  <si>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</si>
  <si>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</si>
  <si>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</si>
  <si>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</si>
  <si>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</si>
  <si>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925</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</si>
  <si>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</si>
  <si>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</si>
  <si>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</si>
  <si>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</si>
  <si>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</si>
  <si>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</si>
  <si>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</si>
  <si>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</si>
  <si>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</si>
  <si>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</si>
  <si>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</si>
  <si>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</si>
  <si>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</si>
  <si>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</si>
  <si>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</si>
  <si>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</si>
  <si>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</si>
  <si>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0310</t>
  </si>
  <si>
    <t>Защита населения и территории от чрезвычайных ситуаций природного и техногенного характера, пожарная безопасность</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</si>
  <si>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</si>
  <si>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</si>
  <si>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</si>
  <si>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</si>
  <si>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</si>
  <si>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</si>
  <si>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</si>
  <si>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</si>
  <si>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</si>
  <si>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</si>
  <si>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Наименование кода группы, подгруппы, статьи, элемента, подвида, аналитической группы вида источников финансирования дефицитов бюджетов</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</si>
  <si>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</si>
  <si>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</si>
  <si>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Организация газоснабжения населения (поселений) (строительство подводящих газопроводов, распределительных газопроводов)</t>
  </si>
  <si>
    <t>S0470</t>
  </si>
  <si>
    <t>2024 год</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</si>
  <si>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</si>
  <si>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</si>
  <si>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</si>
  <si>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</si>
  <si>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</si>
  <si>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8 к решению Совета муниципального образования</t>
  </si>
  <si>
    <t>Мероприятия по профилактике детского дорожно-транспортного травматизма в муниципальных образовательных учреждениях</t>
  </si>
  <si>
    <t>10220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</si>
  <si>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</si>
  <si>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</si>
  <si>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</si>
  <si>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</si>
  <si>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</si>
  <si>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</si>
  <si>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</si>
  <si>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</si>
  <si>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</si>
  <si>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</si>
  <si>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</si>
  <si>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</si>
  <si>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</si>
  <si>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</si>
  <si>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</si>
  <si>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</si>
  <si>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</si>
  <si>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R0820</t>
  </si>
  <si>
    <t>Содействие развитию физической культуры и спорта</t>
  </si>
  <si>
    <t>L5190</t>
  </si>
  <si>
    <t>Государственная поддержка отрасли культуры</t>
  </si>
  <si>
    <t>19</t>
  </si>
  <si>
    <t>2025 год</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</si>
  <si>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</si>
  <si>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</si>
  <si>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</si>
  <si>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Непрограммные расходы органов 
местного самоуправления</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</si>
  <si>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</si>
  <si>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</si>
  <si>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</si>
  <si>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</si>
  <si>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</si>
  <si>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</si>
  <si>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</si>
  <si>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</si>
  <si>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</si>
  <si>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</si>
  <si>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</si>
  <si>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</si>
  <si>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</si>
  <si>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</si>
  <si>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</si>
  <si>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</si>
  <si>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</si>
  <si>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</si>
  <si>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</si>
  <si>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</si>
  <si>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</si>
  <si>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</si>
  <si>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Спорт высших достижений</t>
  </si>
  <si>
    <t>1103</t>
  </si>
  <si>
    <t>S2570</t>
  </si>
  <si>
    <t>Подготовка изменений в правила землепользования и застройки муниципальных образований Краснодарского края</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</si>
  <si>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</si>
  <si>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</si>
  <si>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</si>
  <si>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2026 год</t>
  </si>
  <si>
    <t>классификации расходов бюджетов на 2024 год и плановый период 2025 и 2026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</si>
  <si>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год</t>
  </si>
  <si>
    <t>Ведомственная структура расходов районного бюджета на 2024 год</t>
  </si>
  <si>
    <t>Источники финансирования дефицита районного бюджета,                                                                                                                                                                                                                                                                перечень статей источников финансирования дефицитов бюджетов на 2024 год и плановый период 2025 и 2026 годов</t>
  </si>
  <si>
    <t>Содержание муниципального архива</t>
  </si>
  <si>
    <t>11860</t>
  </si>
  <si>
    <t>000 01 03 00 00 00 0000 000</t>
  </si>
  <si>
    <t>000 01 03 01 00 00 0000 000</t>
  </si>
  <si>
    <t>Бюджетные кредиты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</si>
  <si>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</si>
  <si>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</si>
  <si>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</si>
  <si>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</si>
  <si>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 xml:space="preserve">                                Приложение 5 к решению Совета муниципального образования</t>
  </si>
  <si>
    <t>S0100</t>
  </si>
  <si>
    <t>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</si>
  <si>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Осуществление отдельного государственного полномочия Краснодарского края по формированию списков семей и граждан, жилые помещения которых утрачены, и (или) списков граждан, жилые помещения которых повреждены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</si>
  <si>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</si>
  <si>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</si>
  <si>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</si>
  <si>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</si>
  <si>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</si>
  <si>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</si>
  <si>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</si>
  <si>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</si>
  <si>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А0820</t>
  </si>
  <si>
    <t>до изменений (скрыть)</t>
  </si>
  <si>
    <t>изменения</t>
  </si>
  <si>
    <t>Функционирование Правительства Российской Федерации, высших исполнительных органов субъектов Российской Федерации, местных администраций</t>
  </si>
  <si>
    <t>S0640</t>
  </si>
  <si>
    <t>Комплектование библиотечных фондов библиотек поселения</t>
  </si>
  <si>
    <t>Ремонт и укрепление материально-технической базы, в том числе приобретение автотранспорта (автобусы, микроавтобусы), техническое оснащение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</si>
  <si>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Бюджетные кредиты из других бюджетов бюджетной системы Российской Федерации</t>
  </si>
  <si>
    <t>Федеральный проект "Патриотическое воспитание граждан Российской Федерации"</t>
  </si>
  <si>
    <t>EB</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</si>
  <si>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</si>
  <si>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</si>
  <si>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Строительство, реконструкцию (в том числе реконструкцию объектов незавершенного строительства), техническое перевооружение, приобретение объектов спортивной  инфраструктуры, общего образования, дошкольного образования, отрасли культуры, сооружений инженерной защиты и берегоукрепления</t>
  </si>
  <si>
    <t>Обеспечение функционирования системы персонифицированного финансирования дополнительного образования детей</t>
  </si>
  <si>
    <t>10230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</si>
  <si>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дополнительного образования в муниципальных образовательных организациях (проведение капитальных ремонтов зданий, помещений, сооружений, территорий, прилегающих к зданиям и сооружениям)</t>
  </si>
  <si>
    <t>с учетом изменений</t>
  </si>
  <si>
    <t>Апшеронский район от 22.12.2023 № 225</t>
  </si>
  <si>
    <t>R3032</t>
  </si>
  <si>
    <t>18</t>
  </si>
  <si>
    <t>Апшеронский район от 15.02.2024 № 228</t>
  </si>
  <si>
    <t>Апшеронский район  от 15.02.2024 № 228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</si>
</sst>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_р_._-;\-* #,##0_р_._-;_-* &quot;-&quot;_р_._-;_-@_-"/>
    <numFmt numFmtId="165" formatCode="_-* #,##0.00_р_._-;\-* #,##0.00_р_._-;_-* &quot;-&quot;??_р_._-;_-@_-"/>
    <numFmt numFmtId="166" formatCode="0.0"/>
    <numFmt numFmtId="167" formatCode="0.00000"/>
    <numFmt numFmtId="168" formatCode="0.0_ ;[Red]\-0.0\ "/>
    <numFmt numFmtId="169" formatCode="#,##0.00000"/>
    <numFmt numFmtId="170" formatCode="0.000000"/>
    <numFmt numFmtId="171" formatCode="0.00000_ ;[Red]\-0.00000\ "/>
    <numFmt numFmtId="172" formatCode="_-* #,##0.00000_р_._-;\-* #,##0.00000_р_._-;_-* &quot;-&quot;?????_р_._-;_-@_-"/>
    <numFmt numFmtId="173" formatCode="#,##0.0_ ;\-#,##0.0\ "/>
    <numFmt numFmtId="174" formatCode="#,##0.0000000_ ;[Red]\-#,##0.0000000\ "/>
  </numFmts>
  <fonts count="21"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sz val="14"/>
      <name val="Arial"/>
      <family val="2"/>
      <charset val="204"/>
    </font>
    <font>
      <b/>
      <sz val="12"/>
      <name val="Times New Roman"/>
      <family val="1"/>
    </font>
    <font>
      <sz val="11"/>
      <name val="Calibri"/>
      <family val="2"/>
      <scheme val="minor"/>
    </font>
    <font>
      <sz val="11"/>
      <color theme="1"/>
      <name val="Calibri"/>
      <family val="2"/>
      <scheme val="minor"/>
    </font>
    <font>
      <sz val="11"/>
      <name val="Times New Roman"/>
      <family val="1"/>
      <charset val="204"/>
    </font>
    <font>
      <b/>
      <sz val="11"/>
      <name val="Times New Roman"/>
      <family val="1"/>
      <charset val="204"/>
    </font>
    <font>
      <sz val="11"/>
      <name val="Calibri"/>
      <family val="2"/>
    </font>
    <font>
      <sz val="14"/>
      <color rgb="FFFF0000"/>
      <name val="Times New Roman"/>
      <family val="1"/>
      <charset val="204"/>
    </font>
    <font>
      <b/>
      <i/>
      <sz val="12"/>
      <name val="Times New Roman"/>
      <family val="1"/>
      <charset val="204"/>
    </font>
    <font>
      <sz val="14"/>
      <color rgb="FFC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64"/>
      </bottom>
      <diagonal/>
    </border>
  </borders>
  <cellStyleXfs count="20">
    <xf numFmtId="0" fontId="0" fillId="0" borderId="0"/>
    <xf numFmtId="0" fontId="5" fillId="0" borderId="0"/>
    <xf numFmtId="0" fontId="6" fillId="0" borderId="0"/>
    <xf numFmtId="0" fontId="5" fillId="0" borderId="0"/>
    <xf numFmtId="0" fontId="5" fillId="0" borderId="0"/>
    <xf numFmtId="0" fontId="8" fillId="0" borderId="0"/>
    <xf numFmtId="0" fontId="6" fillId="0" borderId="0"/>
    <xf numFmtId="0" fontId="6" fillId="0" borderId="0"/>
    <xf numFmtId="0" fontId="5" fillId="0" borderId="0"/>
    <xf numFmtId="0" fontId="6" fillId="0" borderId="0"/>
    <xf numFmtId="165" fontId="6" fillId="0" borderId="0" applyFont="0" applyFill="0" applyBorder="0" applyAlignment="0" applyProtection="0"/>
    <xf numFmtId="0" fontId="8" fillId="0" borderId="0"/>
    <xf numFmtId="0" fontId="8" fillId="0" borderId="0"/>
    <xf numFmtId="164" fontId="14" fillId="0" borderId="0" applyFont="0" applyFill="0" applyBorder="0" applyAlignment="0" applyProtection="0"/>
    <xf numFmtId="0" fontId="8" fillId="0" borderId="0"/>
    <xf numFmtId="0" fontId="5" fillId="0" borderId="0"/>
    <xf numFmtId="0" fontId="8" fillId="0" borderId="0"/>
    <xf numFmtId="0" fontId="14" fillId="0" borderId="0"/>
    <xf numFmtId="0" fontId="6" fillId="0" borderId="0"/>
    <xf numFmtId="43" fontId="14" fillId="0" borderId="0" applyFont="0" applyFill="0" applyBorder="0" applyAlignment="0" applyProtection="0"/>
  </cellStyleXfs>
  <cellXfs count="546">
    <xf numFmtId="0" fontId="0" fillId="0" borderId="0" xfId="0"/>
    <xf numFmtId="0" fontId="13" fillId="2" borderId="0" xfId="0" applyFont="1" applyFill="1"/>
    <xf numFmtId="0" fontId="7" fillId="2" borderId="0" xfId="0" applyFont="1" applyFill="1" applyBorder="1" applyAlignment="1">
      <alignment horizontal="center"/>
    </xf>
    <xf numFmtId="49" fontId="7" fillId="2" borderId="0" xfId="0" applyNumberFormat="1" applyFont="1" applyFill="1" applyBorder="1" applyAlignment="1">
      <alignment horizontal="center" vertical="top" wrapText="1"/>
    </xf>
    <xf numFmtId="49" fontId="7" fillId="2" borderId="0" xfId="0" applyNumberFormat="1" applyFont="1" applyFill="1" applyBorder="1" applyAlignment="1">
      <alignment horizontal="center"/>
    </xf>
    <xf numFmtId="167" fontId="13" fillId="2" borderId="0" xfId="0" applyNumberFormat="1" applyFont="1" applyFill="1" applyBorder="1" applyAlignment="1"/>
    <xf numFmtId="167" fontId="7" fillId="2" borderId="0" xfId="0" applyNumberFormat="1" applyFont="1" applyFill="1" applyAlignment="1">
      <alignment horizontal="center"/>
    </xf>
    <xf numFmtId="0" fontId="7"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3"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3" fillId="2" borderId="0" xfId="0" applyFont="1" applyFill="1" applyAlignment="1">
      <alignment horizontal="right"/>
    </xf>
    <xf numFmtId="49" fontId="9" fillId="2" borderId="0" xfId="7" applyNumberFormat="1" applyFont="1" applyFill="1" applyBorder="1" applyAlignment="1">
      <alignment vertical="top" wrapText="1"/>
    </xf>
    <xf numFmtId="49" fontId="10" fillId="2" borderId="0" xfId="7" applyNumberFormat="1" applyFont="1" applyFill="1" applyBorder="1" applyAlignment="1">
      <alignment horizontal="center"/>
    </xf>
    <xf numFmtId="166" fontId="4" fillId="2" borderId="0" xfId="7" applyNumberFormat="1" applyFont="1" applyFill="1" applyBorder="1" applyAlignment="1"/>
    <xf numFmtId="0" fontId="10" fillId="2" borderId="0" xfId="7" applyFont="1" applyFill="1"/>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3" fillId="2" borderId="0" xfId="0" applyFont="1" applyFill="1" applyBorder="1"/>
    <xf numFmtId="0" fontId="7" fillId="2" borderId="0" xfId="7" applyFont="1" applyFill="1"/>
    <xf numFmtId="49" fontId="12" fillId="2" borderId="0" xfId="7" applyNumberFormat="1" applyFont="1" applyFill="1" applyBorder="1" applyAlignment="1">
      <alignment vertical="top" wrapText="1"/>
    </xf>
    <xf numFmtId="49" fontId="7"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7" fontId="1" fillId="2" borderId="0" xfId="7" applyNumberFormat="1" applyFont="1" applyFill="1" applyAlignment="1">
      <alignment horizontal="right"/>
    </xf>
    <xf numFmtId="0" fontId="2" fillId="2" borderId="1" xfId="0" applyFont="1" applyFill="1" applyBorder="1" applyAlignment="1">
      <alignment horizontal="center" vertical="top"/>
    </xf>
    <xf numFmtId="0" fontId="12" fillId="2" borderId="0" xfId="0" applyFont="1" applyFill="1"/>
    <xf numFmtId="0" fontId="9" fillId="2" borderId="0" xfId="0" applyFont="1" applyFill="1"/>
    <xf numFmtId="0" fontId="10" fillId="2" borderId="0" xfId="0" applyFont="1" applyFill="1"/>
    <xf numFmtId="0" fontId="17" fillId="2" borderId="0" xfId="0" applyFont="1" applyFill="1"/>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0" fontId="12"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7"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7" fillId="2" borderId="0" xfId="5" applyFont="1" applyFill="1"/>
    <xf numFmtId="0" fontId="12" fillId="2" borderId="0" xfId="5" applyFont="1" applyFill="1"/>
    <xf numFmtId="166" fontId="9" fillId="2" borderId="0" xfId="0" applyNumberFormat="1" applyFont="1" applyFill="1"/>
    <xf numFmtId="166" fontId="10" fillId="2" borderId="0" xfId="0" applyNumberFormat="1" applyFont="1" applyFill="1"/>
    <xf numFmtId="49" fontId="1" fillId="2" borderId="1" xfId="6" applyNumberFormat="1" applyFont="1" applyFill="1" applyBorder="1" applyAlignment="1">
      <alignment horizontal="center" wrapText="1"/>
    </xf>
    <xf numFmtId="167" fontId="7" fillId="2" borderId="0" xfId="7" applyNumberFormat="1" applyFont="1" applyFill="1"/>
    <xf numFmtId="166" fontId="10" fillId="2" borderId="1" xfId="0" applyNumberFormat="1" applyFont="1" applyFill="1" applyBorder="1"/>
    <xf numFmtId="49" fontId="4" fillId="2" borderId="1" xfId="0" applyNumberFormat="1" applyFont="1" applyFill="1" applyBorder="1" applyAlignment="1">
      <alignment horizontal="center"/>
    </xf>
    <xf numFmtId="166" fontId="9" fillId="2" borderId="1" xfId="0" applyNumberFormat="1" applyFont="1" applyFill="1" applyBorder="1"/>
    <xf numFmtId="171" fontId="7"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1" fontId="7" fillId="2" borderId="0" xfId="16" applyNumberFormat="1" applyFont="1" applyFill="1"/>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1" fontId="7" fillId="2" borderId="0" xfId="14" applyNumberFormat="1" applyFont="1" applyFill="1"/>
    <xf numFmtId="0" fontId="7"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8" fontId="9" fillId="2" borderId="0" xfId="0" applyNumberFormat="1" applyFont="1" applyFill="1"/>
    <xf numFmtId="168" fontId="12"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17" fillId="2" borderId="0" xfId="0" applyFont="1" applyFill="1" applyBorder="1"/>
    <xf numFmtId="166" fontId="10" fillId="2" borderId="0" xfId="0" applyNumberFormat="1" applyFont="1" applyFill="1" applyBorder="1"/>
    <xf numFmtId="166" fontId="9" fillId="2" borderId="0" xfId="0" applyNumberFormat="1" applyFont="1" applyFill="1" applyBorder="1"/>
    <xf numFmtId="169" fontId="1" fillId="2" borderId="1" xfId="1" applyNumberFormat="1" applyFont="1" applyFill="1" applyBorder="1" applyAlignment="1">
      <alignment horizontal="center" vertical="center" wrapText="1"/>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1" fillId="2" borderId="0" xfId="3" applyFont="1" applyFill="1"/>
    <xf numFmtId="2" fontId="13" fillId="2" borderId="0" xfId="0" applyNumberFormat="1" applyFont="1" applyFill="1"/>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1"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69"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3"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3" fontId="1" fillId="2" borderId="0" xfId="3" applyNumberFormat="1" applyFont="1" applyFill="1" applyBorder="1" applyAlignment="1"/>
    <xf numFmtId="166" fontId="4" fillId="2" borderId="1" xfId="7" applyNumberFormat="1" applyFont="1" applyFill="1" applyBorder="1" applyAlignment="1">
      <alignment horizontal="right"/>
    </xf>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166" fontId="1" fillId="2" borderId="21" xfId="16" applyNumberFormat="1" applyFont="1" applyFill="1" applyBorder="1" applyAlignment="1">
      <alignment horizontal="right"/>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0"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2" xfId="12" applyNumberFormat="1" applyFont="1" applyFill="1" applyBorder="1" applyAlignment="1">
      <alignment horizontal="center"/>
    </xf>
    <xf numFmtId="166" fontId="1" fillId="2" borderId="31" xfId="16" applyNumberFormat="1" applyFont="1" applyFill="1" applyBorder="1" applyAlignment="1">
      <alignment horizontal="right"/>
    </xf>
    <xf numFmtId="0" fontId="3" fillId="2" borderId="0" xfId="3" applyFont="1" applyFill="1"/>
    <xf numFmtId="167" fontId="3" fillId="2" borderId="0" xfId="3" applyNumberFormat="1" applyFont="1" applyFill="1"/>
    <xf numFmtId="169"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18"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7"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73" fontId="1" fillId="2" borderId="12" xfId="19" applyNumberFormat="1" applyFont="1" applyFill="1" applyBorder="1" applyAlignment="1">
      <alignment vertical="top"/>
    </xf>
    <xf numFmtId="173" fontId="3" fillId="2" borderId="12" xfId="0" applyNumberFormat="1" applyFont="1" applyFill="1" applyBorder="1"/>
    <xf numFmtId="173" fontId="3" fillId="2" borderId="12" xfId="0" applyNumberFormat="1" applyFont="1" applyFill="1" applyBorder="1" applyAlignment="1">
      <alignment vertical="top"/>
    </xf>
    <xf numFmtId="173"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3" fontId="4" fillId="2" borderId="12" xfId="13" applyNumberFormat="1" applyFont="1" applyFill="1" applyBorder="1" applyAlignment="1">
      <alignment horizontal="right" vertical="center"/>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0" fillId="2" borderId="0" xfId="7" applyFont="1" applyFill="1" applyAlignment="1">
      <alignment horizontal="center"/>
    </xf>
    <xf numFmtId="166" fontId="10" fillId="2" borderId="0" xfId="7" applyNumberFormat="1" applyFont="1" applyFill="1"/>
    <xf numFmtId="0" fontId="10" fillId="2" borderId="0" xfId="7" applyFont="1" applyFill="1" applyBorder="1" applyAlignment="1">
      <alignment horizontal="center" vertical="top"/>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9"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7"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4" fillId="2" borderId="1" xfId="6" applyNumberFormat="1" applyFont="1" applyFill="1" applyBorder="1" applyAlignment="1">
      <alignment horizontal="center"/>
    </xf>
    <xf numFmtId="166" fontId="10" fillId="2" borderId="0" xfId="7" applyNumberFormat="1" applyFont="1" applyFill="1" applyAlignment="1">
      <alignment horizontal="center"/>
    </xf>
    <xf numFmtId="49" fontId="10" fillId="2" borderId="0" xfId="7" applyNumberFormat="1" applyFont="1" applyFill="1" applyAlignment="1">
      <alignment vertical="top" wrapText="1"/>
    </xf>
    <xf numFmtId="49" fontId="10"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0" fontId="10"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29" xfId="6" applyNumberFormat="1" applyFont="1" applyFill="1" applyBorder="1" applyAlignment="1">
      <alignment horizontal="center"/>
    </xf>
    <xf numFmtId="49" fontId="3" fillId="2" borderId="32"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3" xfId="11" applyNumberFormat="1" applyFont="1" applyFill="1" applyBorder="1" applyAlignment="1">
      <alignment horizontal="center"/>
    </xf>
    <xf numFmtId="49" fontId="3" fillId="2" borderId="34" xfId="16" applyNumberFormat="1" applyFont="1" applyFill="1" applyBorder="1" applyAlignment="1">
      <alignment horizontal="center"/>
    </xf>
    <xf numFmtId="49" fontId="3" fillId="2" borderId="35"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166" fontId="1" fillId="2" borderId="36" xfId="16" applyNumberFormat="1" applyFont="1" applyFill="1" applyBorder="1" applyAlignment="1">
      <alignment horizontal="right"/>
    </xf>
    <xf numFmtId="49" fontId="1" fillId="2" borderId="17" xfId="14" applyNumberFormat="1" applyFont="1" applyFill="1" applyBorder="1" applyAlignment="1">
      <alignment horizontal="center"/>
    </xf>
    <xf numFmtId="166" fontId="1" fillId="2" borderId="22" xfId="16" applyNumberFormat="1" applyFont="1" applyFill="1" applyBorder="1" applyAlignment="1">
      <alignment horizontal="right"/>
    </xf>
    <xf numFmtId="0" fontId="18" fillId="2" borderId="0" xfId="3" applyFont="1" applyFill="1"/>
    <xf numFmtId="172" fontId="1" fillId="2" borderId="0" xfId="3" applyNumberFormat="1" applyFont="1" applyFill="1"/>
    <xf numFmtId="10" fontId="1" fillId="2" borderId="0" xfId="3" applyNumberFormat="1" applyFont="1" applyFill="1"/>
    <xf numFmtId="170" fontId="2" fillId="2" borderId="0" xfId="3" applyNumberFormat="1" applyFont="1" applyFill="1"/>
    <xf numFmtId="172" fontId="2" fillId="2" borderId="0" xfId="3" applyNumberFormat="1" applyFont="1" applyFill="1"/>
    <xf numFmtId="167" fontId="2" fillId="2" borderId="0" xfId="3" applyNumberFormat="1" applyFont="1" applyFill="1" applyAlignment="1">
      <alignment shrinkToFit="1"/>
    </xf>
    <xf numFmtId="0" fontId="2" fillId="2" borderId="0" xfId="3" applyFont="1" applyFill="1"/>
    <xf numFmtId="167" fontId="1" fillId="2" borderId="0" xfId="7" applyNumberFormat="1" applyFont="1" applyFill="1"/>
    <xf numFmtId="49" fontId="1" fillId="2" borderId="31"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29" xfId="6" applyNumberFormat="1" applyFont="1" applyFill="1" applyBorder="1" applyAlignment="1">
      <alignment horizontal="center"/>
    </xf>
    <xf numFmtId="49" fontId="1" fillId="2" borderId="32"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29"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1" xfId="14" applyFont="1" applyFill="1" applyBorder="1" applyAlignment="1">
      <alignment horizontal="center" vertical="top"/>
    </xf>
    <xf numFmtId="49" fontId="1" fillId="2" borderId="31" xfId="11" applyNumberFormat="1" applyFont="1" applyFill="1" applyBorder="1" applyAlignment="1">
      <alignment horizontal="center"/>
    </xf>
    <xf numFmtId="49" fontId="1" fillId="2" borderId="38" xfId="6" applyNumberFormat="1" applyFont="1" applyFill="1" applyBorder="1" applyAlignment="1">
      <alignment horizontal="center"/>
    </xf>
    <xf numFmtId="49" fontId="1" fillId="2" borderId="37" xfId="14" applyNumberFormat="1" applyFont="1" applyFill="1" applyBorder="1" applyAlignment="1">
      <alignment horizontal="center"/>
    </xf>
    <xf numFmtId="49" fontId="1" fillId="2" borderId="30" xfId="14" applyNumberFormat="1" applyFont="1" applyFill="1" applyBorder="1" applyAlignment="1">
      <alignment horizontal="center"/>
    </xf>
    <xf numFmtId="49" fontId="1" fillId="2" borderId="38" xfId="14" applyNumberFormat="1" applyFont="1" applyFill="1" applyBorder="1" applyAlignment="1">
      <alignment horizontal="center"/>
    </xf>
    <xf numFmtId="166" fontId="3" fillId="2" borderId="0" xfId="0" applyNumberFormat="1" applyFont="1" applyFill="1" applyBorder="1" applyAlignment="1">
      <alignment horizontal="right"/>
    </xf>
    <xf numFmtId="166" fontId="7" fillId="2" borderId="0" xfId="7" applyNumberFormat="1" applyFont="1" applyFill="1"/>
    <xf numFmtId="166" fontId="16" fillId="2" borderId="1" xfId="0" applyNumberFormat="1" applyFont="1" applyFill="1" applyBorder="1"/>
    <xf numFmtId="166" fontId="15" fillId="2" borderId="0" xfId="0" applyNumberFormat="1" applyFont="1" applyFill="1" applyBorder="1"/>
    <xf numFmtId="166" fontId="3" fillId="2" borderId="0" xfId="0" applyNumberFormat="1" applyFont="1" applyFill="1" applyBorder="1"/>
    <xf numFmtId="166" fontId="13"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0" fontId="13"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8"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1" fillId="2" borderId="19" xfId="16" applyNumberFormat="1" applyFont="1" applyFill="1" applyBorder="1" applyAlignment="1">
      <alignmen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7"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0" fontId="3" fillId="2" borderId="0" xfId="3" applyFont="1" applyFill="1" applyBorder="1" applyAlignment="1">
      <alignment vertical="top" wrapText="1"/>
    </xf>
    <xf numFmtId="173" fontId="3" fillId="2" borderId="0" xfId="0" applyNumberFormat="1" applyFont="1" applyFill="1" applyBorder="1" applyAlignment="1">
      <alignment vertical="top"/>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29" xfId="16" applyFont="1" applyFill="1" applyBorder="1" applyAlignment="1">
      <alignment horizontal="center" vertical="top"/>
    </xf>
    <xf numFmtId="49" fontId="1" fillId="2" borderId="32"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2" xfId="16" applyNumberFormat="1" applyFont="1" applyFill="1" applyBorder="1" applyAlignment="1">
      <alignment horizontal="center"/>
    </xf>
    <xf numFmtId="49" fontId="3" fillId="2" borderId="41"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3" fontId="3" fillId="2" borderId="10" xfId="0" applyNumberFormat="1" applyFont="1" applyFill="1" applyBorder="1" applyAlignment="1">
      <alignment vertical="top"/>
    </xf>
    <xf numFmtId="49" fontId="3" fillId="2" borderId="39" xfId="11" applyNumberFormat="1" applyFont="1" applyFill="1" applyBorder="1" applyAlignment="1">
      <alignment horizontal="center" wrapText="1"/>
    </xf>
    <xf numFmtId="49" fontId="3" fillId="2" borderId="40" xfId="11" applyNumberFormat="1" applyFont="1" applyFill="1" applyBorder="1" applyAlignment="1">
      <alignment horizontal="center"/>
    </xf>
    <xf numFmtId="0" fontId="1" fillId="2" borderId="21" xfId="16" applyFont="1" applyFill="1" applyBorder="1" applyAlignment="1">
      <alignment horizontal="center" vertical="top"/>
    </xf>
    <xf numFmtId="49" fontId="1" fillId="2" borderId="1" xfId="5" applyNumberFormat="1" applyFont="1" applyFill="1" applyBorder="1" applyAlignment="1">
      <alignment vertical="center" wrapText="1"/>
    </xf>
    <xf numFmtId="0" fontId="1" fillId="2" borderId="5" xfId="14" applyFont="1" applyFill="1" applyBorder="1" applyAlignment="1">
      <alignment horizontal="center" vertical="top"/>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0" fontId="1" fillId="2" borderId="17" xfId="16" applyFont="1" applyFill="1" applyBorder="1" applyAlignment="1">
      <alignment horizontal="center" vertical="top"/>
    </xf>
    <xf numFmtId="49" fontId="1" fillId="2" borderId="25" xfId="16" applyNumberFormat="1" applyFont="1" applyFill="1" applyBorder="1" applyAlignment="1">
      <alignment horizontal="center"/>
    </xf>
    <xf numFmtId="49" fontId="1" fillId="2" borderId="1" xfId="16" applyNumberFormat="1" applyFont="1" applyFill="1" applyBorder="1" applyAlignment="1">
      <alignment horizontal="center"/>
    </xf>
    <xf numFmtId="167" fontId="3" fillId="2" borderId="0" xfId="7" applyNumberFormat="1" applyFont="1" applyFill="1" applyAlignment="1">
      <alignment horizontal="right"/>
    </xf>
    <xf numFmtId="0" fontId="3" fillId="2" borderId="0" xfId="7" applyFont="1" applyFill="1" applyBorder="1" applyAlignment="1">
      <alignment horizontal="left"/>
    </xf>
    <xf numFmtId="0" fontId="3" fillId="2" borderId="0" xfId="7" applyFont="1" applyFill="1" applyAlignment="1">
      <alignment horizontal="left"/>
    </xf>
    <xf numFmtId="0" fontId="1" fillId="2" borderId="0" xfId="7" applyFont="1" applyFill="1" applyBorder="1" applyAlignment="1">
      <alignment horizontal="left"/>
    </xf>
    <xf numFmtId="0" fontId="1" fillId="2" borderId="0" xfId="7" applyFont="1" applyFill="1" applyAlignment="1">
      <alignment horizontal="left"/>
    </xf>
    <xf numFmtId="49" fontId="1" fillId="2" borderId="19" xfId="11" applyNumberFormat="1" applyFont="1" applyFill="1" applyBorder="1" applyAlignment="1">
      <alignment horizontal="center" wrapText="1"/>
    </xf>
    <xf numFmtId="49" fontId="1" fillId="2" borderId="22" xfId="16" applyNumberFormat="1" applyFont="1" applyFill="1" applyBorder="1" applyAlignment="1">
      <alignment vertical="center" wrapText="1"/>
    </xf>
    <xf numFmtId="166" fontId="1" fillId="2" borderId="0" xfId="7" applyNumberFormat="1" applyFont="1" applyFill="1" applyAlignment="1">
      <alignment horizontal="right"/>
    </xf>
    <xf numFmtId="173" fontId="3" fillId="2" borderId="12" xfId="13" applyNumberFormat="1" applyFont="1" applyFill="1" applyBorder="1" applyAlignment="1">
      <alignment horizontal="right" vertical="center"/>
    </xf>
    <xf numFmtId="173" fontId="4" fillId="2" borderId="0" xfId="13" applyNumberFormat="1" applyFont="1" applyFill="1" applyBorder="1" applyAlignment="1">
      <alignment horizontal="right" vertical="center"/>
    </xf>
    <xf numFmtId="173" fontId="3" fillId="2" borderId="0" xfId="13" applyNumberFormat="1" applyFont="1" applyFill="1" applyBorder="1" applyAlignment="1">
      <alignment horizontal="right" vertical="center"/>
    </xf>
    <xf numFmtId="49" fontId="4" fillId="2" borderId="1" xfId="7" applyNumberFormat="1" applyFont="1" applyFill="1" applyBorder="1" applyAlignment="1">
      <alignment horizontal="left" wrapText="1"/>
    </xf>
    <xf numFmtId="49" fontId="1" fillId="2" borderId="1" xfId="4" applyNumberFormat="1" applyFont="1" applyFill="1" applyBorder="1" applyAlignment="1" applyProtection="1">
      <alignment horizontal="left" vertical="center" wrapText="1"/>
      <protection hidden="1"/>
    </xf>
    <xf numFmtId="49" fontId="1" fillId="2" borderId="1" xfId="7" applyNumberFormat="1" applyFont="1" applyFill="1" applyBorder="1" applyAlignment="1">
      <alignment horizontal="left" wrapText="1"/>
    </xf>
    <xf numFmtId="49" fontId="1" fillId="2" borderId="3" xfId="5" applyNumberFormat="1" applyFont="1" applyFill="1" applyBorder="1" applyAlignment="1">
      <alignment horizontal="left" wrapText="1"/>
    </xf>
    <xf numFmtId="49" fontId="1" fillId="2" borderId="43" xfId="6" applyNumberFormat="1" applyFont="1" applyFill="1" applyBorder="1" applyAlignment="1">
      <alignment horizontal="center"/>
    </xf>
    <xf numFmtId="49" fontId="1" fillId="2" borderId="37" xfId="16" applyNumberFormat="1" applyFont="1" applyFill="1" applyBorder="1" applyAlignment="1">
      <alignment horizontal="center"/>
    </xf>
    <xf numFmtId="49" fontId="1" fillId="2" borderId="26" xfId="11" applyNumberFormat="1" applyFont="1" applyFill="1" applyBorder="1" applyAlignment="1">
      <alignment horizontal="center"/>
    </xf>
    <xf numFmtId="49" fontId="1" fillId="2" borderId="22" xfId="11" applyNumberFormat="1" applyFont="1" applyFill="1" applyBorder="1" applyAlignment="1">
      <alignment horizontal="center"/>
    </xf>
    <xf numFmtId="49" fontId="1" fillId="2" borderId="21" xfId="12" applyNumberFormat="1" applyFont="1" applyFill="1" applyBorder="1" applyAlignment="1">
      <alignment horizontal="center" wrapText="1"/>
    </xf>
    <xf numFmtId="49" fontId="1" fillId="2" borderId="21" xfId="12" applyNumberFormat="1" applyFont="1" applyFill="1" applyBorder="1" applyAlignment="1">
      <alignment horizontal="center"/>
    </xf>
    <xf numFmtId="167"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67"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wrapText="1"/>
    </xf>
    <xf numFmtId="174" fontId="19" fillId="2" borderId="0" xfId="7" applyNumberFormat="1" applyFont="1" applyFill="1"/>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67" fontId="3" fillId="2" borderId="2" xfId="3" applyNumberFormat="1" applyFont="1" applyFill="1" applyBorder="1" applyAlignment="1">
      <alignment horizontal="center" vertical="center"/>
    </xf>
    <xf numFmtId="167" fontId="3" fillId="2" borderId="9" xfId="3" applyNumberFormat="1" applyFont="1" applyFill="1" applyBorder="1" applyAlignment="1">
      <alignment horizontal="center" vertical="center"/>
    </xf>
    <xf numFmtId="167"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3" fontId="20" fillId="2" borderId="5" xfId="19" applyFont="1" applyFill="1" applyBorder="1" applyAlignment="1">
      <alignment horizontal="center" vertical="center" wrapText="1"/>
    </xf>
    <xf numFmtId="43" fontId="20" fillId="2" borderId="13" xfId="19" applyFont="1" applyFill="1" applyBorder="1" applyAlignment="1">
      <alignment horizontal="center" vertical="center" wrapText="1"/>
    </xf>
    <xf numFmtId="43" fontId="3" fillId="2" borderId="2" xfId="19" applyFont="1" applyFill="1" applyBorder="1" applyAlignment="1">
      <alignment horizontal="center" vertical="center" wrapText="1"/>
    </xf>
    <xf numFmtId="43" fontId="3" fillId="2" borderId="3" xfId="19"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49" fontId="1" fillId="2" borderId="26" xfId="11" applyNumberFormat="1" applyFont="1" applyFill="1" applyBorder="1" applyAlignment="1">
      <alignment horizontal="center" wrapText="1"/>
    </xf>
    <xf numFmtId="49" fontId="1" fillId="2" borderId="29" xfId="16" applyNumberFormat="1" applyFont="1" applyFill="1" applyBorder="1" applyAlignment="1">
      <alignment horizontal="center"/>
    </xf>
    <xf numFmtId="166" fontId="1" fillId="2" borderId="18" xfId="16" applyNumberFormat="1" applyFont="1" applyFill="1" applyBorder="1" applyAlignment="1">
      <alignment horizontal="right"/>
    </xf>
    <xf numFmtId="49" fontId="1" fillId="2" borderId="30" xfId="11" applyNumberFormat="1" applyFont="1" applyFill="1" applyBorder="1" applyAlignment="1">
      <alignment horizontal="center" wrapText="1"/>
    </xf>
    <xf numFmtId="49" fontId="1" fillId="2" borderId="36" xfId="16" applyNumberFormat="1" applyFont="1" applyFill="1" applyBorder="1" applyAlignment="1">
      <alignment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CCECFF"/>
      <color rgb="FFFFCCCC"/>
      <color rgb="FFF6FED8"/>
      <color rgb="FFFFFFCC"/>
      <color rgb="FFFFFF99"/>
      <color rgb="FFDB8DBF"/>
      <color rgb="FFB00000"/>
      <color rgb="FF95C4D3"/>
      <color rgb="FF54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64"/>
  <sheetViews>
    <sheetView tabSelected="1" topLeftCell="A31" zoomScale="90" zoomScaleNormal="90" zoomScaleSheetLayoutView="80" workbookViewId="0">
      <selection activeCell="K10" sqref="K10"/>
    </sheetView>
  </sheetViews>
  <sheetFormatPr defaultColWidth="9.109375" defaultRowHeight="18" x14ac:dyDescent="0.35"/>
  <cols>
    <col min="1" max="1" width="6.109375" style="195" customWidth="1"/>
    <col min="2" max="2" width="9.109375" style="195" customWidth="1"/>
    <col min="3" max="3" width="59.88671875" style="195" customWidth="1"/>
    <col min="4" max="4" width="18.6640625" style="196" customWidth="1"/>
    <col min="5" max="5" width="15.33203125" style="195" customWidth="1"/>
    <col min="6" max="6" width="14.33203125" style="195" customWidth="1"/>
    <col min="7" max="7" width="11.109375" style="195" hidden="1" customWidth="1"/>
    <col min="8" max="9" width="11.33203125" style="195" hidden="1" customWidth="1"/>
    <col min="10" max="16384" width="9.109375" style="195"/>
  </cols>
  <sheetData>
    <row r="1" spans="1:9" x14ac:dyDescent="0.35">
      <c r="F1" s="105" t="s">
        <v>369</v>
      </c>
    </row>
    <row r="2" spans="1:9" x14ac:dyDescent="0.35">
      <c r="F2" s="105" t="s">
        <v>479</v>
      </c>
    </row>
    <row r="4" spans="1:9" x14ac:dyDescent="0.35">
      <c r="F4" s="105" t="s">
        <v>447</v>
      </c>
    </row>
    <row r="5" spans="1:9" x14ac:dyDescent="0.35">
      <c r="F5" s="105" t="s">
        <v>476</v>
      </c>
    </row>
    <row r="6" spans="1:9" x14ac:dyDescent="0.35">
      <c r="F6" s="105"/>
    </row>
    <row r="8" spans="1:9" x14ac:dyDescent="0.35">
      <c r="A8" s="504" t="s">
        <v>124</v>
      </c>
      <c r="B8" s="504"/>
      <c r="C8" s="504"/>
      <c r="D8" s="504"/>
      <c r="E8" s="504"/>
      <c r="F8" s="504"/>
    </row>
    <row r="9" spans="1:9" x14ac:dyDescent="0.35">
      <c r="A9" s="504" t="s">
        <v>434</v>
      </c>
      <c r="B9" s="504"/>
      <c r="C9" s="504"/>
      <c r="D9" s="504"/>
      <c r="E9" s="504"/>
      <c r="F9" s="504"/>
    </row>
    <row r="10" spans="1:9" x14ac:dyDescent="0.35">
      <c r="D10" s="195"/>
    </row>
    <row r="11" spans="1:9" x14ac:dyDescent="0.35">
      <c r="D11" s="195"/>
      <c r="F11" s="197" t="s">
        <v>13</v>
      </c>
    </row>
    <row r="12" spans="1:9" ht="22.95" customHeight="1" x14ac:dyDescent="0.35">
      <c r="A12" s="505" t="s">
        <v>125</v>
      </c>
      <c r="B12" s="507" t="s">
        <v>273</v>
      </c>
      <c r="C12" s="507" t="s">
        <v>15</v>
      </c>
      <c r="D12" s="501" t="s">
        <v>12</v>
      </c>
      <c r="E12" s="502"/>
      <c r="F12" s="503"/>
    </row>
    <row r="13" spans="1:9" x14ac:dyDescent="0.35">
      <c r="A13" s="506"/>
      <c r="B13" s="508"/>
      <c r="C13" s="508"/>
      <c r="D13" s="133" t="s">
        <v>368</v>
      </c>
      <c r="E13" s="133" t="s">
        <v>399</v>
      </c>
      <c r="F13" s="133" t="s">
        <v>433</v>
      </c>
    </row>
    <row r="14" spans="1:9" x14ac:dyDescent="0.35">
      <c r="A14" s="154">
        <v>1</v>
      </c>
      <c r="B14" s="154">
        <v>2</v>
      </c>
      <c r="C14" s="154">
        <v>3</v>
      </c>
      <c r="D14" s="155">
        <v>4</v>
      </c>
      <c r="E14" s="217">
        <v>5</v>
      </c>
      <c r="F14" s="217">
        <v>6</v>
      </c>
    </row>
    <row r="15" spans="1:9" x14ac:dyDescent="0.35">
      <c r="A15" s="173"/>
      <c r="B15" s="173"/>
      <c r="C15" s="199" t="s">
        <v>126</v>
      </c>
      <c r="D15" s="200">
        <f>D17+D24+D27+D31+D34+D41+D44+D55+D48+D57+D53</f>
        <v>2322332.1020299997</v>
      </c>
      <c r="E15" s="200">
        <f>E17+E24+E27+E31+E34+E41+E44+E55+E48+E57</f>
        <v>2056547.1999999997</v>
      </c>
      <c r="F15" s="200">
        <f>F17+F24+F27+F31+F34+F41+F44+F55+F48+F57</f>
        <v>2125542.3999999999</v>
      </c>
      <c r="G15" s="201">
        <f>D15-'прил8 (ведом 24)'!M14</f>
        <v>0</v>
      </c>
      <c r="H15" s="201" t="e">
        <f>E15-#REF!</f>
        <v>#REF!</v>
      </c>
      <c r="I15" s="201" t="e">
        <f>F15-#REF!</f>
        <v>#REF!</v>
      </c>
    </row>
    <row r="16" spans="1:9" x14ac:dyDescent="0.35">
      <c r="A16" s="173"/>
      <c r="B16" s="173"/>
      <c r="C16" s="202" t="s">
        <v>127</v>
      </c>
      <c r="D16" s="140"/>
      <c r="E16" s="212"/>
      <c r="F16" s="198"/>
    </row>
    <row r="17" spans="1:8" x14ac:dyDescent="0.35">
      <c r="A17" s="157">
        <v>1</v>
      </c>
      <c r="B17" s="203" t="s">
        <v>128</v>
      </c>
      <c r="C17" s="204" t="s">
        <v>27</v>
      </c>
      <c r="D17" s="159">
        <v>263281.26772999996</v>
      </c>
      <c r="E17" s="159">
        <v>255043.07061999998</v>
      </c>
      <c r="F17" s="159">
        <v>245966.65129000001</v>
      </c>
    </row>
    <row r="18" spans="1:8" ht="54" x14ac:dyDescent="0.35">
      <c r="A18" s="160"/>
      <c r="B18" s="138" t="s">
        <v>129</v>
      </c>
      <c r="C18" s="139" t="s">
        <v>130</v>
      </c>
      <c r="D18" s="140">
        <v>2638.4</v>
      </c>
      <c r="E18" s="135">
        <v>2716.7</v>
      </c>
      <c r="F18" s="135">
        <v>2716.7</v>
      </c>
    </row>
    <row r="19" spans="1:8" ht="72" x14ac:dyDescent="0.35">
      <c r="A19" s="160"/>
      <c r="B19" s="138" t="s">
        <v>131</v>
      </c>
      <c r="C19" s="139" t="s">
        <v>462</v>
      </c>
      <c r="D19" s="140">
        <v>85063.873999999996</v>
      </c>
      <c r="E19" s="135">
        <v>87997.5</v>
      </c>
      <c r="F19" s="135">
        <v>87997.5</v>
      </c>
    </row>
    <row r="20" spans="1:8" x14ac:dyDescent="0.35">
      <c r="A20" s="160"/>
      <c r="B20" s="138" t="s">
        <v>323</v>
      </c>
      <c r="C20" s="150" t="s">
        <v>319</v>
      </c>
      <c r="D20" s="140">
        <v>8.6</v>
      </c>
      <c r="E20" s="135">
        <v>8.9</v>
      </c>
      <c r="F20" s="135">
        <v>85.9</v>
      </c>
    </row>
    <row r="21" spans="1:8" ht="54" x14ac:dyDescent="0.35">
      <c r="A21" s="160"/>
      <c r="B21" s="138" t="s">
        <v>132</v>
      </c>
      <c r="C21" s="139" t="s">
        <v>119</v>
      </c>
      <c r="D21" s="140">
        <v>39427.300000000003</v>
      </c>
      <c r="E21" s="135">
        <v>40609.699999999997</v>
      </c>
      <c r="F21" s="135">
        <v>40610.600000000006</v>
      </c>
    </row>
    <row r="22" spans="1:8" x14ac:dyDescent="0.35">
      <c r="A22" s="160"/>
      <c r="B22" s="138" t="s">
        <v>133</v>
      </c>
      <c r="C22" s="139" t="s">
        <v>56</v>
      </c>
      <c r="D22" s="140">
        <v>21322.399999999994</v>
      </c>
      <c r="E22" s="135">
        <v>25000</v>
      </c>
      <c r="F22" s="135">
        <v>15000</v>
      </c>
    </row>
    <row r="23" spans="1:8" x14ac:dyDescent="0.35">
      <c r="A23" s="160"/>
      <c r="B23" s="138" t="s">
        <v>134</v>
      </c>
      <c r="C23" s="139" t="s">
        <v>60</v>
      </c>
      <c r="D23" s="140">
        <v>114820.69372999998</v>
      </c>
      <c r="E23" s="135">
        <v>98710.270619999996</v>
      </c>
      <c r="F23" s="135">
        <v>99555.951289999997</v>
      </c>
    </row>
    <row r="24" spans="1:8" ht="35.4" x14ac:dyDescent="0.35">
      <c r="A24" s="157">
        <v>2</v>
      </c>
      <c r="B24" s="203" t="s">
        <v>135</v>
      </c>
      <c r="C24" s="204" t="s">
        <v>68</v>
      </c>
      <c r="D24" s="159">
        <v>25257.83913</v>
      </c>
      <c r="E24" s="159">
        <v>14790.1</v>
      </c>
      <c r="F24" s="159">
        <v>14790.6</v>
      </c>
    </row>
    <row r="25" spans="1:8" ht="54" x14ac:dyDescent="0.35">
      <c r="A25" s="160"/>
      <c r="B25" s="138" t="s">
        <v>351</v>
      </c>
      <c r="C25" s="139" t="s">
        <v>352</v>
      </c>
      <c r="D25" s="140">
        <v>11531.6</v>
      </c>
      <c r="E25" s="135">
        <v>362.29999999999995</v>
      </c>
      <c r="F25" s="135">
        <v>362.29999999999995</v>
      </c>
    </row>
    <row r="26" spans="1:8" ht="36" x14ac:dyDescent="0.35">
      <c r="A26" s="160"/>
      <c r="B26" s="138" t="s">
        <v>136</v>
      </c>
      <c r="C26" s="139" t="s">
        <v>77</v>
      </c>
      <c r="D26" s="140">
        <v>13726.23913</v>
      </c>
      <c r="E26" s="135">
        <v>14427.800000000001</v>
      </c>
      <c r="F26" s="135">
        <v>14428.300000000001</v>
      </c>
    </row>
    <row r="27" spans="1:8" x14ac:dyDescent="0.35">
      <c r="A27" s="157">
        <v>3</v>
      </c>
      <c r="B27" s="203" t="s">
        <v>137</v>
      </c>
      <c r="C27" s="204" t="s">
        <v>82</v>
      </c>
      <c r="D27" s="159">
        <v>34412.799999999996</v>
      </c>
      <c r="E27" s="159">
        <v>32348.299999999996</v>
      </c>
      <c r="F27" s="159">
        <v>32769.4</v>
      </c>
      <c r="H27" s="318"/>
    </row>
    <row r="28" spans="1:8" x14ac:dyDescent="0.35">
      <c r="A28" s="157"/>
      <c r="B28" s="138" t="s">
        <v>138</v>
      </c>
      <c r="C28" s="139" t="s">
        <v>83</v>
      </c>
      <c r="D28" s="140">
        <v>24038.799999999999</v>
      </c>
      <c r="E28" s="135">
        <v>24038.799999999999</v>
      </c>
      <c r="F28" s="135">
        <v>24170.7</v>
      </c>
    </row>
    <row r="29" spans="1:8" x14ac:dyDescent="0.35">
      <c r="A29" s="160"/>
      <c r="B29" s="138" t="s">
        <v>139</v>
      </c>
      <c r="C29" s="139" t="s">
        <v>88</v>
      </c>
      <c r="D29" s="140">
        <v>6844.9</v>
      </c>
      <c r="E29" s="135">
        <v>7183.4</v>
      </c>
      <c r="F29" s="135">
        <v>7472.6</v>
      </c>
    </row>
    <row r="30" spans="1:8" x14ac:dyDescent="0.35">
      <c r="A30" s="160"/>
      <c r="B30" s="138" t="s">
        <v>140</v>
      </c>
      <c r="C30" s="139" t="s">
        <v>96</v>
      </c>
      <c r="D30" s="140">
        <v>3529.1</v>
      </c>
      <c r="E30" s="135">
        <v>1126.0999999999999</v>
      </c>
      <c r="F30" s="135">
        <v>1126.0999999999999</v>
      </c>
      <c r="G30" s="318"/>
    </row>
    <row r="31" spans="1:8" x14ac:dyDescent="0.35">
      <c r="A31" s="157">
        <v>4</v>
      </c>
      <c r="B31" s="203" t="s">
        <v>141</v>
      </c>
      <c r="C31" s="204" t="s">
        <v>142</v>
      </c>
      <c r="D31" s="159">
        <v>103186.1</v>
      </c>
      <c r="E31" s="159">
        <v>0</v>
      </c>
      <c r="F31" s="159">
        <v>0</v>
      </c>
    </row>
    <row r="32" spans="1:8" x14ac:dyDescent="0.35">
      <c r="A32" s="157"/>
      <c r="B32" s="138" t="s">
        <v>283</v>
      </c>
      <c r="C32" s="139" t="s">
        <v>281</v>
      </c>
      <c r="D32" s="140">
        <v>97055</v>
      </c>
      <c r="E32" s="140">
        <v>0</v>
      </c>
      <c r="F32" s="140">
        <v>0</v>
      </c>
    </row>
    <row r="33" spans="1:6" x14ac:dyDescent="0.35">
      <c r="A33" s="157"/>
      <c r="B33" s="138" t="s">
        <v>410</v>
      </c>
      <c r="C33" s="435" t="s">
        <v>408</v>
      </c>
      <c r="D33" s="140">
        <v>6131.1</v>
      </c>
      <c r="E33" s="140">
        <v>0</v>
      </c>
      <c r="F33" s="140">
        <v>0</v>
      </c>
    </row>
    <row r="34" spans="1:6" x14ac:dyDescent="0.35">
      <c r="A34" s="157">
        <v>5</v>
      </c>
      <c r="B34" s="203" t="s">
        <v>143</v>
      </c>
      <c r="C34" s="204" t="s">
        <v>144</v>
      </c>
      <c r="D34" s="159">
        <v>1549622.1204299997</v>
      </c>
      <c r="E34" s="159">
        <v>1463406.4999999998</v>
      </c>
      <c r="F34" s="159">
        <v>1493437.3</v>
      </c>
    </row>
    <row r="35" spans="1:6" x14ac:dyDescent="0.35">
      <c r="A35" s="160"/>
      <c r="B35" s="138" t="s">
        <v>145</v>
      </c>
      <c r="C35" s="139" t="s">
        <v>146</v>
      </c>
      <c r="D35" s="140">
        <v>433203.8</v>
      </c>
      <c r="E35" s="140">
        <v>438087.69999999995</v>
      </c>
      <c r="F35" s="140">
        <v>448407.1</v>
      </c>
    </row>
    <row r="36" spans="1:6" x14ac:dyDescent="0.35">
      <c r="A36" s="160"/>
      <c r="B36" s="138" t="s">
        <v>147</v>
      </c>
      <c r="C36" s="139" t="s">
        <v>148</v>
      </c>
      <c r="D36" s="140">
        <v>858910.52042999992</v>
      </c>
      <c r="E36" s="140">
        <v>787496.89999999991</v>
      </c>
      <c r="F36" s="140">
        <v>807394.70000000007</v>
      </c>
    </row>
    <row r="37" spans="1:6" x14ac:dyDescent="0.35">
      <c r="A37" s="160"/>
      <c r="B37" s="138" t="s">
        <v>290</v>
      </c>
      <c r="C37" s="139" t="s">
        <v>291</v>
      </c>
      <c r="D37" s="140">
        <v>149667.39999999997</v>
      </c>
      <c r="E37" s="140">
        <v>136274.90000000002</v>
      </c>
      <c r="F37" s="140">
        <v>135431.1</v>
      </c>
    </row>
    <row r="38" spans="1:6" ht="36" x14ac:dyDescent="0.35">
      <c r="A38" s="160"/>
      <c r="B38" s="138" t="s">
        <v>378</v>
      </c>
      <c r="C38" s="139" t="s">
        <v>379</v>
      </c>
      <c r="D38" s="140">
        <v>265.5</v>
      </c>
      <c r="E38" s="140">
        <v>179.89999999999998</v>
      </c>
      <c r="F38" s="140">
        <v>179.89999999999998</v>
      </c>
    </row>
    <row r="39" spans="1:6" x14ac:dyDescent="0.35">
      <c r="A39" s="157"/>
      <c r="B39" s="138" t="s">
        <v>149</v>
      </c>
      <c r="C39" s="139" t="s">
        <v>292</v>
      </c>
      <c r="D39" s="140">
        <v>5362.4</v>
      </c>
      <c r="E39" s="140">
        <v>4526.8999999999996</v>
      </c>
      <c r="F39" s="140">
        <v>4526.8999999999996</v>
      </c>
    </row>
    <row r="40" spans="1:6" x14ac:dyDescent="0.35">
      <c r="A40" s="160"/>
      <c r="B40" s="138" t="s">
        <v>150</v>
      </c>
      <c r="C40" s="139" t="s">
        <v>151</v>
      </c>
      <c r="D40" s="140">
        <v>102212.50000000001</v>
      </c>
      <c r="E40" s="140">
        <v>96840.200000000012</v>
      </c>
      <c r="F40" s="140">
        <v>97497.600000000006</v>
      </c>
    </row>
    <row r="41" spans="1:6" x14ac:dyDescent="0.35">
      <c r="A41" s="157">
        <v>6</v>
      </c>
      <c r="B41" s="203" t="s">
        <v>152</v>
      </c>
      <c r="C41" s="204" t="s">
        <v>153</v>
      </c>
      <c r="D41" s="159">
        <v>50111.100000000006</v>
      </c>
      <c r="E41" s="159">
        <v>44213</v>
      </c>
      <c r="F41" s="159">
        <v>44197</v>
      </c>
    </row>
    <row r="42" spans="1:6" x14ac:dyDescent="0.35">
      <c r="A42" s="160"/>
      <c r="B42" s="138" t="s">
        <v>154</v>
      </c>
      <c r="C42" s="139" t="s">
        <v>155</v>
      </c>
      <c r="D42" s="140">
        <v>36432.100000000006</v>
      </c>
      <c r="E42" s="140">
        <v>32058.3</v>
      </c>
      <c r="F42" s="140">
        <v>32037.599999999999</v>
      </c>
    </row>
    <row r="43" spans="1:6" ht="18.75" customHeight="1" x14ac:dyDescent="0.35">
      <c r="A43" s="160"/>
      <c r="B43" s="138" t="s">
        <v>156</v>
      </c>
      <c r="C43" s="139" t="s">
        <v>157</v>
      </c>
      <c r="D43" s="140">
        <v>13679</v>
      </c>
      <c r="E43" s="135">
        <v>12154.7</v>
      </c>
      <c r="F43" s="135">
        <v>12159.400000000001</v>
      </c>
    </row>
    <row r="44" spans="1:6" s="205" customFormat="1" ht="17.399999999999999" x14ac:dyDescent="0.3">
      <c r="A44" s="157">
        <v>7</v>
      </c>
      <c r="B44" s="157">
        <v>1000</v>
      </c>
      <c r="C44" s="204" t="s">
        <v>109</v>
      </c>
      <c r="D44" s="159">
        <v>148990.47473999998</v>
      </c>
      <c r="E44" s="159">
        <v>126681.02937999999</v>
      </c>
      <c r="F44" s="159">
        <v>125955.14870999999</v>
      </c>
    </row>
    <row r="45" spans="1:6" x14ac:dyDescent="0.35">
      <c r="A45" s="160"/>
      <c r="B45" s="160">
        <v>1001</v>
      </c>
      <c r="C45" s="139" t="s">
        <v>297</v>
      </c>
      <c r="D45" s="140">
        <v>1800</v>
      </c>
      <c r="E45" s="140">
        <v>1500</v>
      </c>
      <c r="F45" s="140">
        <v>1500</v>
      </c>
    </row>
    <row r="46" spans="1:6" x14ac:dyDescent="0.35">
      <c r="A46" s="160"/>
      <c r="B46" s="160">
        <v>1004</v>
      </c>
      <c r="C46" s="139" t="s">
        <v>158</v>
      </c>
      <c r="D46" s="140">
        <v>134854.97473999998</v>
      </c>
      <c r="E46" s="140">
        <v>114661.62938</v>
      </c>
      <c r="F46" s="140">
        <v>113410.04870999999</v>
      </c>
    </row>
    <row r="47" spans="1:6" x14ac:dyDescent="0.35">
      <c r="A47" s="160"/>
      <c r="B47" s="160">
        <v>1006</v>
      </c>
      <c r="C47" s="139" t="s">
        <v>159</v>
      </c>
      <c r="D47" s="140">
        <v>12335.5</v>
      </c>
      <c r="E47" s="140">
        <v>10519.4</v>
      </c>
      <c r="F47" s="140">
        <v>11045.1</v>
      </c>
    </row>
    <row r="48" spans="1:6" x14ac:dyDescent="0.35">
      <c r="A48" s="157">
        <v>8</v>
      </c>
      <c r="B48" s="206">
        <v>1100</v>
      </c>
      <c r="C48" s="199" t="s">
        <v>160</v>
      </c>
      <c r="D48" s="159">
        <v>138434.40000000002</v>
      </c>
      <c r="E48" s="159">
        <v>66966.5</v>
      </c>
      <c r="F48" s="159">
        <v>65986.2</v>
      </c>
    </row>
    <row r="49" spans="1:8" x14ac:dyDescent="0.35">
      <c r="A49" s="160"/>
      <c r="B49" s="207">
        <v>1101</v>
      </c>
      <c r="C49" s="208" t="s">
        <v>302</v>
      </c>
      <c r="D49" s="140">
        <v>32200.2</v>
      </c>
      <c r="E49" s="140">
        <v>4767.8999999999996</v>
      </c>
      <c r="F49" s="140">
        <v>4787.5999999999995</v>
      </c>
    </row>
    <row r="50" spans="1:8" x14ac:dyDescent="0.35">
      <c r="A50" s="157"/>
      <c r="B50" s="138" t="s">
        <v>161</v>
      </c>
      <c r="C50" s="162" t="s">
        <v>162</v>
      </c>
      <c r="D50" s="140">
        <v>30762.1</v>
      </c>
      <c r="E50" s="140">
        <v>910.6</v>
      </c>
      <c r="F50" s="140">
        <v>910.6</v>
      </c>
    </row>
    <row r="51" spans="1:8" x14ac:dyDescent="0.35">
      <c r="A51" s="157"/>
      <c r="B51" s="138" t="s">
        <v>427</v>
      </c>
      <c r="C51" s="162" t="s">
        <v>426</v>
      </c>
      <c r="D51" s="140">
        <v>72383.399999999994</v>
      </c>
      <c r="E51" s="140">
        <v>58108.2</v>
      </c>
      <c r="F51" s="140">
        <v>57107.1</v>
      </c>
    </row>
    <row r="52" spans="1:8" ht="36" x14ac:dyDescent="0.35">
      <c r="A52" s="160"/>
      <c r="B52" s="138" t="s">
        <v>163</v>
      </c>
      <c r="C52" s="167" t="s">
        <v>164</v>
      </c>
      <c r="D52" s="140">
        <v>3088.7000000000003</v>
      </c>
      <c r="E52" s="135">
        <v>3179.7999999999997</v>
      </c>
      <c r="F52" s="135">
        <v>3180.9</v>
      </c>
    </row>
    <row r="53" spans="1:8" ht="35.4" x14ac:dyDescent="0.35">
      <c r="A53" s="157">
        <v>9</v>
      </c>
      <c r="B53" s="203" t="s">
        <v>457</v>
      </c>
      <c r="C53" s="478" t="s">
        <v>451</v>
      </c>
      <c r="D53" s="159">
        <v>36</v>
      </c>
      <c r="E53" s="159">
        <v>0</v>
      </c>
      <c r="F53" s="159">
        <v>0</v>
      </c>
    </row>
    <row r="54" spans="1:8" ht="36" x14ac:dyDescent="0.35">
      <c r="A54" s="160"/>
      <c r="B54" s="138" t="s">
        <v>458</v>
      </c>
      <c r="C54" s="167" t="s">
        <v>452</v>
      </c>
      <c r="D54" s="140">
        <v>36</v>
      </c>
      <c r="E54" s="135">
        <v>0</v>
      </c>
      <c r="F54" s="135">
        <v>0</v>
      </c>
    </row>
    <row r="55" spans="1:8" ht="52.8" x14ac:dyDescent="0.35">
      <c r="A55" s="157">
        <v>10</v>
      </c>
      <c r="B55" s="206">
        <v>1400</v>
      </c>
      <c r="C55" s="204" t="s">
        <v>165</v>
      </c>
      <c r="D55" s="209">
        <v>9000</v>
      </c>
      <c r="E55" s="209">
        <v>9000</v>
      </c>
      <c r="F55" s="209">
        <v>9000</v>
      </c>
    </row>
    <row r="56" spans="1:8" ht="54" x14ac:dyDescent="0.35">
      <c r="A56" s="210"/>
      <c r="B56" s="207">
        <v>1401</v>
      </c>
      <c r="C56" s="139" t="s">
        <v>166</v>
      </c>
      <c r="D56" s="211">
        <v>9000</v>
      </c>
      <c r="E56" s="165">
        <v>9000</v>
      </c>
      <c r="F56" s="165">
        <v>9000</v>
      </c>
    </row>
    <row r="57" spans="1:8" s="141" customFormat="1" ht="17.399999999999999" x14ac:dyDescent="0.3">
      <c r="A57" s="156">
        <v>11</v>
      </c>
      <c r="B57" s="158"/>
      <c r="C57" s="136" t="s">
        <v>304</v>
      </c>
      <c r="D57" s="163">
        <v>0</v>
      </c>
      <c r="E57" s="163">
        <v>44098.7</v>
      </c>
      <c r="F57" s="163">
        <v>93440.1</v>
      </c>
    </row>
    <row r="58" spans="1:8" s="141" customFormat="1" x14ac:dyDescent="0.35">
      <c r="A58" s="164"/>
      <c r="B58" s="161"/>
      <c r="C58" s="137" t="s">
        <v>304</v>
      </c>
      <c r="D58" s="165">
        <v>0</v>
      </c>
      <c r="E58" s="165">
        <v>44098.7</v>
      </c>
      <c r="F58" s="165">
        <v>93440.1</v>
      </c>
    </row>
    <row r="60" spans="1:8" ht="22.95" customHeight="1" x14ac:dyDescent="0.35"/>
    <row r="61" spans="1:8" s="216" customFormat="1" x14ac:dyDescent="0.35">
      <c r="A61" s="468" t="s">
        <v>313</v>
      </c>
      <c r="B61" s="213"/>
      <c r="C61" s="214"/>
      <c r="D61" s="214"/>
      <c r="E61" s="214"/>
      <c r="F61" s="214"/>
      <c r="G61" s="38"/>
      <c r="H61" s="215"/>
    </row>
    <row r="62" spans="1:8" s="216" customFormat="1" x14ac:dyDescent="0.35">
      <c r="A62" s="468" t="s">
        <v>314</v>
      </c>
      <c r="B62" s="213"/>
      <c r="C62" s="214"/>
      <c r="D62" s="214"/>
      <c r="E62" s="214"/>
      <c r="F62" s="214"/>
      <c r="G62" s="38"/>
      <c r="H62" s="215"/>
    </row>
    <row r="63" spans="1:8" s="216" customFormat="1" x14ac:dyDescent="0.35">
      <c r="A63" s="469" t="s">
        <v>315</v>
      </c>
      <c r="B63" s="213"/>
      <c r="E63" s="214"/>
      <c r="F63" s="467" t="s">
        <v>322</v>
      </c>
    </row>
    <row r="64" spans="1:8" x14ac:dyDescent="0.35">
      <c r="A64" s="471"/>
    </row>
  </sheetData>
  <autoFilter ref="A4:A63"/>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J536"/>
  <sheetViews>
    <sheetView zoomScale="80" zoomScaleNormal="80" zoomScaleSheetLayoutView="80" workbookViewId="0">
      <pane xSplit="1" ySplit="6" topLeftCell="B511" activePane="bottomRight" state="frozen"/>
      <selection activeCell="D38" sqref="D38"/>
      <selection pane="topRight" activeCell="D38" sqref="D38"/>
      <selection pane="bottomLeft" activeCell="D38" sqref="D38"/>
      <selection pane="bottomRight" activeCell="L479" sqref="L479"/>
    </sheetView>
  </sheetViews>
  <sheetFormatPr defaultColWidth="9.109375" defaultRowHeight="15.6" x14ac:dyDescent="0.3"/>
  <cols>
    <col min="1" max="1" width="4.5546875" style="228" customWidth="1"/>
    <col min="2" max="2" width="62.44140625" style="282" customWidth="1"/>
    <col min="3" max="3" width="3.109375" style="283" customWidth="1"/>
    <col min="4" max="4" width="2" style="283" customWidth="1"/>
    <col min="5" max="5" width="3.109375" style="283" customWidth="1"/>
    <col min="6" max="6" width="8.6640625" style="283" customWidth="1"/>
    <col min="7" max="7" width="5.5546875" style="281" customWidth="1"/>
    <col min="8" max="8" width="15.6640625" style="229" customWidth="1"/>
    <col min="9" max="9" width="9.109375" style="39"/>
    <col min="10" max="10" width="17.6640625" style="39" hidden="1" customWidth="1"/>
    <col min="11" max="14" width="9.109375" style="39"/>
    <col min="15" max="15" width="58.6640625" style="39" customWidth="1"/>
    <col min="16" max="16384" width="9.109375" style="39"/>
  </cols>
  <sheetData>
    <row r="1" spans="1:10" ht="18" x14ac:dyDescent="0.35">
      <c r="H1" s="105" t="s">
        <v>370</v>
      </c>
    </row>
    <row r="2" spans="1:10" ht="18" x14ac:dyDescent="0.35">
      <c r="H2" s="105" t="s">
        <v>480</v>
      </c>
    </row>
    <row r="4" spans="1:10" ht="18" x14ac:dyDescent="0.35">
      <c r="H4" s="105" t="s">
        <v>373</v>
      </c>
    </row>
    <row r="5" spans="1:10" ht="18" x14ac:dyDescent="0.35">
      <c r="H5" s="105" t="s">
        <v>476</v>
      </c>
    </row>
    <row r="6" spans="1:10" ht="18" x14ac:dyDescent="0.35">
      <c r="H6" s="105"/>
    </row>
    <row r="8" spans="1:10" ht="72" customHeight="1" x14ac:dyDescent="0.3">
      <c r="A8" s="509" t="s">
        <v>435</v>
      </c>
      <c r="B8" s="509"/>
      <c r="C8" s="509"/>
      <c r="D8" s="509"/>
      <c r="E8" s="509"/>
      <c r="F8" s="509"/>
      <c r="G8" s="509"/>
      <c r="H8" s="509"/>
    </row>
    <row r="9" spans="1:10" x14ac:dyDescent="0.3">
      <c r="A9" s="39"/>
      <c r="B9" s="39"/>
      <c r="C9" s="228"/>
      <c r="D9" s="228"/>
      <c r="E9" s="228"/>
      <c r="F9" s="228"/>
      <c r="G9" s="229"/>
    </row>
    <row r="10" spans="1:10" ht="18" x14ac:dyDescent="0.35">
      <c r="A10" s="230"/>
      <c r="B10" s="36"/>
      <c r="C10" s="37"/>
      <c r="D10" s="37"/>
      <c r="E10" s="37"/>
      <c r="F10" s="37"/>
      <c r="G10" s="39"/>
      <c r="H10" s="285" t="s">
        <v>13</v>
      </c>
    </row>
    <row r="11" spans="1:10" ht="37.200000000000003" customHeight="1" x14ac:dyDescent="0.3">
      <c r="A11" s="489" t="s">
        <v>14</v>
      </c>
      <c r="B11" s="490" t="s">
        <v>15</v>
      </c>
      <c r="C11" s="510" t="s">
        <v>19</v>
      </c>
      <c r="D11" s="511"/>
      <c r="E11" s="511"/>
      <c r="F11" s="512"/>
      <c r="G11" s="490" t="s">
        <v>20</v>
      </c>
      <c r="H11" s="286" t="s">
        <v>12</v>
      </c>
    </row>
    <row r="12" spans="1:10" ht="18" x14ac:dyDescent="0.35">
      <c r="A12" s="154">
        <v>1</v>
      </c>
      <c r="B12" s="231">
        <v>2</v>
      </c>
      <c r="C12" s="513" t="s">
        <v>21</v>
      </c>
      <c r="D12" s="514"/>
      <c r="E12" s="514"/>
      <c r="F12" s="515"/>
      <c r="G12" s="166" t="s">
        <v>22</v>
      </c>
      <c r="H12" s="155">
        <v>5</v>
      </c>
    </row>
    <row r="13" spans="1:10" ht="19.5" customHeight="1" x14ac:dyDescent="0.35">
      <c r="A13" s="232"/>
      <c r="B13" s="233" t="s">
        <v>167</v>
      </c>
      <c r="C13" s="234"/>
      <c r="D13" s="234"/>
      <c r="E13" s="234"/>
      <c r="F13" s="234"/>
      <c r="G13" s="235"/>
      <c r="H13" s="236">
        <f>H14+H143+H201+H242+H269+H300+H324+H360+H405+H414+H420+H430+H436+H442+H504+H515+H395+H498</f>
        <v>2322332.1020299997</v>
      </c>
      <c r="J13" s="493">
        <f>H13-'прил8 (ведом 24)'!M14</f>
        <v>0</v>
      </c>
    </row>
    <row r="14" spans="1:10" s="241" customFormat="1" ht="52.2" x14ac:dyDescent="0.3">
      <c r="A14" s="237">
        <v>1</v>
      </c>
      <c r="B14" s="364" t="s">
        <v>170</v>
      </c>
      <c r="C14" s="238" t="s">
        <v>30</v>
      </c>
      <c r="D14" s="238" t="s">
        <v>33</v>
      </c>
      <c r="E14" s="238" t="s">
        <v>34</v>
      </c>
      <c r="F14" s="239" t="s">
        <v>35</v>
      </c>
      <c r="G14" s="240"/>
      <c r="H14" s="182">
        <f>H15+H80+H105</f>
        <v>1487060.4204299997</v>
      </c>
    </row>
    <row r="15" spans="1:10" ht="18" x14ac:dyDescent="0.35">
      <c r="A15" s="232"/>
      <c r="B15" s="365" t="s">
        <v>171</v>
      </c>
      <c r="C15" s="495" t="s">
        <v>30</v>
      </c>
      <c r="D15" s="495" t="s">
        <v>36</v>
      </c>
      <c r="E15" s="495" t="s">
        <v>34</v>
      </c>
      <c r="F15" s="496" t="s">
        <v>35</v>
      </c>
      <c r="G15" s="166"/>
      <c r="H15" s="152">
        <f>H16+H32+H76</f>
        <v>1298117.8204299998</v>
      </c>
    </row>
    <row r="16" spans="1:10" ht="18" x14ac:dyDescent="0.35">
      <c r="A16" s="232"/>
      <c r="B16" s="365" t="s">
        <v>224</v>
      </c>
      <c r="C16" s="143" t="s">
        <v>30</v>
      </c>
      <c r="D16" s="144" t="s">
        <v>36</v>
      </c>
      <c r="E16" s="144" t="s">
        <v>28</v>
      </c>
      <c r="F16" s="145" t="s">
        <v>35</v>
      </c>
      <c r="G16" s="166"/>
      <c r="H16" s="152">
        <f>H25+H28+H30+H17+H21+H19+H23</f>
        <v>441586.4</v>
      </c>
    </row>
    <row r="17" spans="1:8" ht="36" x14ac:dyDescent="0.35">
      <c r="A17" s="232"/>
      <c r="B17" s="365" t="s">
        <v>353</v>
      </c>
      <c r="C17" s="143" t="s">
        <v>30</v>
      </c>
      <c r="D17" s="144" t="s">
        <v>36</v>
      </c>
      <c r="E17" s="144" t="s">
        <v>28</v>
      </c>
      <c r="F17" s="145" t="s">
        <v>81</v>
      </c>
      <c r="G17" s="28"/>
      <c r="H17" s="152">
        <f>H18</f>
        <v>114625</v>
      </c>
    </row>
    <row r="18" spans="1:8" ht="36" x14ac:dyDescent="0.35">
      <c r="A18" s="232"/>
      <c r="B18" s="365" t="s">
        <v>66</v>
      </c>
      <c r="C18" s="143" t="s">
        <v>30</v>
      </c>
      <c r="D18" s="144" t="s">
        <v>36</v>
      </c>
      <c r="E18" s="144" t="s">
        <v>28</v>
      </c>
      <c r="F18" s="145" t="s">
        <v>81</v>
      </c>
      <c r="G18" s="28" t="s">
        <v>67</v>
      </c>
      <c r="H18" s="152">
        <f>'прил8 (ведом 24)'!M361</f>
        <v>114625</v>
      </c>
    </row>
    <row r="19" spans="1:8" ht="18" x14ac:dyDescent="0.35">
      <c r="A19" s="232"/>
      <c r="B19" s="366" t="s">
        <v>354</v>
      </c>
      <c r="C19" s="143" t="s">
        <v>30</v>
      </c>
      <c r="D19" s="144" t="s">
        <v>36</v>
      </c>
      <c r="E19" s="144" t="s">
        <v>28</v>
      </c>
      <c r="F19" s="145" t="s">
        <v>318</v>
      </c>
      <c r="G19" s="28"/>
      <c r="H19" s="152">
        <f>H20</f>
        <v>8013.8</v>
      </c>
    </row>
    <row r="20" spans="1:8" ht="36" x14ac:dyDescent="0.35">
      <c r="A20" s="232"/>
      <c r="B20" s="366" t="s">
        <v>66</v>
      </c>
      <c r="C20" s="143" t="s">
        <v>30</v>
      </c>
      <c r="D20" s="144" t="s">
        <v>36</v>
      </c>
      <c r="E20" s="144" t="s">
        <v>28</v>
      </c>
      <c r="F20" s="145" t="s">
        <v>318</v>
      </c>
      <c r="G20" s="28" t="s">
        <v>67</v>
      </c>
      <c r="H20" s="152">
        <f>'прил8 (ведом 24)'!M363</f>
        <v>8013.8</v>
      </c>
    </row>
    <row r="21" spans="1:8" ht="36" x14ac:dyDescent="0.35">
      <c r="A21" s="232"/>
      <c r="B21" s="366" t="s">
        <v>172</v>
      </c>
      <c r="C21" s="143" t="s">
        <v>30</v>
      </c>
      <c r="D21" s="144" t="s">
        <v>36</v>
      </c>
      <c r="E21" s="144" t="s">
        <v>28</v>
      </c>
      <c r="F21" s="145" t="s">
        <v>230</v>
      </c>
      <c r="G21" s="28"/>
      <c r="H21" s="152">
        <f>H22</f>
        <v>33862.9</v>
      </c>
    </row>
    <row r="22" spans="1:8" ht="36" x14ac:dyDescent="0.35">
      <c r="A22" s="232"/>
      <c r="B22" s="366" t="s">
        <v>66</v>
      </c>
      <c r="C22" s="143" t="s">
        <v>30</v>
      </c>
      <c r="D22" s="144" t="s">
        <v>36</v>
      </c>
      <c r="E22" s="144" t="s">
        <v>28</v>
      </c>
      <c r="F22" s="145" t="s">
        <v>230</v>
      </c>
      <c r="G22" s="28" t="s">
        <v>67</v>
      </c>
      <c r="H22" s="152">
        <f>'прил8 (ведом 24)'!M365</f>
        <v>33862.9</v>
      </c>
    </row>
    <row r="23" spans="1:8" ht="36" x14ac:dyDescent="0.35">
      <c r="A23" s="232"/>
      <c r="B23" s="368" t="s">
        <v>173</v>
      </c>
      <c r="C23" s="498" t="s">
        <v>30</v>
      </c>
      <c r="D23" s="499" t="s">
        <v>36</v>
      </c>
      <c r="E23" s="499" t="s">
        <v>28</v>
      </c>
      <c r="F23" s="500" t="s">
        <v>231</v>
      </c>
      <c r="G23" s="28"/>
      <c r="H23" s="152">
        <f>H24</f>
        <v>615.70000000000005</v>
      </c>
    </row>
    <row r="24" spans="1:8" ht="50.25" customHeight="1" x14ac:dyDescent="0.35">
      <c r="A24" s="232"/>
      <c r="B24" s="366" t="s">
        <v>66</v>
      </c>
      <c r="C24" s="143" t="s">
        <v>30</v>
      </c>
      <c r="D24" s="144" t="s">
        <v>36</v>
      </c>
      <c r="E24" s="144" t="s">
        <v>28</v>
      </c>
      <c r="F24" s="145" t="s">
        <v>231</v>
      </c>
      <c r="G24" s="28" t="s">
        <v>67</v>
      </c>
      <c r="H24" s="146">
        <f>'прил8 (ведом 24)'!M367</f>
        <v>615.70000000000005</v>
      </c>
    </row>
    <row r="25" spans="1:8" ht="120" customHeight="1" x14ac:dyDescent="0.35">
      <c r="A25" s="232"/>
      <c r="B25" s="365" t="s">
        <v>240</v>
      </c>
      <c r="C25" s="143" t="s">
        <v>30</v>
      </c>
      <c r="D25" s="144" t="s">
        <v>36</v>
      </c>
      <c r="E25" s="144" t="s">
        <v>28</v>
      </c>
      <c r="F25" s="145" t="s">
        <v>241</v>
      </c>
      <c r="G25" s="28"/>
      <c r="H25" s="152">
        <f>SUM(H26:H27)</f>
        <v>8438.2000000000007</v>
      </c>
    </row>
    <row r="26" spans="1:8" ht="36" x14ac:dyDescent="0.35">
      <c r="A26" s="232"/>
      <c r="B26" s="365" t="s">
        <v>45</v>
      </c>
      <c r="C26" s="143" t="s">
        <v>30</v>
      </c>
      <c r="D26" s="144" t="s">
        <v>36</v>
      </c>
      <c r="E26" s="144" t="s">
        <v>28</v>
      </c>
      <c r="F26" s="145" t="s">
        <v>241</v>
      </c>
      <c r="G26" s="28" t="s">
        <v>46</v>
      </c>
      <c r="H26" s="152">
        <f>'прил8 (ведом 24)'!M490</f>
        <v>124.7</v>
      </c>
    </row>
    <row r="27" spans="1:8" ht="18" x14ac:dyDescent="0.35">
      <c r="A27" s="232"/>
      <c r="B27" s="367" t="s">
        <v>110</v>
      </c>
      <c r="C27" s="143" t="s">
        <v>30</v>
      </c>
      <c r="D27" s="144" t="s">
        <v>36</v>
      </c>
      <c r="E27" s="144" t="s">
        <v>28</v>
      </c>
      <c r="F27" s="145" t="s">
        <v>241</v>
      </c>
      <c r="G27" s="28" t="s">
        <v>111</v>
      </c>
      <c r="H27" s="152">
        <f>'прил8 (ведом 24)'!M491</f>
        <v>8313.5</v>
      </c>
    </row>
    <row r="28" spans="1:8" ht="162" x14ac:dyDescent="0.35">
      <c r="A28" s="232"/>
      <c r="B28" s="365" t="s">
        <v>225</v>
      </c>
      <c r="C28" s="143" t="s">
        <v>30</v>
      </c>
      <c r="D28" s="144" t="s">
        <v>36</v>
      </c>
      <c r="E28" s="144" t="s">
        <v>28</v>
      </c>
      <c r="F28" s="145" t="s">
        <v>226</v>
      </c>
      <c r="G28" s="28"/>
      <c r="H28" s="152">
        <f>H29</f>
        <v>630.6</v>
      </c>
    </row>
    <row r="29" spans="1:8" ht="36" x14ac:dyDescent="0.35">
      <c r="A29" s="232"/>
      <c r="B29" s="365" t="s">
        <v>66</v>
      </c>
      <c r="C29" s="143" t="s">
        <v>30</v>
      </c>
      <c r="D29" s="144" t="s">
        <v>36</v>
      </c>
      <c r="E29" s="144" t="s">
        <v>28</v>
      </c>
      <c r="F29" s="145" t="s">
        <v>226</v>
      </c>
      <c r="G29" s="28" t="s">
        <v>67</v>
      </c>
      <c r="H29" s="152">
        <f>'прил8 (ведом 24)'!M369</f>
        <v>630.6</v>
      </c>
    </row>
    <row r="30" spans="1:8" ht="90" x14ac:dyDescent="0.35">
      <c r="A30" s="232"/>
      <c r="B30" s="365" t="s">
        <v>288</v>
      </c>
      <c r="C30" s="143" t="s">
        <v>30</v>
      </c>
      <c r="D30" s="144" t="s">
        <v>36</v>
      </c>
      <c r="E30" s="144" t="s">
        <v>28</v>
      </c>
      <c r="F30" s="145" t="s">
        <v>227</v>
      </c>
      <c r="G30" s="28"/>
      <c r="H30" s="152">
        <f>H31</f>
        <v>275400.2</v>
      </c>
    </row>
    <row r="31" spans="1:8" ht="36" x14ac:dyDescent="0.35">
      <c r="A31" s="232"/>
      <c r="B31" s="367" t="s">
        <v>66</v>
      </c>
      <c r="C31" s="143" t="s">
        <v>30</v>
      </c>
      <c r="D31" s="144" t="s">
        <v>36</v>
      </c>
      <c r="E31" s="144" t="s">
        <v>28</v>
      </c>
      <c r="F31" s="145" t="s">
        <v>227</v>
      </c>
      <c r="G31" s="28" t="s">
        <v>67</v>
      </c>
      <c r="H31" s="152">
        <f>'прил8 (ведом 24)'!M371</f>
        <v>275400.2</v>
      </c>
    </row>
    <row r="32" spans="1:8" ht="18" x14ac:dyDescent="0.35">
      <c r="A32" s="232"/>
      <c r="B32" s="365" t="s">
        <v>229</v>
      </c>
      <c r="C32" s="143" t="s">
        <v>30</v>
      </c>
      <c r="D32" s="144" t="s">
        <v>36</v>
      </c>
      <c r="E32" s="144" t="s">
        <v>30</v>
      </c>
      <c r="F32" s="145" t="s">
        <v>35</v>
      </c>
      <c r="G32" s="28"/>
      <c r="H32" s="152">
        <f>H41+H44+H49+H53+H57+H33+H38+H62+H65+H47+H72+H70+H68+H60</f>
        <v>850785.52042999992</v>
      </c>
    </row>
    <row r="33" spans="1:8" ht="36" x14ac:dyDescent="0.35">
      <c r="A33" s="232"/>
      <c r="B33" s="365" t="s">
        <v>353</v>
      </c>
      <c r="C33" s="143" t="s">
        <v>30</v>
      </c>
      <c r="D33" s="144" t="s">
        <v>36</v>
      </c>
      <c r="E33" s="144" t="s">
        <v>30</v>
      </c>
      <c r="F33" s="145" t="s">
        <v>81</v>
      </c>
      <c r="G33" s="28"/>
      <c r="H33" s="152">
        <f>SUM(H34:H37)</f>
        <v>82347.299999999988</v>
      </c>
    </row>
    <row r="34" spans="1:8" ht="90" x14ac:dyDescent="0.35">
      <c r="A34" s="232"/>
      <c r="B34" s="366" t="s">
        <v>40</v>
      </c>
      <c r="C34" s="143" t="s">
        <v>30</v>
      </c>
      <c r="D34" s="144" t="s">
        <v>36</v>
      </c>
      <c r="E34" s="144" t="s">
        <v>30</v>
      </c>
      <c r="F34" s="145" t="s">
        <v>81</v>
      </c>
      <c r="G34" s="28" t="s">
        <v>41</v>
      </c>
      <c r="H34" s="152">
        <f>'прил8 (ведом 24)'!M382</f>
        <v>451</v>
      </c>
    </row>
    <row r="35" spans="1:8" ht="36" x14ac:dyDescent="0.35">
      <c r="A35" s="232"/>
      <c r="B35" s="366" t="s">
        <v>45</v>
      </c>
      <c r="C35" s="143" t="s">
        <v>30</v>
      </c>
      <c r="D35" s="144" t="s">
        <v>36</v>
      </c>
      <c r="E35" s="144" t="s">
        <v>30</v>
      </c>
      <c r="F35" s="145" t="s">
        <v>81</v>
      </c>
      <c r="G35" s="28" t="s">
        <v>46</v>
      </c>
      <c r="H35" s="152">
        <f>'прил8 (ведом 24)'!M383</f>
        <v>7739.7</v>
      </c>
    </row>
    <row r="36" spans="1:8" ht="36" x14ac:dyDescent="0.35">
      <c r="A36" s="232"/>
      <c r="B36" s="365" t="s">
        <v>66</v>
      </c>
      <c r="C36" s="143" t="s">
        <v>30</v>
      </c>
      <c r="D36" s="144" t="s">
        <v>36</v>
      </c>
      <c r="E36" s="144" t="s">
        <v>30</v>
      </c>
      <c r="F36" s="145" t="s">
        <v>81</v>
      </c>
      <c r="G36" s="28" t="s">
        <v>67</v>
      </c>
      <c r="H36" s="152">
        <f>'прил8 (ведом 24)'!M384</f>
        <v>73806.799999999988</v>
      </c>
    </row>
    <row r="37" spans="1:8" ht="18" x14ac:dyDescent="0.35">
      <c r="A37" s="232"/>
      <c r="B37" s="365" t="s">
        <v>47</v>
      </c>
      <c r="C37" s="143" t="s">
        <v>30</v>
      </c>
      <c r="D37" s="144" t="s">
        <v>36</v>
      </c>
      <c r="E37" s="144" t="s">
        <v>30</v>
      </c>
      <c r="F37" s="145" t="s">
        <v>81</v>
      </c>
      <c r="G37" s="28" t="s">
        <v>48</v>
      </c>
      <c r="H37" s="152">
        <f>'прил8 (ведом 24)'!M385</f>
        <v>349.8</v>
      </c>
    </row>
    <row r="38" spans="1:8" ht="18" x14ac:dyDescent="0.35">
      <c r="A38" s="232"/>
      <c r="B38" s="366" t="s">
        <v>354</v>
      </c>
      <c r="C38" s="143" t="s">
        <v>30</v>
      </c>
      <c r="D38" s="144" t="s">
        <v>36</v>
      </c>
      <c r="E38" s="144" t="s">
        <v>30</v>
      </c>
      <c r="F38" s="145" t="s">
        <v>318</v>
      </c>
      <c r="G38" s="28"/>
      <c r="H38" s="152">
        <f>SUM(H39:H40)</f>
        <v>6357.2204300000003</v>
      </c>
    </row>
    <row r="39" spans="1:8" ht="36" x14ac:dyDescent="0.35">
      <c r="A39" s="232"/>
      <c r="B39" s="366" t="s">
        <v>45</v>
      </c>
      <c r="C39" s="498" t="s">
        <v>30</v>
      </c>
      <c r="D39" s="499" t="s">
        <v>36</v>
      </c>
      <c r="E39" s="499" t="s">
        <v>30</v>
      </c>
      <c r="F39" s="500" t="s">
        <v>318</v>
      </c>
      <c r="G39" s="10" t="s">
        <v>46</v>
      </c>
      <c r="H39" s="152">
        <f>'прил8 (ведом 24)'!M387</f>
        <v>5.9204299999999996</v>
      </c>
    </row>
    <row r="40" spans="1:8" ht="36" x14ac:dyDescent="0.35">
      <c r="A40" s="232"/>
      <c r="B40" s="365" t="s">
        <v>66</v>
      </c>
      <c r="C40" s="143" t="s">
        <v>30</v>
      </c>
      <c r="D40" s="144" t="s">
        <v>36</v>
      </c>
      <c r="E40" s="144" t="s">
        <v>30</v>
      </c>
      <c r="F40" s="145" t="s">
        <v>318</v>
      </c>
      <c r="G40" s="28" t="s">
        <v>67</v>
      </c>
      <c r="H40" s="152">
        <f>'прил8 (ведом 24)'!M388</f>
        <v>6351.3</v>
      </c>
    </row>
    <row r="41" spans="1:8" ht="36" x14ac:dyDescent="0.35">
      <c r="A41" s="232"/>
      <c r="B41" s="365" t="s">
        <v>172</v>
      </c>
      <c r="C41" s="143" t="s">
        <v>30</v>
      </c>
      <c r="D41" s="144" t="s">
        <v>36</v>
      </c>
      <c r="E41" s="144" t="s">
        <v>30</v>
      </c>
      <c r="F41" s="145" t="s">
        <v>230</v>
      </c>
      <c r="G41" s="28"/>
      <c r="H41" s="152">
        <f>SUM(H42:H43)</f>
        <v>31524.6</v>
      </c>
    </row>
    <row r="42" spans="1:8" ht="36" x14ac:dyDescent="0.35">
      <c r="A42" s="232"/>
      <c r="B42" s="366" t="s">
        <v>45</v>
      </c>
      <c r="C42" s="143" t="s">
        <v>30</v>
      </c>
      <c r="D42" s="144" t="s">
        <v>36</v>
      </c>
      <c r="E42" s="144" t="s">
        <v>30</v>
      </c>
      <c r="F42" s="145" t="s">
        <v>230</v>
      </c>
      <c r="G42" s="28" t="s">
        <v>46</v>
      </c>
      <c r="H42" s="152">
        <f>'прил8 (ведом 24)'!M390</f>
        <v>4836.3999999999996</v>
      </c>
    </row>
    <row r="43" spans="1:8" ht="36" x14ac:dyDescent="0.35">
      <c r="A43" s="232"/>
      <c r="B43" s="365" t="s">
        <v>66</v>
      </c>
      <c r="C43" s="143" t="s">
        <v>30</v>
      </c>
      <c r="D43" s="144" t="s">
        <v>36</v>
      </c>
      <c r="E43" s="144" t="s">
        <v>30</v>
      </c>
      <c r="F43" s="145" t="s">
        <v>230</v>
      </c>
      <c r="G43" s="28" t="s">
        <v>67</v>
      </c>
      <c r="H43" s="152">
        <f>'прил8 (ведом 24)'!M391</f>
        <v>26688.2</v>
      </c>
    </row>
    <row r="44" spans="1:8" ht="36" x14ac:dyDescent="0.35">
      <c r="A44" s="232"/>
      <c r="B44" s="365" t="s">
        <v>173</v>
      </c>
      <c r="C44" s="143" t="s">
        <v>30</v>
      </c>
      <c r="D44" s="144" t="s">
        <v>36</v>
      </c>
      <c r="E44" s="144" t="s">
        <v>30</v>
      </c>
      <c r="F44" s="145" t="s">
        <v>231</v>
      </c>
      <c r="G44" s="28"/>
      <c r="H44" s="152">
        <f>SUM(H45:H46)</f>
        <v>52904.1</v>
      </c>
    </row>
    <row r="45" spans="1:8" ht="36" x14ac:dyDescent="0.35">
      <c r="A45" s="232"/>
      <c r="B45" s="366" t="s">
        <v>45</v>
      </c>
      <c r="C45" s="143" t="s">
        <v>30</v>
      </c>
      <c r="D45" s="144" t="s">
        <v>36</v>
      </c>
      <c r="E45" s="144" t="s">
        <v>30</v>
      </c>
      <c r="F45" s="145" t="s">
        <v>231</v>
      </c>
      <c r="G45" s="28" t="s">
        <v>46</v>
      </c>
      <c r="H45" s="152">
        <f>'прил8 (ведом 24)'!M393</f>
        <v>29489.1</v>
      </c>
    </row>
    <row r="46" spans="1:8" ht="36" x14ac:dyDescent="0.35">
      <c r="A46" s="232"/>
      <c r="B46" s="365" t="s">
        <v>66</v>
      </c>
      <c r="C46" s="143" t="s">
        <v>30</v>
      </c>
      <c r="D46" s="144" t="s">
        <v>36</v>
      </c>
      <c r="E46" s="144" t="s">
        <v>30</v>
      </c>
      <c r="F46" s="145" t="s">
        <v>231</v>
      </c>
      <c r="G46" s="28" t="s">
        <v>67</v>
      </c>
      <c r="H46" s="152">
        <f>'прил8 (ведом 24)'!M394</f>
        <v>23415</v>
      </c>
    </row>
    <row r="47" spans="1:8" ht="54" x14ac:dyDescent="0.35">
      <c r="A47" s="232"/>
      <c r="B47" s="366" t="s">
        <v>375</v>
      </c>
      <c r="C47" s="143" t="s">
        <v>30</v>
      </c>
      <c r="D47" s="144" t="s">
        <v>36</v>
      </c>
      <c r="E47" s="144" t="s">
        <v>30</v>
      </c>
      <c r="F47" s="145" t="s">
        <v>376</v>
      </c>
      <c r="G47" s="28"/>
      <c r="H47" s="146">
        <f>H48</f>
        <v>30</v>
      </c>
    </row>
    <row r="48" spans="1:8" ht="36" x14ac:dyDescent="0.35">
      <c r="A48" s="232"/>
      <c r="B48" s="366" t="s">
        <v>66</v>
      </c>
      <c r="C48" s="143" t="s">
        <v>30</v>
      </c>
      <c r="D48" s="144" t="s">
        <v>36</v>
      </c>
      <c r="E48" s="144" t="s">
        <v>30</v>
      </c>
      <c r="F48" s="145" t="s">
        <v>376</v>
      </c>
      <c r="G48" s="28" t="s">
        <v>67</v>
      </c>
      <c r="H48" s="146">
        <f>'прил8 (ведом 24)'!M396</f>
        <v>30</v>
      </c>
    </row>
    <row r="49" spans="1:8" ht="162" x14ac:dyDescent="0.35">
      <c r="A49" s="232"/>
      <c r="B49" s="365" t="s">
        <v>225</v>
      </c>
      <c r="C49" s="143" t="s">
        <v>30</v>
      </c>
      <c r="D49" s="144" t="s">
        <v>36</v>
      </c>
      <c r="E49" s="144" t="s">
        <v>30</v>
      </c>
      <c r="F49" s="145" t="s">
        <v>226</v>
      </c>
      <c r="G49" s="28"/>
      <c r="H49" s="152">
        <f>SUM(H50:H52)</f>
        <v>1468.6</v>
      </c>
    </row>
    <row r="50" spans="1:8" ht="90" x14ac:dyDescent="0.35">
      <c r="A50" s="232"/>
      <c r="B50" s="366" t="s">
        <v>40</v>
      </c>
      <c r="C50" s="143" t="s">
        <v>30</v>
      </c>
      <c r="D50" s="144" t="s">
        <v>36</v>
      </c>
      <c r="E50" s="144" t="s">
        <v>30</v>
      </c>
      <c r="F50" s="145" t="s">
        <v>226</v>
      </c>
      <c r="G50" s="28" t="s">
        <v>41</v>
      </c>
      <c r="H50" s="152">
        <f>'прил8 (ведом 24)'!M398</f>
        <v>77.599999999999994</v>
      </c>
    </row>
    <row r="51" spans="1:8" ht="18" x14ac:dyDescent="0.35">
      <c r="A51" s="232"/>
      <c r="B51" s="366" t="s">
        <v>110</v>
      </c>
      <c r="C51" s="143" t="s">
        <v>30</v>
      </c>
      <c r="D51" s="144" t="s">
        <v>36</v>
      </c>
      <c r="E51" s="144" t="s">
        <v>30</v>
      </c>
      <c r="F51" s="145" t="s">
        <v>226</v>
      </c>
      <c r="G51" s="28" t="s">
        <v>111</v>
      </c>
      <c r="H51" s="152">
        <f>'прил8 (ведом 24)'!M399</f>
        <v>5.5</v>
      </c>
    </row>
    <row r="52" spans="1:8" ht="36" x14ac:dyDescent="0.35">
      <c r="A52" s="232"/>
      <c r="B52" s="365" t="s">
        <v>66</v>
      </c>
      <c r="C52" s="143" t="s">
        <v>30</v>
      </c>
      <c r="D52" s="144" t="s">
        <v>36</v>
      </c>
      <c r="E52" s="144" t="s">
        <v>30</v>
      </c>
      <c r="F52" s="145" t="s">
        <v>226</v>
      </c>
      <c r="G52" s="28" t="s">
        <v>67</v>
      </c>
      <c r="H52" s="152">
        <f>'прил8 (ведом 24)'!M400</f>
        <v>1385.5</v>
      </c>
    </row>
    <row r="53" spans="1:8" ht="90" x14ac:dyDescent="0.35">
      <c r="A53" s="232"/>
      <c r="B53" s="365" t="s">
        <v>288</v>
      </c>
      <c r="C53" s="143" t="s">
        <v>30</v>
      </c>
      <c r="D53" s="144" t="s">
        <v>36</v>
      </c>
      <c r="E53" s="144" t="s">
        <v>30</v>
      </c>
      <c r="F53" s="145" t="s">
        <v>227</v>
      </c>
      <c r="G53" s="28"/>
      <c r="H53" s="152">
        <f>SUM(H54:H56)</f>
        <v>517624.4</v>
      </c>
    </row>
    <row r="54" spans="1:8" ht="90" x14ac:dyDescent="0.35">
      <c r="A54" s="232"/>
      <c r="B54" s="365" t="s">
        <v>40</v>
      </c>
      <c r="C54" s="143" t="s">
        <v>30</v>
      </c>
      <c r="D54" s="144" t="s">
        <v>36</v>
      </c>
      <c r="E54" s="144" t="s">
        <v>30</v>
      </c>
      <c r="F54" s="145" t="s">
        <v>227</v>
      </c>
      <c r="G54" s="28" t="s">
        <v>41</v>
      </c>
      <c r="H54" s="152">
        <f>'прил8 (ведом 24)'!M402</f>
        <v>30000</v>
      </c>
    </row>
    <row r="55" spans="1:8" ht="36" x14ac:dyDescent="0.35">
      <c r="A55" s="232"/>
      <c r="B55" s="365" t="s">
        <v>45</v>
      </c>
      <c r="C55" s="143" t="s">
        <v>30</v>
      </c>
      <c r="D55" s="144" t="s">
        <v>36</v>
      </c>
      <c r="E55" s="144" t="s">
        <v>30</v>
      </c>
      <c r="F55" s="145" t="s">
        <v>227</v>
      </c>
      <c r="G55" s="28" t="s">
        <v>46</v>
      </c>
      <c r="H55" s="152">
        <f>'прил8 (ведом 24)'!M403</f>
        <v>2062</v>
      </c>
    </row>
    <row r="56" spans="1:8" ht="36" x14ac:dyDescent="0.35">
      <c r="A56" s="232"/>
      <c r="B56" s="365" t="s">
        <v>66</v>
      </c>
      <c r="C56" s="143" t="s">
        <v>30</v>
      </c>
      <c r="D56" s="144" t="s">
        <v>36</v>
      </c>
      <c r="E56" s="144" t="s">
        <v>30</v>
      </c>
      <c r="F56" s="145" t="s">
        <v>227</v>
      </c>
      <c r="G56" s="28" t="s">
        <v>67</v>
      </c>
      <c r="H56" s="152">
        <f>'прил8 (ведом 24)'!M404</f>
        <v>485562.4</v>
      </c>
    </row>
    <row r="57" spans="1:8" ht="72" x14ac:dyDescent="0.35">
      <c r="A57" s="232"/>
      <c r="B57" s="365" t="s">
        <v>174</v>
      </c>
      <c r="C57" s="495" t="s">
        <v>30</v>
      </c>
      <c r="D57" s="495" t="s">
        <v>36</v>
      </c>
      <c r="E57" s="495" t="s">
        <v>30</v>
      </c>
      <c r="F57" s="496" t="s">
        <v>232</v>
      </c>
      <c r="G57" s="166"/>
      <c r="H57" s="152">
        <f>SUM(H58:H59)</f>
        <v>2391.3000000000002</v>
      </c>
    </row>
    <row r="58" spans="1:8" ht="36" x14ac:dyDescent="0.35">
      <c r="A58" s="232"/>
      <c r="B58" s="366" t="s">
        <v>45</v>
      </c>
      <c r="C58" s="143" t="s">
        <v>30</v>
      </c>
      <c r="D58" s="144" t="s">
        <v>36</v>
      </c>
      <c r="E58" s="144" t="s">
        <v>30</v>
      </c>
      <c r="F58" s="145" t="s">
        <v>232</v>
      </c>
      <c r="G58" s="28" t="s">
        <v>46</v>
      </c>
      <c r="H58" s="152">
        <f>'прил8 (ведом 24)'!M406</f>
        <v>102.4</v>
      </c>
    </row>
    <row r="59" spans="1:8" ht="36" x14ac:dyDescent="0.35">
      <c r="A59" s="232"/>
      <c r="B59" s="365" t="s">
        <v>66</v>
      </c>
      <c r="C59" s="495" t="s">
        <v>30</v>
      </c>
      <c r="D59" s="495" t="s">
        <v>36</v>
      </c>
      <c r="E59" s="495" t="s">
        <v>30</v>
      </c>
      <c r="F59" s="496" t="s">
        <v>232</v>
      </c>
      <c r="G59" s="166" t="s">
        <v>67</v>
      </c>
      <c r="H59" s="152">
        <f>'прил8 (ведом 24)'!M407</f>
        <v>2288.9</v>
      </c>
    </row>
    <row r="60" spans="1:8" ht="126" x14ac:dyDescent="0.35">
      <c r="A60" s="232"/>
      <c r="B60" s="368" t="s">
        <v>393</v>
      </c>
      <c r="C60" s="143" t="s">
        <v>30</v>
      </c>
      <c r="D60" s="144" t="s">
        <v>36</v>
      </c>
      <c r="E60" s="144" t="s">
        <v>30</v>
      </c>
      <c r="F60" s="145" t="s">
        <v>392</v>
      </c>
      <c r="G60" s="166"/>
      <c r="H60" s="152">
        <f>H61</f>
        <v>1845.6</v>
      </c>
    </row>
    <row r="61" spans="1:8" ht="36" x14ac:dyDescent="0.35">
      <c r="A61" s="232"/>
      <c r="B61" s="366" t="s">
        <v>66</v>
      </c>
      <c r="C61" s="143" t="s">
        <v>30</v>
      </c>
      <c r="D61" s="144" t="s">
        <v>36</v>
      </c>
      <c r="E61" s="144" t="s">
        <v>30</v>
      </c>
      <c r="F61" s="145" t="s">
        <v>392</v>
      </c>
      <c r="G61" s="28" t="s">
        <v>67</v>
      </c>
      <c r="H61" s="152">
        <f>'прил8 (ведом 24)'!M409</f>
        <v>1845.6</v>
      </c>
    </row>
    <row r="62" spans="1:8" ht="72" x14ac:dyDescent="0.35">
      <c r="A62" s="232"/>
      <c r="B62" s="366" t="s">
        <v>349</v>
      </c>
      <c r="C62" s="143" t="s">
        <v>30</v>
      </c>
      <c r="D62" s="144" t="s">
        <v>36</v>
      </c>
      <c r="E62" s="144" t="s">
        <v>30</v>
      </c>
      <c r="F62" s="145" t="s">
        <v>348</v>
      </c>
      <c r="G62" s="28"/>
      <c r="H62" s="152">
        <f>H63+H64</f>
        <v>65994.399999999994</v>
      </c>
    </row>
    <row r="63" spans="1:8" ht="36" x14ac:dyDescent="0.35">
      <c r="A63" s="232"/>
      <c r="B63" s="366" t="s">
        <v>45</v>
      </c>
      <c r="C63" s="143" t="s">
        <v>30</v>
      </c>
      <c r="D63" s="144" t="s">
        <v>36</v>
      </c>
      <c r="E63" s="144" t="s">
        <v>30</v>
      </c>
      <c r="F63" s="145" t="s">
        <v>348</v>
      </c>
      <c r="G63" s="28" t="s">
        <v>46</v>
      </c>
      <c r="H63" s="152">
        <f>'прил8 (ведом 24)'!M411</f>
        <v>1560.9</v>
      </c>
    </row>
    <row r="64" spans="1:8" ht="36" x14ac:dyDescent="0.35">
      <c r="A64" s="232"/>
      <c r="B64" s="366" t="s">
        <v>66</v>
      </c>
      <c r="C64" s="143" t="s">
        <v>30</v>
      </c>
      <c r="D64" s="144" t="s">
        <v>36</v>
      </c>
      <c r="E64" s="144" t="s">
        <v>30</v>
      </c>
      <c r="F64" s="145" t="s">
        <v>348</v>
      </c>
      <c r="G64" s="28" t="s">
        <v>67</v>
      </c>
      <c r="H64" s="152">
        <f>'прил8 (ведом 24)'!M412</f>
        <v>64433.5</v>
      </c>
    </row>
    <row r="65" spans="1:8" ht="234" x14ac:dyDescent="0.35">
      <c r="A65" s="232"/>
      <c r="B65" s="366" t="s">
        <v>402</v>
      </c>
      <c r="C65" s="143" t="s">
        <v>30</v>
      </c>
      <c r="D65" s="144" t="s">
        <v>36</v>
      </c>
      <c r="E65" s="144" t="s">
        <v>30</v>
      </c>
      <c r="F65" s="145" t="s">
        <v>477</v>
      </c>
      <c r="G65" s="28"/>
      <c r="H65" s="152">
        <f>H66+H67</f>
        <v>35544.6</v>
      </c>
    </row>
    <row r="66" spans="1:8" ht="90" x14ac:dyDescent="0.35">
      <c r="A66" s="232"/>
      <c r="B66" s="366" t="s">
        <v>40</v>
      </c>
      <c r="C66" s="143" t="s">
        <v>30</v>
      </c>
      <c r="D66" s="144" t="s">
        <v>36</v>
      </c>
      <c r="E66" s="144" t="s">
        <v>30</v>
      </c>
      <c r="F66" s="145" t="s">
        <v>477</v>
      </c>
      <c r="G66" s="28" t="s">
        <v>41</v>
      </c>
      <c r="H66" s="152">
        <f>'прил8 (ведом 24)'!M414</f>
        <v>2968.6</v>
      </c>
    </row>
    <row r="67" spans="1:8" ht="36" x14ac:dyDescent="0.35">
      <c r="A67" s="232"/>
      <c r="B67" s="366" t="s">
        <v>66</v>
      </c>
      <c r="C67" s="143" t="s">
        <v>30</v>
      </c>
      <c r="D67" s="144" t="s">
        <v>36</v>
      </c>
      <c r="E67" s="144" t="s">
        <v>30</v>
      </c>
      <c r="F67" s="145" t="s">
        <v>477</v>
      </c>
      <c r="G67" s="28" t="s">
        <v>67</v>
      </c>
      <c r="H67" s="152">
        <f>'прил8 (ведом 24)'!M415</f>
        <v>32576</v>
      </c>
    </row>
    <row r="68" spans="1:8" ht="162" x14ac:dyDescent="0.35">
      <c r="A68" s="232"/>
      <c r="B68" s="425" t="s">
        <v>474</v>
      </c>
      <c r="C68" s="498" t="s">
        <v>30</v>
      </c>
      <c r="D68" s="499" t="s">
        <v>36</v>
      </c>
      <c r="E68" s="499" t="s">
        <v>30</v>
      </c>
      <c r="F68" s="500" t="s">
        <v>448</v>
      </c>
      <c r="G68" s="10"/>
      <c r="H68" s="152">
        <f>H69</f>
        <v>3900.6</v>
      </c>
    </row>
    <row r="69" spans="1:8" ht="36" x14ac:dyDescent="0.35">
      <c r="A69" s="232"/>
      <c r="B69" s="368" t="s">
        <v>66</v>
      </c>
      <c r="C69" s="498" t="s">
        <v>30</v>
      </c>
      <c r="D69" s="499" t="s">
        <v>36</v>
      </c>
      <c r="E69" s="499" t="s">
        <v>30</v>
      </c>
      <c r="F69" s="500" t="s">
        <v>448</v>
      </c>
      <c r="G69" s="10" t="s">
        <v>67</v>
      </c>
      <c r="H69" s="152">
        <f>'прил8 (ведом 24)'!M417</f>
        <v>3900.6</v>
      </c>
    </row>
    <row r="70" spans="1:8" ht="126" x14ac:dyDescent="0.35">
      <c r="A70" s="232"/>
      <c r="B70" s="439" t="s">
        <v>471</v>
      </c>
      <c r="C70" s="263" t="s">
        <v>30</v>
      </c>
      <c r="D70" s="264" t="s">
        <v>36</v>
      </c>
      <c r="E70" s="264" t="s">
        <v>30</v>
      </c>
      <c r="F70" s="265" t="s">
        <v>367</v>
      </c>
      <c r="G70" s="307"/>
      <c r="H70" s="152">
        <f>H71</f>
        <v>34464.199999999997</v>
      </c>
    </row>
    <row r="71" spans="1:8" ht="36" x14ac:dyDescent="0.35">
      <c r="A71" s="232"/>
      <c r="B71" s="439" t="s">
        <v>168</v>
      </c>
      <c r="C71" s="447" t="s">
        <v>30</v>
      </c>
      <c r="D71" s="448" t="s">
        <v>36</v>
      </c>
      <c r="E71" s="448" t="s">
        <v>30</v>
      </c>
      <c r="F71" s="449" t="s">
        <v>367</v>
      </c>
      <c r="G71" s="307" t="s">
        <v>169</v>
      </c>
      <c r="H71" s="152">
        <f>'прил8 (ведом 24)'!M314</f>
        <v>34464.199999999997</v>
      </c>
    </row>
    <row r="72" spans="1:8" ht="72" x14ac:dyDescent="0.35">
      <c r="A72" s="232"/>
      <c r="B72" s="366" t="s">
        <v>391</v>
      </c>
      <c r="C72" s="143" t="s">
        <v>30</v>
      </c>
      <c r="D72" s="144" t="s">
        <v>36</v>
      </c>
      <c r="E72" s="144" t="s">
        <v>30</v>
      </c>
      <c r="F72" s="145" t="s">
        <v>390</v>
      </c>
      <c r="G72" s="28"/>
      <c r="H72" s="152">
        <f>H73+H74+H75</f>
        <v>14388.6</v>
      </c>
    </row>
    <row r="73" spans="1:8" ht="36" x14ac:dyDescent="0.35">
      <c r="A73" s="232"/>
      <c r="B73" s="366" t="s">
        <v>45</v>
      </c>
      <c r="C73" s="143" t="s">
        <v>30</v>
      </c>
      <c r="D73" s="144" t="s">
        <v>36</v>
      </c>
      <c r="E73" s="144" t="s">
        <v>30</v>
      </c>
      <c r="F73" s="145" t="s">
        <v>390</v>
      </c>
      <c r="G73" s="28" t="s">
        <v>46</v>
      </c>
      <c r="H73" s="152">
        <f>'прил8 (ведом 24)'!M419</f>
        <v>149.9</v>
      </c>
    </row>
    <row r="74" spans="1:8" ht="18" x14ac:dyDescent="0.35">
      <c r="A74" s="232"/>
      <c r="B74" s="366" t="s">
        <v>110</v>
      </c>
      <c r="C74" s="143" t="s">
        <v>30</v>
      </c>
      <c r="D74" s="144" t="s">
        <v>36</v>
      </c>
      <c r="E74" s="144" t="s">
        <v>30</v>
      </c>
      <c r="F74" s="145" t="s">
        <v>390</v>
      </c>
      <c r="G74" s="28" t="s">
        <v>111</v>
      </c>
      <c r="H74" s="152">
        <f>'прил8 (ведом 24)'!M420</f>
        <v>97.8</v>
      </c>
    </row>
    <row r="75" spans="1:8" ht="36" x14ac:dyDescent="0.35">
      <c r="A75" s="232"/>
      <c r="B75" s="366" t="s">
        <v>66</v>
      </c>
      <c r="C75" s="143" t="s">
        <v>30</v>
      </c>
      <c r="D75" s="144" t="s">
        <v>36</v>
      </c>
      <c r="E75" s="144" t="s">
        <v>30</v>
      </c>
      <c r="F75" s="145" t="s">
        <v>390</v>
      </c>
      <c r="G75" s="28" t="s">
        <v>67</v>
      </c>
      <c r="H75" s="152">
        <f>'прил8 (ведом 24)'!M421</f>
        <v>14140.9</v>
      </c>
    </row>
    <row r="76" spans="1:8" ht="36" x14ac:dyDescent="0.35">
      <c r="A76" s="232"/>
      <c r="B76" s="368" t="s">
        <v>467</v>
      </c>
      <c r="C76" s="498" t="s">
        <v>30</v>
      </c>
      <c r="D76" s="499" t="s">
        <v>36</v>
      </c>
      <c r="E76" s="499" t="s">
        <v>468</v>
      </c>
      <c r="F76" s="500" t="s">
        <v>35</v>
      </c>
      <c r="G76" s="10"/>
      <c r="H76" s="152">
        <f>H77</f>
        <v>5745.9</v>
      </c>
    </row>
    <row r="77" spans="1:8" ht="72" x14ac:dyDescent="0.35">
      <c r="A77" s="232"/>
      <c r="B77" s="368" t="s">
        <v>469</v>
      </c>
      <c r="C77" s="498" t="s">
        <v>30</v>
      </c>
      <c r="D77" s="499" t="s">
        <v>36</v>
      </c>
      <c r="E77" s="499" t="s">
        <v>468</v>
      </c>
      <c r="F77" s="500" t="s">
        <v>470</v>
      </c>
      <c r="G77" s="10"/>
      <c r="H77" s="152">
        <f>H78+H79</f>
        <v>5745.9</v>
      </c>
    </row>
    <row r="78" spans="1:8" ht="90" x14ac:dyDescent="0.35">
      <c r="A78" s="232"/>
      <c r="B78" s="368" t="s">
        <v>40</v>
      </c>
      <c r="C78" s="498" t="s">
        <v>30</v>
      </c>
      <c r="D78" s="499" t="s">
        <v>36</v>
      </c>
      <c r="E78" s="499" t="s">
        <v>468</v>
      </c>
      <c r="F78" s="500" t="s">
        <v>470</v>
      </c>
      <c r="G78" s="10" t="s">
        <v>41</v>
      </c>
      <c r="H78" s="152">
        <f>'прил8 (ведом 24)'!M424</f>
        <v>420.4</v>
      </c>
    </row>
    <row r="79" spans="1:8" ht="36" x14ac:dyDescent="0.35">
      <c r="A79" s="232"/>
      <c r="B79" s="368" t="s">
        <v>66</v>
      </c>
      <c r="C79" s="498" t="s">
        <v>30</v>
      </c>
      <c r="D79" s="499" t="s">
        <v>36</v>
      </c>
      <c r="E79" s="499" t="s">
        <v>468</v>
      </c>
      <c r="F79" s="500" t="s">
        <v>470</v>
      </c>
      <c r="G79" s="10" t="s">
        <v>67</v>
      </c>
      <c r="H79" s="152">
        <f>'прил8 (ведом 24)'!M425</f>
        <v>5325.5</v>
      </c>
    </row>
    <row r="80" spans="1:8" ht="18" x14ac:dyDescent="0.35">
      <c r="A80" s="232"/>
      <c r="B80" s="365" t="s">
        <v>175</v>
      </c>
      <c r="C80" s="143" t="s">
        <v>30</v>
      </c>
      <c r="D80" s="144" t="s">
        <v>79</v>
      </c>
      <c r="E80" s="144" t="s">
        <v>34</v>
      </c>
      <c r="F80" s="145" t="s">
        <v>35</v>
      </c>
      <c r="G80" s="166"/>
      <c r="H80" s="152">
        <f>H81+H102</f>
        <v>88324.4</v>
      </c>
    </row>
    <row r="81" spans="1:8" ht="36" x14ac:dyDescent="0.35">
      <c r="A81" s="232"/>
      <c r="B81" s="365" t="s">
        <v>233</v>
      </c>
      <c r="C81" s="143" t="s">
        <v>30</v>
      </c>
      <c r="D81" s="144" t="s">
        <v>79</v>
      </c>
      <c r="E81" s="144" t="s">
        <v>28</v>
      </c>
      <c r="F81" s="145" t="s">
        <v>35</v>
      </c>
      <c r="G81" s="166"/>
      <c r="H81" s="152">
        <f>H82+H97+H89+H99+H92+H87+H94</f>
        <v>88270.399999999994</v>
      </c>
    </row>
    <row r="82" spans="1:8" ht="36" x14ac:dyDescent="0.35">
      <c r="A82" s="232"/>
      <c r="B82" s="365" t="s">
        <v>353</v>
      </c>
      <c r="C82" s="143" t="s">
        <v>30</v>
      </c>
      <c r="D82" s="144" t="s">
        <v>79</v>
      </c>
      <c r="E82" s="144" t="s">
        <v>28</v>
      </c>
      <c r="F82" s="145" t="s">
        <v>81</v>
      </c>
      <c r="G82" s="28"/>
      <c r="H82" s="152">
        <f>SUM(H83:H86)</f>
        <v>61992.299999999996</v>
      </c>
    </row>
    <row r="83" spans="1:8" ht="90" x14ac:dyDescent="0.35">
      <c r="A83" s="232"/>
      <c r="B83" s="366" t="s">
        <v>40</v>
      </c>
      <c r="C83" s="143" t="s">
        <v>30</v>
      </c>
      <c r="D83" s="144" t="s">
        <v>79</v>
      </c>
      <c r="E83" s="144" t="s">
        <v>28</v>
      </c>
      <c r="F83" s="145" t="s">
        <v>81</v>
      </c>
      <c r="G83" s="28" t="s">
        <v>41</v>
      </c>
      <c r="H83" s="152">
        <f>'прил8 (ведом 24)'!M498</f>
        <v>17434.400000000001</v>
      </c>
    </row>
    <row r="84" spans="1:8" ht="36" x14ac:dyDescent="0.35">
      <c r="A84" s="232"/>
      <c r="B84" s="366" t="s">
        <v>45</v>
      </c>
      <c r="C84" s="143" t="s">
        <v>30</v>
      </c>
      <c r="D84" s="144" t="s">
        <v>79</v>
      </c>
      <c r="E84" s="144" t="s">
        <v>28</v>
      </c>
      <c r="F84" s="145" t="s">
        <v>81</v>
      </c>
      <c r="G84" s="28" t="s">
        <v>46</v>
      </c>
      <c r="H84" s="152">
        <f>'прил8 (ведом 24)'!M499</f>
        <v>3558.1000000000004</v>
      </c>
    </row>
    <row r="85" spans="1:8" ht="36" x14ac:dyDescent="0.35">
      <c r="A85" s="232"/>
      <c r="B85" s="365" t="s">
        <v>66</v>
      </c>
      <c r="C85" s="143" t="s">
        <v>30</v>
      </c>
      <c r="D85" s="144" t="s">
        <v>79</v>
      </c>
      <c r="E85" s="144" t="s">
        <v>28</v>
      </c>
      <c r="F85" s="145" t="s">
        <v>81</v>
      </c>
      <c r="G85" s="28" t="s">
        <v>67</v>
      </c>
      <c r="H85" s="152">
        <f>'прил8 (ведом 24)'!M435</f>
        <v>40696.6</v>
      </c>
    </row>
    <row r="86" spans="1:8" ht="18" x14ac:dyDescent="0.35">
      <c r="A86" s="232"/>
      <c r="B86" s="366" t="s">
        <v>47</v>
      </c>
      <c r="C86" s="143" t="s">
        <v>30</v>
      </c>
      <c r="D86" s="144" t="s">
        <v>79</v>
      </c>
      <c r="E86" s="144" t="s">
        <v>28</v>
      </c>
      <c r="F86" s="145" t="s">
        <v>81</v>
      </c>
      <c r="G86" s="28" t="s">
        <v>48</v>
      </c>
      <c r="H86" s="152">
        <f>'прил8 (ведом 24)'!M500</f>
        <v>303.2</v>
      </c>
    </row>
    <row r="87" spans="1:8" ht="18" x14ac:dyDescent="0.35">
      <c r="A87" s="232"/>
      <c r="B87" s="368" t="s">
        <v>354</v>
      </c>
      <c r="C87" s="498" t="s">
        <v>30</v>
      </c>
      <c r="D87" s="499" t="s">
        <v>79</v>
      </c>
      <c r="E87" s="499" t="s">
        <v>28</v>
      </c>
      <c r="F87" s="500" t="s">
        <v>318</v>
      </c>
      <c r="G87" s="10"/>
      <c r="H87" s="152">
        <f>H88</f>
        <v>972.4</v>
      </c>
    </row>
    <row r="88" spans="1:8" ht="36" x14ac:dyDescent="0.35">
      <c r="A88" s="232"/>
      <c r="B88" s="368" t="s">
        <v>66</v>
      </c>
      <c r="C88" s="498" t="s">
        <v>30</v>
      </c>
      <c r="D88" s="499" t="s">
        <v>79</v>
      </c>
      <c r="E88" s="499" t="s">
        <v>28</v>
      </c>
      <c r="F88" s="500" t="s">
        <v>318</v>
      </c>
      <c r="G88" s="10" t="s">
        <v>67</v>
      </c>
      <c r="H88" s="152">
        <f>'прил8 (ведом 24)'!M437</f>
        <v>972.4</v>
      </c>
    </row>
    <row r="89" spans="1:8" ht="36" x14ac:dyDescent="0.35">
      <c r="A89" s="232"/>
      <c r="B89" s="366" t="s">
        <v>172</v>
      </c>
      <c r="C89" s="143" t="s">
        <v>30</v>
      </c>
      <c r="D89" s="144" t="s">
        <v>79</v>
      </c>
      <c r="E89" s="144" t="s">
        <v>28</v>
      </c>
      <c r="F89" s="145" t="s">
        <v>230</v>
      </c>
      <c r="G89" s="28"/>
      <c r="H89" s="152">
        <f>SUM(H90:H91)</f>
        <v>5797.5</v>
      </c>
    </row>
    <row r="90" spans="1:8" ht="36" x14ac:dyDescent="0.35">
      <c r="A90" s="232"/>
      <c r="B90" s="366" t="s">
        <v>45</v>
      </c>
      <c r="C90" s="143" t="s">
        <v>30</v>
      </c>
      <c r="D90" s="144" t="s">
        <v>79</v>
      </c>
      <c r="E90" s="144" t="s">
        <v>28</v>
      </c>
      <c r="F90" s="145" t="s">
        <v>230</v>
      </c>
      <c r="G90" s="28" t="s">
        <v>46</v>
      </c>
      <c r="H90" s="152">
        <f>'прил8 (ведом 24)'!M502</f>
        <v>1159.5</v>
      </c>
    </row>
    <row r="91" spans="1:8" ht="36" x14ac:dyDescent="0.35">
      <c r="A91" s="232"/>
      <c r="B91" s="369" t="s">
        <v>66</v>
      </c>
      <c r="C91" s="143" t="s">
        <v>30</v>
      </c>
      <c r="D91" s="144" t="s">
        <v>79</v>
      </c>
      <c r="E91" s="144" t="s">
        <v>28</v>
      </c>
      <c r="F91" s="145" t="s">
        <v>230</v>
      </c>
      <c r="G91" s="28" t="s">
        <v>67</v>
      </c>
      <c r="H91" s="152">
        <f>'прил8 (ведом 24)'!M439</f>
        <v>4638</v>
      </c>
    </row>
    <row r="92" spans="1:8" ht="36" x14ac:dyDescent="0.35">
      <c r="A92" s="232"/>
      <c r="B92" s="366" t="s">
        <v>173</v>
      </c>
      <c r="C92" s="143" t="s">
        <v>30</v>
      </c>
      <c r="D92" s="144" t="s">
        <v>79</v>
      </c>
      <c r="E92" s="144" t="s">
        <v>28</v>
      </c>
      <c r="F92" s="145" t="s">
        <v>231</v>
      </c>
      <c r="G92" s="28"/>
      <c r="H92" s="152">
        <f>H93</f>
        <v>272.39999999999998</v>
      </c>
    </row>
    <row r="93" spans="1:8" ht="36" x14ac:dyDescent="0.35">
      <c r="A93" s="232"/>
      <c r="B93" s="369" t="s">
        <v>66</v>
      </c>
      <c r="C93" s="143" t="s">
        <v>30</v>
      </c>
      <c r="D93" s="144" t="s">
        <v>79</v>
      </c>
      <c r="E93" s="144" t="s">
        <v>28</v>
      </c>
      <c r="F93" s="145" t="s">
        <v>231</v>
      </c>
      <c r="G93" s="28" t="s">
        <v>67</v>
      </c>
      <c r="H93" s="152">
        <f>'прил8 (ведом 24)'!M441</f>
        <v>272.39999999999998</v>
      </c>
    </row>
    <row r="94" spans="1:8" ht="54" x14ac:dyDescent="0.35">
      <c r="A94" s="232"/>
      <c r="B94" s="425" t="s">
        <v>472</v>
      </c>
      <c r="C94" s="498" t="s">
        <v>30</v>
      </c>
      <c r="D94" s="499" t="s">
        <v>79</v>
      </c>
      <c r="E94" s="499" t="s">
        <v>28</v>
      </c>
      <c r="F94" s="500" t="s">
        <v>473</v>
      </c>
      <c r="G94" s="10"/>
      <c r="H94" s="152">
        <f>H95+H96</f>
        <v>6127.4999999999991</v>
      </c>
    </row>
    <row r="95" spans="1:8" ht="36" x14ac:dyDescent="0.35">
      <c r="A95" s="232"/>
      <c r="B95" s="425" t="s">
        <v>66</v>
      </c>
      <c r="C95" s="498" t="s">
        <v>30</v>
      </c>
      <c r="D95" s="499" t="s">
        <v>79</v>
      </c>
      <c r="E95" s="499" t="s">
        <v>28</v>
      </c>
      <c r="F95" s="500" t="s">
        <v>473</v>
      </c>
      <c r="G95" s="10" t="s">
        <v>67</v>
      </c>
      <c r="H95" s="152">
        <f>'прил8 (ведом 24)'!M443</f>
        <v>6072.5999999999995</v>
      </c>
    </row>
    <row r="96" spans="1:8" ht="18" x14ac:dyDescent="0.35">
      <c r="A96" s="232"/>
      <c r="B96" s="425" t="s">
        <v>47</v>
      </c>
      <c r="C96" s="498" t="s">
        <v>30</v>
      </c>
      <c r="D96" s="499" t="s">
        <v>79</v>
      </c>
      <c r="E96" s="499" t="s">
        <v>28</v>
      </c>
      <c r="F96" s="500" t="s">
        <v>473</v>
      </c>
      <c r="G96" s="10" t="s">
        <v>48</v>
      </c>
      <c r="H96" s="152">
        <f>'прил8 (ведом 24)'!M444</f>
        <v>54.9</v>
      </c>
    </row>
    <row r="97" spans="1:8" ht="162" x14ac:dyDescent="0.35">
      <c r="A97" s="232"/>
      <c r="B97" s="365" t="s">
        <v>225</v>
      </c>
      <c r="C97" s="143" t="s">
        <v>30</v>
      </c>
      <c r="D97" s="144" t="s">
        <v>79</v>
      </c>
      <c r="E97" s="144" t="s">
        <v>28</v>
      </c>
      <c r="F97" s="145" t="s">
        <v>226</v>
      </c>
      <c r="G97" s="28"/>
      <c r="H97" s="152">
        <f>H98</f>
        <v>108.3</v>
      </c>
    </row>
    <row r="98" spans="1:8" ht="36" x14ac:dyDescent="0.35">
      <c r="A98" s="232"/>
      <c r="B98" s="366" t="s">
        <v>66</v>
      </c>
      <c r="C98" s="143" t="s">
        <v>30</v>
      </c>
      <c r="D98" s="144" t="s">
        <v>79</v>
      </c>
      <c r="E98" s="144" t="s">
        <v>28</v>
      </c>
      <c r="F98" s="145" t="s">
        <v>226</v>
      </c>
      <c r="G98" s="28" t="s">
        <v>67</v>
      </c>
      <c r="H98" s="152">
        <f>'прил8 (ведом 24)'!M446</f>
        <v>108.3</v>
      </c>
    </row>
    <row r="99" spans="1:8" ht="90" x14ac:dyDescent="0.35">
      <c r="A99" s="232"/>
      <c r="B99" s="366" t="s">
        <v>288</v>
      </c>
      <c r="C99" s="143" t="s">
        <v>30</v>
      </c>
      <c r="D99" s="144" t="s">
        <v>79</v>
      </c>
      <c r="E99" s="144" t="s">
        <v>28</v>
      </c>
      <c r="F99" s="145" t="s">
        <v>227</v>
      </c>
      <c r="G99" s="28"/>
      <c r="H99" s="152">
        <f>SUM(H100:H101)</f>
        <v>13000</v>
      </c>
    </row>
    <row r="100" spans="1:8" ht="90" x14ac:dyDescent="0.35">
      <c r="A100" s="232"/>
      <c r="B100" s="368" t="s">
        <v>40</v>
      </c>
      <c r="C100" s="498" t="s">
        <v>30</v>
      </c>
      <c r="D100" s="499" t="s">
        <v>79</v>
      </c>
      <c r="E100" s="499" t="s">
        <v>28</v>
      </c>
      <c r="F100" s="500" t="s">
        <v>227</v>
      </c>
      <c r="G100" s="10" t="s">
        <v>41</v>
      </c>
      <c r="H100" s="152">
        <f>'прил8 (ведом 24)'!M448</f>
        <v>900</v>
      </c>
    </row>
    <row r="101" spans="1:8" ht="36" x14ac:dyDescent="0.35">
      <c r="A101" s="232"/>
      <c r="B101" s="366" t="s">
        <v>66</v>
      </c>
      <c r="C101" s="143" t="s">
        <v>30</v>
      </c>
      <c r="D101" s="144" t="s">
        <v>79</v>
      </c>
      <c r="E101" s="144" t="s">
        <v>28</v>
      </c>
      <c r="F101" s="145" t="s">
        <v>227</v>
      </c>
      <c r="G101" s="28" t="s">
        <v>67</v>
      </c>
      <c r="H101" s="152">
        <f>'прил8 (ведом 24)'!M449</f>
        <v>12100</v>
      </c>
    </row>
    <row r="102" spans="1:8" ht="18" x14ac:dyDescent="0.35">
      <c r="A102" s="232"/>
      <c r="B102" s="366" t="s">
        <v>234</v>
      </c>
      <c r="C102" s="143" t="s">
        <v>30</v>
      </c>
      <c r="D102" s="144" t="s">
        <v>79</v>
      </c>
      <c r="E102" s="144" t="s">
        <v>30</v>
      </c>
      <c r="F102" s="145" t="s">
        <v>35</v>
      </c>
      <c r="G102" s="28"/>
      <c r="H102" s="152">
        <f>H103</f>
        <v>54</v>
      </c>
    </row>
    <row r="103" spans="1:8" ht="36" x14ac:dyDescent="0.35">
      <c r="A103" s="232"/>
      <c r="B103" s="366" t="s">
        <v>235</v>
      </c>
      <c r="C103" s="143" t="s">
        <v>30</v>
      </c>
      <c r="D103" s="144" t="s">
        <v>79</v>
      </c>
      <c r="E103" s="144" t="s">
        <v>30</v>
      </c>
      <c r="F103" s="145" t="s">
        <v>236</v>
      </c>
      <c r="G103" s="28"/>
      <c r="H103" s="152">
        <f>H104</f>
        <v>54</v>
      </c>
    </row>
    <row r="104" spans="1:8" ht="18" x14ac:dyDescent="0.35">
      <c r="A104" s="232"/>
      <c r="B104" s="366" t="s">
        <v>110</v>
      </c>
      <c r="C104" s="143" t="s">
        <v>30</v>
      </c>
      <c r="D104" s="144" t="s">
        <v>79</v>
      </c>
      <c r="E104" s="144" t="s">
        <v>30</v>
      </c>
      <c r="F104" s="145" t="s">
        <v>236</v>
      </c>
      <c r="G104" s="28" t="s">
        <v>111</v>
      </c>
      <c r="H104" s="152">
        <f>'прил8 (ведом 24)'!M461</f>
        <v>54</v>
      </c>
    </row>
    <row r="105" spans="1:8" ht="36" x14ac:dyDescent="0.35">
      <c r="A105" s="232"/>
      <c r="B105" s="365" t="s">
        <v>177</v>
      </c>
      <c r="C105" s="143" t="s">
        <v>30</v>
      </c>
      <c r="D105" s="144" t="s">
        <v>21</v>
      </c>
      <c r="E105" s="144" t="s">
        <v>34</v>
      </c>
      <c r="F105" s="145" t="s">
        <v>35</v>
      </c>
      <c r="G105" s="166"/>
      <c r="H105" s="152">
        <f>H106+H128+H133+H136+H139</f>
        <v>100618.20000000001</v>
      </c>
    </row>
    <row r="106" spans="1:8" ht="36" x14ac:dyDescent="0.35">
      <c r="A106" s="232"/>
      <c r="B106" s="365" t="s">
        <v>239</v>
      </c>
      <c r="C106" s="143" t="s">
        <v>30</v>
      </c>
      <c r="D106" s="144" t="s">
        <v>21</v>
      </c>
      <c r="E106" s="144" t="s">
        <v>28</v>
      </c>
      <c r="F106" s="145" t="s">
        <v>35</v>
      </c>
      <c r="G106" s="166"/>
      <c r="H106" s="152">
        <f>H107+H111+H126+H123+H116+H119+H121</f>
        <v>92353.8</v>
      </c>
    </row>
    <row r="107" spans="1:8" ht="36" x14ac:dyDescent="0.35">
      <c r="A107" s="232"/>
      <c r="B107" s="365" t="s">
        <v>38</v>
      </c>
      <c r="C107" s="143" t="s">
        <v>30</v>
      </c>
      <c r="D107" s="144" t="s">
        <v>21</v>
      </c>
      <c r="E107" s="144" t="s">
        <v>28</v>
      </c>
      <c r="F107" s="145" t="s">
        <v>39</v>
      </c>
      <c r="G107" s="28"/>
      <c r="H107" s="152">
        <f>SUM(H108:H110)</f>
        <v>13703.5</v>
      </c>
    </row>
    <row r="108" spans="1:8" ht="90" x14ac:dyDescent="0.35">
      <c r="A108" s="232"/>
      <c r="B108" s="365" t="s">
        <v>40</v>
      </c>
      <c r="C108" s="143" t="s">
        <v>30</v>
      </c>
      <c r="D108" s="144" t="s">
        <v>21</v>
      </c>
      <c r="E108" s="144" t="s">
        <v>28</v>
      </c>
      <c r="F108" s="145" t="s">
        <v>39</v>
      </c>
      <c r="G108" s="28" t="s">
        <v>41</v>
      </c>
      <c r="H108" s="152">
        <f>'прил8 (ведом 24)'!M465</f>
        <v>12881.5</v>
      </c>
    </row>
    <row r="109" spans="1:8" ht="36" x14ac:dyDescent="0.35">
      <c r="A109" s="232"/>
      <c r="B109" s="365" t="s">
        <v>45</v>
      </c>
      <c r="C109" s="143" t="s">
        <v>30</v>
      </c>
      <c r="D109" s="144" t="s">
        <v>21</v>
      </c>
      <c r="E109" s="144" t="s">
        <v>28</v>
      </c>
      <c r="F109" s="145" t="s">
        <v>39</v>
      </c>
      <c r="G109" s="28" t="s">
        <v>46</v>
      </c>
      <c r="H109" s="152">
        <f>'прил8 (ведом 24)'!M466</f>
        <v>805.5</v>
      </c>
    </row>
    <row r="110" spans="1:8" ht="18" x14ac:dyDescent="0.35">
      <c r="A110" s="232"/>
      <c r="B110" s="365" t="s">
        <v>47</v>
      </c>
      <c r="C110" s="143" t="s">
        <v>30</v>
      </c>
      <c r="D110" s="144" t="s">
        <v>21</v>
      </c>
      <c r="E110" s="144" t="s">
        <v>28</v>
      </c>
      <c r="F110" s="145" t="s">
        <v>39</v>
      </c>
      <c r="G110" s="28" t="s">
        <v>48</v>
      </c>
      <c r="H110" s="152">
        <f>'прил8 (ведом 24)'!M467</f>
        <v>16.5</v>
      </c>
    </row>
    <row r="111" spans="1:8" ht="36" x14ac:dyDescent="0.35">
      <c r="A111" s="232"/>
      <c r="B111" s="365" t="s">
        <v>353</v>
      </c>
      <c r="C111" s="143" t="s">
        <v>30</v>
      </c>
      <c r="D111" s="144" t="s">
        <v>21</v>
      </c>
      <c r="E111" s="144" t="s">
        <v>28</v>
      </c>
      <c r="F111" s="145" t="s">
        <v>81</v>
      </c>
      <c r="G111" s="28"/>
      <c r="H111" s="152">
        <f>SUM(H112:H115)</f>
        <v>64027.899999999994</v>
      </c>
    </row>
    <row r="112" spans="1:8" ht="90" x14ac:dyDescent="0.35">
      <c r="A112" s="232"/>
      <c r="B112" s="365" t="s">
        <v>40</v>
      </c>
      <c r="C112" s="143" t="s">
        <v>30</v>
      </c>
      <c r="D112" s="144" t="s">
        <v>21</v>
      </c>
      <c r="E112" s="144" t="s">
        <v>28</v>
      </c>
      <c r="F112" s="145" t="s">
        <v>81</v>
      </c>
      <c r="G112" s="28" t="s">
        <v>41</v>
      </c>
      <c r="H112" s="152">
        <f>'прил8 (ведом 24)'!M469</f>
        <v>38894.299999999996</v>
      </c>
    </row>
    <row r="113" spans="1:8" ht="36" x14ac:dyDescent="0.35">
      <c r="A113" s="232"/>
      <c r="B113" s="365" t="s">
        <v>45</v>
      </c>
      <c r="C113" s="143" t="s">
        <v>30</v>
      </c>
      <c r="D113" s="144" t="s">
        <v>21</v>
      </c>
      <c r="E113" s="144" t="s">
        <v>28</v>
      </c>
      <c r="F113" s="145" t="s">
        <v>81</v>
      </c>
      <c r="G113" s="28" t="s">
        <v>46</v>
      </c>
      <c r="H113" s="152">
        <f>'прил8 (ведом 24)'!M470</f>
        <v>3258.2</v>
      </c>
    </row>
    <row r="114" spans="1:8" ht="36" x14ac:dyDescent="0.35">
      <c r="A114" s="232"/>
      <c r="B114" s="366" t="s">
        <v>66</v>
      </c>
      <c r="C114" s="143" t="s">
        <v>30</v>
      </c>
      <c r="D114" s="144" t="s">
        <v>21</v>
      </c>
      <c r="E114" s="144" t="s">
        <v>28</v>
      </c>
      <c r="F114" s="145" t="s">
        <v>81</v>
      </c>
      <c r="G114" s="28" t="s">
        <v>67</v>
      </c>
      <c r="H114" s="152">
        <f>'прил8 (ведом 24)'!M471</f>
        <v>21870.600000000002</v>
      </c>
    </row>
    <row r="115" spans="1:8" ht="18" x14ac:dyDescent="0.35">
      <c r="A115" s="232"/>
      <c r="B115" s="365" t="s">
        <v>47</v>
      </c>
      <c r="C115" s="143" t="s">
        <v>30</v>
      </c>
      <c r="D115" s="144" t="s">
        <v>21</v>
      </c>
      <c r="E115" s="144" t="s">
        <v>28</v>
      </c>
      <c r="F115" s="145" t="s">
        <v>81</v>
      </c>
      <c r="G115" s="28" t="s">
        <v>48</v>
      </c>
      <c r="H115" s="152">
        <f>'прил8 (ведом 24)'!M472</f>
        <v>4.8</v>
      </c>
    </row>
    <row r="116" spans="1:8" ht="36" x14ac:dyDescent="0.35">
      <c r="A116" s="232"/>
      <c r="B116" s="366" t="s">
        <v>173</v>
      </c>
      <c r="C116" s="143" t="s">
        <v>30</v>
      </c>
      <c r="D116" s="144" t="s">
        <v>21</v>
      </c>
      <c r="E116" s="144" t="s">
        <v>28</v>
      </c>
      <c r="F116" s="145" t="s">
        <v>231</v>
      </c>
      <c r="G116" s="28"/>
      <c r="H116" s="152">
        <f>H117+H118</f>
        <v>4213.8</v>
      </c>
    </row>
    <row r="117" spans="1:8" ht="36" x14ac:dyDescent="0.35">
      <c r="A117" s="232"/>
      <c r="B117" s="366" t="s">
        <v>45</v>
      </c>
      <c r="C117" s="143" t="s">
        <v>30</v>
      </c>
      <c r="D117" s="144" t="s">
        <v>21</v>
      </c>
      <c r="E117" s="144" t="s">
        <v>28</v>
      </c>
      <c r="F117" s="145" t="s">
        <v>231</v>
      </c>
      <c r="G117" s="28" t="s">
        <v>46</v>
      </c>
      <c r="H117" s="152">
        <f>'прил8 (ведом 24)'!M474</f>
        <v>10</v>
      </c>
    </row>
    <row r="118" spans="1:8" ht="36" x14ac:dyDescent="0.35">
      <c r="A118" s="232"/>
      <c r="B118" s="368" t="s">
        <v>66</v>
      </c>
      <c r="C118" s="498" t="s">
        <v>30</v>
      </c>
      <c r="D118" s="499" t="s">
        <v>21</v>
      </c>
      <c r="E118" s="499" t="s">
        <v>28</v>
      </c>
      <c r="F118" s="500" t="s">
        <v>231</v>
      </c>
      <c r="G118" s="10" t="s">
        <v>67</v>
      </c>
      <c r="H118" s="152">
        <f>'прил8 (ведом 24)'!M475</f>
        <v>4203.8</v>
      </c>
    </row>
    <row r="119" spans="1:8" ht="36" x14ac:dyDescent="0.35">
      <c r="A119" s="232"/>
      <c r="B119" s="400" t="s">
        <v>381</v>
      </c>
      <c r="C119" s="58" t="s">
        <v>30</v>
      </c>
      <c r="D119" s="49" t="s">
        <v>21</v>
      </c>
      <c r="E119" s="49" t="s">
        <v>28</v>
      </c>
      <c r="F119" s="50" t="s">
        <v>380</v>
      </c>
      <c r="G119" s="51"/>
      <c r="H119" s="152">
        <f>H120</f>
        <v>4.5</v>
      </c>
    </row>
    <row r="120" spans="1:8" ht="36" x14ac:dyDescent="0.35">
      <c r="A120" s="232"/>
      <c r="B120" s="368" t="s">
        <v>45</v>
      </c>
      <c r="C120" s="482" t="s">
        <v>30</v>
      </c>
      <c r="D120" s="483" t="s">
        <v>21</v>
      </c>
      <c r="E120" s="483" t="s">
        <v>28</v>
      </c>
      <c r="F120" s="191" t="s">
        <v>380</v>
      </c>
      <c r="G120" s="351" t="s">
        <v>46</v>
      </c>
      <c r="H120" s="152">
        <f>'прил8 (ведом 24)'!M455</f>
        <v>4.5</v>
      </c>
    </row>
    <row r="121" spans="1:8" ht="54" x14ac:dyDescent="0.35">
      <c r="A121" s="232"/>
      <c r="B121" s="424" t="s">
        <v>317</v>
      </c>
      <c r="C121" s="494" t="s">
        <v>30</v>
      </c>
      <c r="D121" s="495" t="s">
        <v>21</v>
      </c>
      <c r="E121" s="495" t="s">
        <v>28</v>
      </c>
      <c r="F121" s="284" t="s">
        <v>316</v>
      </c>
      <c r="G121" s="46"/>
      <c r="H121" s="152">
        <f>H122</f>
        <v>65.7</v>
      </c>
    </row>
    <row r="122" spans="1:8" ht="36" x14ac:dyDescent="0.35">
      <c r="A122" s="232"/>
      <c r="B122" s="424" t="s">
        <v>45</v>
      </c>
      <c r="C122" s="494" t="s">
        <v>30</v>
      </c>
      <c r="D122" s="495" t="s">
        <v>21</v>
      </c>
      <c r="E122" s="495" t="s">
        <v>28</v>
      </c>
      <c r="F122" s="284" t="s">
        <v>316</v>
      </c>
      <c r="G122" s="46" t="s">
        <v>46</v>
      </c>
      <c r="H122" s="152">
        <f>'прил8 (ведом 24)'!M345</f>
        <v>65.7</v>
      </c>
    </row>
    <row r="123" spans="1:8" ht="90" x14ac:dyDescent="0.35">
      <c r="A123" s="232"/>
      <c r="B123" s="366" t="s">
        <v>288</v>
      </c>
      <c r="C123" s="143" t="s">
        <v>30</v>
      </c>
      <c r="D123" s="144" t="s">
        <v>21</v>
      </c>
      <c r="E123" s="144" t="s">
        <v>28</v>
      </c>
      <c r="F123" s="145" t="s">
        <v>227</v>
      </c>
      <c r="G123" s="28"/>
      <c r="H123" s="152">
        <f>H124+H125</f>
        <v>7959.3</v>
      </c>
    </row>
    <row r="124" spans="1:8" ht="90" x14ac:dyDescent="0.35">
      <c r="A124" s="232"/>
      <c r="B124" s="366" t="s">
        <v>40</v>
      </c>
      <c r="C124" s="143" t="s">
        <v>30</v>
      </c>
      <c r="D124" s="144" t="s">
        <v>21</v>
      </c>
      <c r="E124" s="144" t="s">
        <v>28</v>
      </c>
      <c r="F124" s="145" t="s">
        <v>227</v>
      </c>
      <c r="G124" s="28" t="s">
        <v>41</v>
      </c>
      <c r="H124" s="152">
        <f>'прил8 (ведом 24)'!M477</f>
        <v>7200</v>
      </c>
    </row>
    <row r="125" spans="1:8" ht="36" x14ac:dyDescent="0.35">
      <c r="A125" s="232"/>
      <c r="B125" s="368" t="s">
        <v>45</v>
      </c>
      <c r="C125" s="498" t="s">
        <v>30</v>
      </c>
      <c r="D125" s="499" t="s">
        <v>21</v>
      </c>
      <c r="E125" s="499" t="s">
        <v>28</v>
      </c>
      <c r="F125" s="500" t="s">
        <v>227</v>
      </c>
      <c r="G125" s="10" t="s">
        <v>46</v>
      </c>
      <c r="H125" s="152">
        <f>'прил8 (ведом 24)'!M478</f>
        <v>759.3</v>
      </c>
    </row>
    <row r="126" spans="1:8" ht="216" x14ac:dyDescent="0.35">
      <c r="A126" s="232"/>
      <c r="B126" s="366" t="s">
        <v>335</v>
      </c>
      <c r="C126" s="143" t="s">
        <v>30</v>
      </c>
      <c r="D126" s="144" t="s">
        <v>21</v>
      </c>
      <c r="E126" s="144" t="s">
        <v>28</v>
      </c>
      <c r="F126" s="145" t="s">
        <v>289</v>
      </c>
      <c r="G126" s="28"/>
      <c r="H126" s="152">
        <f>SUM(H127:H127)</f>
        <v>2379.1</v>
      </c>
    </row>
    <row r="127" spans="1:8" ht="36" x14ac:dyDescent="0.35">
      <c r="A127" s="232"/>
      <c r="B127" s="365" t="s">
        <v>66</v>
      </c>
      <c r="C127" s="143" t="s">
        <v>30</v>
      </c>
      <c r="D127" s="144" t="s">
        <v>21</v>
      </c>
      <c r="E127" s="144" t="s">
        <v>28</v>
      </c>
      <c r="F127" s="145" t="s">
        <v>289</v>
      </c>
      <c r="G127" s="28" t="s">
        <v>67</v>
      </c>
      <c r="H127" s="152">
        <f>'прил8 (ведом 24)'!M429</f>
        <v>2379.1</v>
      </c>
    </row>
    <row r="128" spans="1:8" ht="36" x14ac:dyDescent="0.35">
      <c r="A128" s="232"/>
      <c r="B128" s="366" t="s">
        <v>238</v>
      </c>
      <c r="C128" s="143" t="s">
        <v>30</v>
      </c>
      <c r="D128" s="144" t="s">
        <v>21</v>
      </c>
      <c r="E128" s="144" t="s">
        <v>30</v>
      </c>
      <c r="F128" s="145" t="s">
        <v>35</v>
      </c>
      <c r="G128" s="28"/>
      <c r="H128" s="152">
        <f>H129+H131</f>
        <v>7811.3</v>
      </c>
    </row>
    <row r="129" spans="1:8" ht="36" x14ac:dyDescent="0.35">
      <c r="A129" s="232"/>
      <c r="B129" s="366" t="s">
        <v>359</v>
      </c>
      <c r="C129" s="143" t="s">
        <v>30</v>
      </c>
      <c r="D129" s="144" t="s">
        <v>21</v>
      </c>
      <c r="E129" s="144" t="s">
        <v>30</v>
      </c>
      <c r="F129" s="145" t="s">
        <v>358</v>
      </c>
      <c r="G129" s="28"/>
      <c r="H129" s="152">
        <f>H130</f>
        <v>2243.3000000000002</v>
      </c>
    </row>
    <row r="130" spans="1:8" ht="36" x14ac:dyDescent="0.35">
      <c r="A130" s="232"/>
      <c r="B130" s="366" t="s">
        <v>66</v>
      </c>
      <c r="C130" s="143" t="s">
        <v>30</v>
      </c>
      <c r="D130" s="144" t="s">
        <v>21</v>
      </c>
      <c r="E130" s="144" t="s">
        <v>30</v>
      </c>
      <c r="F130" s="145" t="s">
        <v>358</v>
      </c>
      <c r="G130" s="28" t="s">
        <v>67</v>
      </c>
      <c r="H130" s="152">
        <f>'прил8 (ведом 24)'!M481</f>
        <v>2243.3000000000002</v>
      </c>
    </row>
    <row r="131" spans="1:8" ht="108" x14ac:dyDescent="0.35">
      <c r="A131" s="232"/>
      <c r="B131" s="366" t="s">
        <v>339</v>
      </c>
      <c r="C131" s="143" t="s">
        <v>30</v>
      </c>
      <c r="D131" s="144" t="s">
        <v>21</v>
      </c>
      <c r="E131" s="144" t="s">
        <v>30</v>
      </c>
      <c r="F131" s="145" t="s">
        <v>338</v>
      </c>
      <c r="G131" s="28"/>
      <c r="H131" s="152">
        <f>H132</f>
        <v>5568</v>
      </c>
    </row>
    <row r="132" spans="1:8" ht="36" x14ac:dyDescent="0.35">
      <c r="A132" s="232"/>
      <c r="B132" s="366" t="s">
        <v>66</v>
      </c>
      <c r="C132" s="143" t="s">
        <v>30</v>
      </c>
      <c r="D132" s="144" t="s">
        <v>21</v>
      </c>
      <c r="E132" s="144" t="s">
        <v>30</v>
      </c>
      <c r="F132" s="145" t="s">
        <v>338</v>
      </c>
      <c r="G132" s="28" t="s">
        <v>67</v>
      </c>
      <c r="H132" s="152">
        <f>'прил8 (ведом 24)'!M483</f>
        <v>5568</v>
      </c>
    </row>
    <row r="133" spans="1:8" ht="36" x14ac:dyDescent="0.35">
      <c r="A133" s="232"/>
      <c r="B133" s="370" t="s">
        <v>293</v>
      </c>
      <c r="C133" s="494" t="s">
        <v>30</v>
      </c>
      <c r="D133" s="495" t="s">
        <v>21</v>
      </c>
      <c r="E133" s="495" t="s">
        <v>53</v>
      </c>
      <c r="F133" s="496" t="s">
        <v>35</v>
      </c>
      <c r="G133" s="166"/>
      <c r="H133" s="152">
        <f>H134</f>
        <v>231.3</v>
      </c>
    </row>
    <row r="134" spans="1:8" ht="54" x14ac:dyDescent="0.35">
      <c r="A134" s="232"/>
      <c r="B134" s="370" t="s">
        <v>361</v>
      </c>
      <c r="C134" s="494" t="s">
        <v>30</v>
      </c>
      <c r="D134" s="495" t="s">
        <v>21</v>
      </c>
      <c r="E134" s="495" t="s">
        <v>53</v>
      </c>
      <c r="F134" s="496" t="s">
        <v>95</v>
      </c>
      <c r="G134" s="166"/>
      <c r="H134" s="152">
        <f>H135</f>
        <v>231.3</v>
      </c>
    </row>
    <row r="135" spans="1:8" ht="36" x14ac:dyDescent="0.35">
      <c r="A135" s="232"/>
      <c r="B135" s="370" t="s">
        <v>45</v>
      </c>
      <c r="C135" s="494" t="s">
        <v>30</v>
      </c>
      <c r="D135" s="495" t="s">
        <v>21</v>
      </c>
      <c r="E135" s="495" t="s">
        <v>53</v>
      </c>
      <c r="F135" s="496" t="s">
        <v>95</v>
      </c>
      <c r="G135" s="166" t="s">
        <v>46</v>
      </c>
      <c r="H135" s="152">
        <f>'прил8 (ведом 24)'!M348</f>
        <v>231.3</v>
      </c>
    </row>
    <row r="136" spans="1:8" ht="36" x14ac:dyDescent="0.35">
      <c r="A136" s="232"/>
      <c r="B136" s="370" t="s">
        <v>357</v>
      </c>
      <c r="C136" s="494" t="s">
        <v>30</v>
      </c>
      <c r="D136" s="495" t="s">
        <v>21</v>
      </c>
      <c r="E136" s="495" t="s">
        <v>42</v>
      </c>
      <c r="F136" s="496" t="s">
        <v>35</v>
      </c>
      <c r="G136" s="166"/>
      <c r="H136" s="152">
        <f>H137</f>
        <v>107</v>
      </c>
    </row>
    <row r="137" spans="1:8" ht="18" x14ac:dyDescent="0.35">
      <c r="A137" s="232"/>
      <c r="B137" s="370" t="s">
        <v>362</v>
      </c>
      <c r="C137" s="494" t="s">
        <v>30</v>
      </c>
      <c r="D137" s="495" t="s">
        <v>21</v>
      </c>
      <c r="E137" s="495" t="s">
        <v>42</v>
      </c>
      <c r="F137" s="496" t="s">
        <v>356</v>
      </c>
      <c r="G137" s="166"/>
      <c r="H137" s="152">
        <f>H138</f>
        <v>107</v>
      </c>
    </row>
    <row r="138" spans="1:8" ht="36" x14ac:dyDescent="0.35">
      <c r="A138" s="232"/>
      <c r="B138" s="370" t="s">
        <v>45</v>
      </c>
      <c r="C138" s="494" t="s">
        <v>30</v>
      </c>
      <c r="D138" s="495" t="s">
        <v>21</v>
      </c>
      <c r="E138" s="495" t="s">
        <v>42</v>
      </c>
      <c r="F138" s="496" t="s">
        <v>356</v>
      </c>
      <c r="G138" s="166" t="s">
        <v>46</v>
      </c>
      <c r="H138" s="152">
        <f>'прил8 (ведом 24)'!M351</f>
        <v>107</v>
      </c>
    </row>
    <row r="139" spans="1:8" ht="36" x14ac:dyDescent="0.35">
      <c r="A139" s="232"/>
      <c r="B139" s="370" t="s">
        <v>360</v>
      </c>
      <c r="C139" s="494" t="s">
        <v>30</v>
      </c>
      <c r="D139" s="495" t="s">
        <v>21</v>
      </c>
      <c r="E139" s="495" t="s">
        <v>55</v>
      </c>
      <c r="F139" s="496" t="s">
        <v>35</v>
      </c>
      <c r="G139" s="166"/>
      <c r="H139" s="152">
        <f>H140</f>
        <v>114.8</v>
      </c>
    </row>
    <row r="140" spans="1:8" ht="36" x14ac:dyDescent="0.35">
      <c r="A140" s="232"/>
      <c r="B140" s="370" t="s">
        <v>117</v>
      </c>
      <c r="C140" s="494" t="s">
        <v>30</v>
      </c>
      <c r="D140" s="495" t="s">
        <v>21</v>
      </c>
      <c r="E140" s="495" t="s">
        <v>55</v>
      </c>
      <c r="F140" s="496" t="s">
        <v>80</v>
      </c>
      <c r="G140" s="166"/>
      <c r="H140" s="152">
        <f>H141</f>
        <v>114.8</v>
      </c>
    </row>
    <row r="141" spans="1:8" ht="36" x14ac:dyDescent="0.35">
      <c r="A141" s="232"/>
      <c r="B141" s="370" t="s">
        <v>45</v>
      </c>
      <c r="C141" s="494" t="s">
        <v>30</v>
      </c>
      <c r="D141" s="495" t="s">
        <v>21</v>
      </c>
      <c r="E141" s="495" t="s">
        <v>55</v>
      </c>
      <c r="F141" s="496" t="s">
        <v>80</v>
      </c>
      <c r="G141" s="166" t="s">
        <v>46</v>
      </c>
      <c r="H141" s="152">
        <f>'прил8 (ведом 24)'!M354</f>
        <v>114.8</v>
      </c>
    </row>
    <row r="142" spans="1:8" ht="18" x14ac:dyDescent="0.35">
      <c r="A142" s="232"/>
      <c r="B142" s="371"/>
      <c r="C142" s="494"/>
      <c r="D142" s="495"/>
      <c r="E142" s="495"/>
      <c r="F142" s="496"/>
      <c r="G142" s="166"/>
      <c r="H142" s="152"/>
    </row>
    <row r="143" spans="1:8" s="241" customFormat="1" ht="52.2" x14ac:dyDescent="0.3">
      <c r="A143" s="246">
        <v>2</v>
      </c>
      <c r="B143" s="364" t="s">
        <v>178</v>
      </c>
      <c r="C143" s="247" t="s">
        <v>53</v>
      </c>
      <c r="D143" s="247" t="s">
        <v>33</v>
      </c>
      <c r="E143" s="247" t="s">
        <v>34</v>
      </c>
      <c r="F143" s="248" t="s">
        <v>35</v>
      </c>
      <c r="G143" s="240"/>
      <c r="H143" s="182">
        <f>H144+H178+H185</f>
        <v>134801.9</v>
      </c>
    </row>
    <row r="144" spans="1:8" s="241" customFormat="1" ht="54" x14ac:dyDescent="0.35">
      <c r="A144" s="232"/>
      <c r="B144" s="372" t="s">
        <v>179</v>
      </c>
      <c r="C144" s="143" t="s">
        <v>53</v>
      </c>
      <c r="D144" s="144" t="s">
        <v>36</v>
      </c>
      <c r="E144" s="144" t="s">
        <v>34</v>
      </c>
      <c r="F144" s="145" t="s">
        <v>35</v>
      </c>
      <c r="G144" s="166"/>
      <c r="H144" s="152">
        <f>H145+H154+H157+H168+H175</f>
        <v>120075.39999999998</v>
      </c>
    </row>
    <row r="145" spans="1:8" s="241" customFormat="1" ht="36" x14ac:dyDescent="0.35">
      <c r="A145" s="232"/>
      <c r="B145" s="372" t="s">
        <v>233</v>
      </c>
      <c r="C145" s="143" t="s">
        <v>53</v>
      </c>
      <c r="D145" s="144" t="s">
        <v>36</v>
      </c>
      <c r="E145" s="144" t="s">
        <v>28</v>
      </c>
      <c r="F145" s="145" t="s">
        <v>35</v>
      </c>
      <c r="G145" s="166"/>
      <c r="H145" s="152">
        <f>H146+H150+H148+H152</f>
        <v>83852.199999999968</v>
      </c>
    </row>
    <row r="146" spans="1:8" s="241" customFormat="1" ht="36" x14ac:dyDescent="0.35">
      <c r="A146" s="232"/>
      <c r="B146" s="365" t="s">
        <v>353</v>
      </c>
      <c r="C146" s="143" t="s">
        <v>53</v>
      </c>
      <c r="D146" s="144" t="s">
        <v>36</v>
      </c>
      <c r="E146" s="144" t="s">
        <v>28</v>
      </c>
      <c r="F146" s="145" t="s">
        <v>81</v>
      </c>
      <c r="G146" s="28"/>
      <c r="H146" s="152">
        <f>H147</f>
        <v>67462.499999999985</v>
      </c>
    </row>
    <row r="147" spans="1:8" s="241" customFormat="1" ht="36" x14ac:dyDescent="0.35">
      <c r="A147" s="232"/>
      <c r="B147" s="367" t="s">
        <v>66</v>
      </c>
      <c r="C147" s="143" t="s">
        <v>53</v>
      </c>
      <c r="D147" s="144" t="s">
        <v>36</v>
      </c>
      <c r="E147" s="144" t="s">
        <v>28</v>
      </c>
      <c r="F147" s="145" t="s">
        <v>81</v>
      </c>
      <c r="G147" s="28" t="s">
        <v>67</v>
      </c>
      <c r="H147" s="152">
        <f>'прил8 (ведом 24)'!M521</f>
        <v>67462.499999999985</v>
      </c>
    </row>
    <row r="148" spans="1:8" s="241" customFormat="1" ht="18" x14ac:dyDescent="0.35">
      <c r="A148" s="232"/>
      <c r="B148" s="373" t="s">
        <v>354</v>
      </c>
      <c r="C148" s="143" t="s">
        <v>53</v>
      </c>
      <c r="D148" s="144" t="s">
        <v>36</v>
      </c>
      <c r="E148" s="144" t="s">
        <v>28</v>
      </c>
      <c r="F148" s="145" t="s">
        <v>318</v>
      </c>
      <c r="G148" s="28"/>
      <c r="H148" s="152">
        <f>H149</f>
        <v>1291.9000000000001</v>
      </c>
    </row>
    <row r="149" spans="1:8" s="241" customFormat="1" ht="36" x14ac:dyDescent="0.35">
      <c r="A149" s="232"/>
      <c r="B149" s="373" t="s">
        <v>66</v>
      </c>
      <c r="C149" s="143" t="s">
        <v>53</v>
      </c>
      <c r="D149" s="144" t="s">
        <v>36</v>
      </c>
      <c r="E149" s="144" t="s">
        <v>28</v>
      </c>
      <c r="F149" s="145" t="s">
        <v>318</v>
      </c>
      <c r="G149" s="28" t="s">
        <v>67</v>
      </c>
      <c r="H149" s="152">
        <f>'прил8 (ведом 24)'!M523</f>
        <v>1291.9000000000001</v>
      </c>
    </row>
    <row r="150" spans="1:8" s="241" customFormat="1" ht="36" x14ac:dyDescent="0.35">
      <c r="A150" s="232"/>
      <c r="B150" s="373" t="s">
        <v>264</v>
      </c>
      <c r="C150" s="143" t="s">
        <v>53</v>
      </c>
      <c r="D150" s="144" t="s">
        <v>36</v>
      </c>
      <c r="E150" s="144" t="s">
        <v>28</v>
      </c>
      <c r="F150" s="145" t="s">
        <v>265</v>
      </c>
      <c r="G150" s="28"/>
      <c r="H150" s="152">
        <f>H151</f>
        <v>9015.9</v>
      </c>
    </row>
    <row r="151" spans="1:8" s="241" customFormat="1" ht="36" x14ac:dyDescent="0.35">
      <c r="A151" s="232"/>
      <c r="B151" s="373" t="s">
        <v>66</v>
      </c>
      <c r="C151" s="143" t="s">
        <v>53</v>
      </c>
      <c r="D151" s="144" t="s">
        <v>36</v>
      </c>
      <c r="E151" s="144" t="s">
        <v>28</v>
      </c>
      <c r="F151" s="145" t="s">
        <v>265</v>
      </c>
      <c r="G151" s="28" t="s">
        <v>67</v>
      </c>
      <c r="H151" s="152">
        <f>'прил8 (ведом 24)'!M525</f>
        <v>9015.9</v>
      </c>
    </row>
    <row r="152" spans="1:8" s="241" customFormat="1" ht="162" x14ac:dyDescent="0.35">
      <c r="A152" s="232"/>
      <c r="B152" s="375" t="s">
        <v>465</v>
      </c>
      <c r="C152" s="498" t="s">
        <v>53</v>
      </c>
      <c r="D152" s="499" t="s">
        <v>36</v>
      </c>
      <c r="E152" s="499" t="s">
        <v>28</v>
      </c>
      <c r="F152" s="500" t="s">
        <v>463</v>
      </c>
      <c r="G152" s="10"/>
      <c r="H152" s="152">
        <f>H153</f>
        <v>6081.9</v>
      </c>
    </row>
    <row r="153" spans="1:8" s="241" customFormat="1" ht="36" x14ac:dyDescent="0.35">
      <c r="A153" s="232"/>
      <c r="B153" s="375" t="s">
        <v>66</v>
      </c>
      <c r="C153" s="498" t="s">
        <v>53</v>
      </c>
      <c r="D153" s="499" t="s">
        <v>36</v>
      </c>
      <c r="E153" s="499" t="s">
        <v>28</v>
      </c>
      <c r="F153" s="500" t="s">
        <v>463</v>
      </c>
      <c r="G153" s="10" t="s">
        <v>67</v>
      </c>
      <c r="H153" s="152">
        <f>'прил8 (ведом 24)'!M527</f>
        <v>6081.9</v>
      </c>
    </row>
    <row r="154" spans="1:8" ht="18" x14ac:dyDescent="0.35">
      <c r="A154" s="287"/>
      <c r="B154" s="367" t="s">
        <v>234</v>
      </c>
      <c r="C154" s="143" t="s">
        <v>53</v>
      </c>
      <c r="D154" s="144" t="s">
        <v>36</v>
      </c>
      <c r="E154" s="144" t="s">
        <v>30</v>
      </c>
      <c r="F154" s="145" t="s">
        <v>35</v>
      </c>
      <c r="G154" s="28"/>
      <c r="H154" s="288">
        <f>H155</f>
        <v>450</v>
      </c>
    </row>
    <row r="155" spans="1:8" s="241" customFormat="1" ht="36" x14ac:dyDescent="0.35">
      <c r="A155" s="232"/>
      <c r="B155" s="367" t="s">
        <v>176</v>
      </c>
      <c r="C155" s="143" t="s">
        <v>53</v>
      </c>
      <c r="D155" s="144" t="s">
        <v>36</v>
      </c>
      <c r="E155" s="144" t="s">
        <v>30</v>
      </c>
      <c r="F155" s="145" t="s">
        <v>236</v>
      </c>
      <c r="G155" s="28"/>
      <c r="H155" s="152">
        <f>H156</f>
        <v>450</v>
      </c>
    </row>
    <row r="156" spans="1:8" s="241" customFormat="1" ht="18" x14ac:dyDescent="0.35">
      <c r="A156" s="232"/>
      <c r="B156" s="367" t="s">
        <v>110</v>
      </c>
      <c r="C156" s="143" t="s">
        <v>53</v>
      </c>
      <c r="D156" s="144" t="s">
        <v>36</v>
      </c>
      <c r="E156" s="144" t="s">
        <v>30</v>
      </c>
      <c r="F156" s="145" t="s">
        <v>236</v>
      </c>
      <c r="G156" s="28" t="s">
        <v>111</v>
      </c>
      <c r="H156" s="152">
        <f>'прил8 (ведом 24)'!M533</f>
        <v>450</v>
      </c>
    </row>
    <row r="157" spans="1:8" s="241" customFormat="1" ht="18" x14ac:dyDescent="0.35">
      <c r="A157" s="232"/>
      <c r="B157" s="365" t="s">
        <v>266</v>
      </c>
      <c r="C157" s="249" t="s">
        <v>53</v>
      </c>
      <c r="D157" s="250" t="s">
        <v>36</v>
      </c>
      <c r="E157" s="250" t="s">
        <v>53</v>
      </c>
      <c r="F157" s="251" t="s">
        <v>35</v>
      </c>
      <c r="G157" s="252"/>
      <c r="H157" s="152">
        <f>H158+H160+H162+H164+H166</f>
        <v>18771.600000000002</v>
      </c>
    </row>
    <row r="158" spans="1:8" s="241" customFormat="1" ht="36" x14ac:dyDescent="0.35">
      <c r="A158" s="232"/>
      <c r="B158" s="365" t="s">
        <v>353</v>
      </c>
      <c r="C158" s="249" t="s">
        <v>53</v>
      </c>
      <c r="D158" s="250" t="s">
        <v>36</v>
      </c>
      <c r="E158" s="250" t="s">
        <v>53</v>
      </c>
      <c r="F158" s="251" t="s">
        <v>81</v>
      </c>
      <c r="G158" s="252"/>
      <c r="H158" s="152">
        <f>H159</f>
        <v>15939.5</v>
      </c>
    </row>
    <row r="159" spans="1:8" s="241" customFormat="1" ht="36" x14ac:dyDescent="0.35">
      <c r="A159" s="232"/>
      <c r="B159" s="367" t="s">
        <v>66</v>
      </c>
      <c r="C159" s="143" t="s">
        <v>53</v>
      </c>
      <c r="D159" s="144" t="s">
        <v>36</v>
      </c>
      <c r="E159" s="144" t="s">
        <v>53</v>
      </c>
      <c r="F159" s="145" t="s">
        <v>81</v>
      </c>
      <c r="G159" s="28" t="s">
        <v>67</v>
      </c>
      <c r="H159" s="152">
        <f>'прил8 (ведом 24)'!M543</f>
        <v>15939.5</v>
      </c>
    </row>
    <row r="160" spans="1:8" s="241" customFormat="1" ht="18" x14ac:dyDescent="0.35">
      <c r="A160" s="232"/>
      <c r="B160" s="374" t="s">
        <v>354</v>
      </c>
      <c r="C160" s="498" t="s">
        <v>53</v>
      </c>
      <c r="D160" s="499" t="s">
        <v>36</v>
      </c>
      <c r="E160" s="499" t="s">
        <v>53</v>
      </c>
      <c r="F160" s="500" t="s">
        <v>318</v>
      </c>
      <c r="G160" s="10"/>
      <c r="H160" s="152">
        <f>H161</f>
        <v>1093.2</v>
      </c>
    </row>
    <row r="161" spans="1:8" s="241" customFormat="1" ht="36" x14ac:dyDescent="0.35">
      <c r="A161" s="232"/>
      <c r="B161" s="375" t="s">
        <v>66</v>
      </c>
      <c r="C161" s="498" t="s">
        <v>53</v>
      </c>
      <c r="D161" s="499" t="s">
        <v>36</v>
      </c>
      <c r="E161" s="499" t="s">
        <v>53</v>
      </c>
      <c r="F161" s="500" t="s">
        <v>318</v>
      </c>
      <c r="G161" s="10" t="s">
        <v>67</v>
      </c>
      <c r="H161" s="152">
        <f>'прил8 (ведом 24)'!M545</f>
        <v>1093.2</v>
      </c>
    </row>
    <row r="162" spans="1:8" s="241" customFormat="1" ht="36" x14ac:dyDescent="0.35">
      <c r="A162" s="232"/>
      <c r="B162" s="367" t="s">
        <v>264</v>
      </c>
      <c r="C162" s="249" t="s">
        <v>53</v>
      </c>
      <c r="D162" s="250" t="s">
        <v>36</v>
      </c>
      <c r="E162" s="250" t="s">
        <v>53</v>
      </c>
      <c r="F162" s="251" t="s">
        <v>265</v>
      </c>
      <c r="G162" s="252"/>
      <c r="H162" s="152">
        <f>H163</f>
        <v>722.9</v>
      </c>
    </row>
    <row r="163" spans="1:8" s="241" customFormat="1" ht="36" x14ac:dyDescent="0.35">
      <c r="A163" s="232"/>
      <c r="B163" s="367" t="s">
        <v>66</v>
      </c>
      <c r="C163" s="249" t="s">
        <v>53</v>
      </c>
      <c r="D163" s="250" t="s">
        <v>36</v>
      </c>
      <c r="E163" s="250" t="s">
        <v>53</v>
      </c>
      <c r="F163" s="251" t="s">
        <v>265</v>
      </c>
      <c r="G163" s="252" t="s">
        <v>67</v>
      </c>
      <c r="H163" s="152">
        <f>'прил8 (ведом 24)'!M547</f>
        <v>722.9</v>
      </c>
    </row>
    <row r="164" spans="1:8" s="241" customFormat="1" ht="36" x14ac:dyDescent="0.35">
      <c r="A164" s="232"/>
      <c r="B164" s="367" t="s">
        <v>464</v>
      </c>
      <c r="C164" s="143" t="s">
        <v>53</v>
      </c>
      <c r="D164" s="144" t="s">
        <v>36</v>
      </c>
      <c r="E164" s="144" t="s">
        <v>53</v>
      </c>
      <c r="F164" s="145" t="s">
        <v>267</v>
      </c>
      <c r="G164" s="28"/>
      <c r="H164" s="152">
        <f>H165</f>
        <v>577</v>
      </c>
    </row>
    <row r="165" spans="1:8" s="241" customFormat="1" ht="36" x14ac:dyDescent="0.35">
      <c r="A165" s="232"/>
      <c r="B165" s="367" t="s">
        <v>66</v>
      </c>
      <c r="C165" s="143" t="s">
        <v>53</v>
      </c>
      <c r="D165" s="144" t="s">
        <v>36</v>
      </c>
      <c r="E165" s="144" t="s">
        <v>53</v>
      </c>
      <c r="F165" s="145" t="s">
        <v>267</v>
      </c>
      <c r="G165" s="28" t="s">
        <v>67</v>
      </c>
      <c r="H165" s="152">
        <f>'прил8 (ведом 24)'!M549</f>
        <v>577</v>
      </c>
    </row>
    <row r="166" spans="1:8" s="241" customFormat="1" ht="18" x14ac:dyDescent="0.35">
      <c r="A166" s="232"/>
      <c r="B166" s="373" t="s">
        <v>397</v>
      </c>
      <c r="C166" s="143" t="s">
        <v>53</v>
      </c>
      <c r="D166" s="144" t="s">
        <v>36</v>
      </c>
      <c r="E166" s="144" t="s">
        <v>53</v>
      </c>
      <c r="F166" s="145" t="s">
        <v>396</v>
      </c>
      <c r="G166" s="28"/>
      <c r="H166" s="152">
        <f>H167</f>
        <v>439</v>
      </c>
    </row>
    <row r="167" spans="1:8" s="241" customFormat="1" ht="36" x14ac:dyDescent="0.35">
      <c r="A167" s="232"/>
      <c r="B167" s="373" t="s">
        <v>66</v>
      </c>
      <c r="C167" s="143" t="s">
        <v>53</v>
      </c>
      <c r="D167" s="144" t="s">
        <v>36</v>
      </c>
      <c r="E167" s="144" t="s">
        <v>53</v>
      </c>
      <c r="F167" s="145" t="s">
        <v>396</v>
      </c>
      <c r="G167" s="28" t="s">
        <v>67</v>
      </c>
      <c r="H167" s="152">
        <f>'прил8 (ведом 24)'!M551</f>
        <v>439</v>
      </c>
    </row>
    <row r="168" spans="1:8" s="241" customFormat="1" ht="36" x14ac:dyDescent="0.35">
      <c r="A168" s="232"/>
      <c r="B168" s="367" t="s">
        <v>268</v>
      </c>
      <c r="C168" s="249" t="s">
        <v>53</v>
      </c>
      <c r="D168" s="250" t="s">
        <v>36</v>
      </c>
      <c r="E168" s="250" t="s">
        <v>42</v>
      </c>
      <c r="F168" s="145" t="s">
        <v>35</v>
      </c>
      <c r="G168" s="28"/>
      <c r="H168" s="152">
        <f>H169+H173</f>
        <v>16689</v>
      </c>
    </row>
    <row r="169" spans="1:8" s="241" customFormat="1" ht="36" x14ac:dyDescent="0.35">
      <c r="A169" s="232"/>
      <c r="B169" s="365" t="s">
        <v>353</v>
      </c>
      <c r="C169" s="249" t="s">
        <v>53</v>
      </c>
      <c r="D169" s="250" t="s">
        <v>36</v>
      </c>
      <c r="E169" s="250" t="s">
        <v>42</v>
      </c>
      <c r="F169" s="251" t="s">
        <v>81</v>
      </c>
      <c r="G169" s="252"/>
      <c r="H169" s="152">
        <f>SUM(H170:H172)</f>
        <v>16633.7</v>
      </c>
    </row>
    <row r="170" spans="1:8" s="241" customFormat="1" ht="90" x14ac:dyDescent="0.35">
      <c r="A170" s="232"/>
      <c r="B170" s="366" t="s">
        <v>40</v>
      </c>
      <c r="C170" s="143" t="s">
        <v>53</v>
      </c>
      <c r="D170" s="144" t="s">
        <v>36</v>
      </c>
      <c r="E170" s="144" t="s">
        <v>42</v>
      </c>
      <c r="F170" s="145" t="s">
        <v>81</v>
      </c>
      <c r="G170" s="28" t="s">
        <v>41</v>
      </c>
      <c r="H170" s="152">
        <f>'прил8 (ведом 24)'!M554</f>
        <v>15331</v>
      </c>
    </row>
    <row r="171" spans="1:8" s="241" customFormat="1" ht="36" x14ac:dyDescent="0.35">
      <c r="A171" s="232"/>
      <c r="B171" s="366" t="s">
        <v>45</v>
      </c>
      <c r="C171" s="143" t="s">
        <v>53</v>
      </c>
      <c r="D171" s="144" t="s">
        <v>36</v>
      </c>
      <c r="E171" s="144" t="s">
        <v>42</v>
      </c>
      <c r="F171" s="145" t="s">
        <v>81</v>
      </c>
      <c r="G171" s="28" t="s">
        <v>46</v>
      </c>
      <c r="H171" s="152">
        <f>'прил8 (ведом 24)'!M555</f>
        <v>1252.7</v>
      </c>
    </row>
    <row r="172" spans="1:8" s="241" customFormat="1" ht="18" x14ac:dyDescent="0.35">
      <c r="A172" s="232"/>
      <c r="B172" s="366" t="s">
        <v>47</v>
      </c>
      <c r="C172" s="143" t="s">
        <v>53</v>
      </c>
      <c r="D172" s="144" t="s">
        <v>36</v>
      </c>
      <c r="E172" s="144" t="s">
        <v>42</v>
      </c>
      <c r="F172" s="145" t="s">
        <v>81</v>
      </c>
      <c r="G172" s="28" t="s">
        <v>48</v>
      </c>
      <c r="H172" s="152">
        <f>'прил8 (ведом 24)'!M556</f>
        <v>50</v>
      </c>
    </row>
    <row r="173" spans="1:8" s="241" customFormat="1" ht="36" x14ac:dyDescent="0.35">
      <c r="A173" s="232"/>
      <c r="B173" s="375" t="s">
        <v>66</v>
      </c>
      <c r="C173" s="498" t="s">
        <v>53</v>
      </c>
      <c r="D173" s="499" t="s">
        <v>36</v>
      </c>
      <c r="E173" s="499" t="s">
        <v>42</v>
      </c>
      <c r="F173" s="500" t="s">
        <v>318</v>
      </c>
      <c r="G173" s="10"/>
      <c r="H173" s="152">
        <f>H174</f>
        <v>55.3</v>
      </c>
    </row>
    <row r="174" spans="1:8" s="241" customFormat="1" ht="36" x14ac:dyDescent="0.35">
      <c r="A174" s="232"/>
      <c r="B174" s="368" t="s">
        <v>45</v>
      </c>
      <c r="C174" s="498" t="s">
        <v>53</v>
      </c>
      <c r="D174" s="499" t="s">
        <v>36</v>
      </c>
      <c r="E174" s="499" t="s">
        <v>42</v>
      </c>
      <c r="F174" s="500" t="s">
        <v>318</v>
      </c>
      <c r="G174" s="10" t="s">
        <v>46</v>
      </c>
      <c r="H174" s="152">
        <f>'прил8 (ведом 24)'!M558</f>
        <v>55.3</v>
      </c>
    </row>
    <row r="175" spans="1:8" s="241" customFormat="1" ht="36" x14ac:dyDescent="0.35">
      <c r="A175" s="232"/>
      <c r="B175" s="373" t="s">
        <v>238</v>
      </c>
      <c r="C175" s="143" t="s">
        <v>53</v>
      </c>
      <c r="D175" s="144" t="s">
        <v>36</v>
      </c>
      <c r="E175" s="144" t="s">
        <v>55</v>
      </c>
      <c r="F175" s="145" t="s">
        <v>35</v>
      </c>
      <c r="G175" s="28"/>
      <c r="H175" s="152">
        <f>H176</f>
        <v>312.60000000000002</v>
      </c>
    </row>
    <row r="176" spans="1:8" s="241" customFormat="1" ht="36" x14ac:dyDescent="0.35">
      <c r="A176" s="232"/>
      <c r="B176" s="373" t="s">
        <v>359</v>
      </c>
      <c r="C176" s="143" t="s">
        <v>53</v>
      </c>
      <c r="D176" s="144" t="s">
        <v>36</v>
      </c>
      <c r="E176" s="144" t="s">
        <v>55</v>
      </c>
      <c r="F176" s="145" t="s">
        <v>358</v>
      </c>
      <c r="G176" s="28"/>
      <c r="H176" s="152">
        <f>H177</f>
        <v>312.60000000000002</v>
      </c>
    </row>
    <row r="177" spans="1:8" s="241" customFormat="1" ht="36" x14ac:dyDescent="0.35">
      <c r="A177" s="232"/>
      <c r="B177" s="373" t="s">
        <v>66</v>
      </c>
      <c r="C177" s="143" t="s">
        <v>53</v>
      </c>
      <c r="D177" s="144" t="s">
        <v>36</v>
      </c>
      <c r="E177" s="144" t="s">
        <v>55</v>
      </c>
      <c r="F177" s="145" t="s">
        <v>358</v>
      </c>
      <c r="G177" s="28" t="s">
        <v>67</v>
      </c>
      <c r="H177" s="152">
        <f>'прил8 (ведом 24)'!M536</f>
        <v>312.60000000000002</v>
      </c>
    </row>
    <row r="178" spans="1:8" ht="36" x14ac:dyDescent="0.35">
      <c r="A178" s="232"/>
      <c r="B178" s="365" t="s">
        <v>275</v>
      </c>
      <c r="C178" s="249" t="s">
        <v>53</v>
      </c>
      <c r="D178" s="250" t="s">
        <v>79</v>
      </c>
      <c r="E178" s="250" t="s">
        <v>34</v>
      </c>
      <c r="F178" s="145" t="s">
        <v>35</v>
      </c>
      <c r="G178" s="252"/>
      <c r="H178" s="152">
        <f>H179</f>
        <v>1919.3</v>
      </c>
    </row>
    <row r="179" spans="1:8" ht="90" x14ac:dyDescent="0.35">
      <c r="A179" s="232"/>
      <c r="B179" s="367" t="s">
        <v>269</v>
      </c>
      <c r="C179" s="249" t="s">
        <v>53</v>
      </c>
      <c r="D179" s="250" t="s">
        <v>79</v>
      </c>
      <c r="E179" s="250" t="s">
        <v>53</v>
      </c>
      <c r="F179" s="145" t="s">
        <v>35</v>
      </c>
      <c r="G179" s="252"/>
      <c r="H179" s="152">
        <f>H180+H183</f>
        <v>1919.3</v>
      </c>
    </row>
    <row r="180" spans="1:8" ht="36" x14ac:dyDescent="0.35">
      <c r="A180" s="232"/>
      <c r="B180" s="367" t="s">
        <v>264</v>
      </c>
      <c r="C180" s="249" t="s">
        <v>53</v>
      </c>
      <c r="D180" s="250" t="s">
        <v>79</v>
      </c>
      <c r="E180" s="250" t="s">
        <v>53</v>
      </c>
      <c r="F180" s="251" t="s">
        <v>265</v>
      </c>
      <c r="G180" s="166"/>
      <c r="H180" s="152">
        <f>SUM(H181:H182)</f>
        <v>1874.8999999999999</v>
      </c>
    </row>
    <row r="181" spans="1:8" ht="36" x14ac:dyDescent="0.35">
      <c r="A181" s="232"/>
      <c r="B181" s="365" t="s">
        <v>45</v>
      </c>
      <c r="C181" s="143" t="s">
        <v>53</v>
      </c>
      <c r="D181" s="144" t="s">
        <v>79</v>
      </c>
      <c r="E181" s="144" t="s">
        <v>53</v>
      </c>
      <c r="F181" s="145" t="s">
        <v>265</v>
      </c>
      <c r="G181" s="166" t="s">
        <v>46</v>
      </c>
      <c r="H181" s="152">
        <f>'прил8 (ведом 24)'!M571+'прил8 (ведом 24)'!M562</f>
        <v>1859.3999999999999</v>
      </c>
    </row>
    <row r="182" spans="1:8" ht="36" x14ac:dyDescent="0.35">
      <c r="A182" s="232"/>
      <c r="B182" s="367" t="s">
        <v>66</v>
      </c>
      <c r="C182" s="143" t="s">
        <v>53</v>
      </c>
      <c r="D182" s="144" t="s">
        <v>79</v>
      </c>
      <c r="E182" s="144" t="s">
        <v>53</v>
      </c>
      <c r="F182" s="145" t="s">
        <v>265</v>
      </c>
      <c r="G182" s="28" t="s">
        <v>67</v>
      </c>
      <c r="H182" s="152">
        <f>'прил8 (ведом 24)'!M563</f>
        <v>15.5</v>
      </c>
    </row>
    <row r="183" spans="1:8" ht="252" x14ac:dyDescent="0.35">
      <c r="A183" s="232"/>
      <c r="B183" s="373" t="s">
        <v>449</v>
      </c>
      <c r="C183" s="143" t="s">
        <v>53</v>
      </c>
      <c r="D183" s="144" t="s">
        <v>79</v>
      </c>
      <c r="E183" s="144" t="s">
        <v>53</v>
      </c>
      <c r="F183" s="145" t="s">
        <v>329</v>
      </c>
      <c r="G183" s="28"/>
      <c r="H183" s="152">
        <f>H184</f>
        <v>44.4</v>
      </c>
    </row>
    <row r="184" spans="1:8" ht="36" x14ac:dyDescent="0.35">
      <c r="A184" s="232"/>
      <c r="B184" s="373" t="s">
        <v>66</v>
      </c>
      <c r="C184" s="143" t="s">
        <v>53</v>
      </c>
      <c r="D184" s="144" t="s">
        <v>79</v>
      </c>
      <c r="E184" s="144" t="s">
        <v>53</v>
      </c>
      <c r="F184" s="145" t="s">
        <v>329</v>
      </c>
      <c r="G184" s="28" t="s">
        <v>67</v>
      </c>
      <c r="H184" s="152">
        <f>'прил8 (ведом 24)'!M565</f>
        <v>44.4</v>
      </c>
    </row>
    <row r="185" spans="1:8" s="241" customFormat="1" ht="36" x14ac:dyDescent="0.35">
      <c r="A185" s="232"/>
      <c r="B185" s="365" t="s">
        <v>180</v>
      </c>
      <c r="C185" s="143" t="s">
        <v>53</v>
      </c>
      <c r="D185" s="144" t="s">
        <v>21</v>
      </c>
      <c r="E185" s="144" t="s">
        <v>34</v>
      </c>
      <c r="F185" s="145" t="s">
        <v>35</v>
      </c>
      <c r="G185" s="166"/>
      <c r="H185" s="152">
        <f>H186+H197</f>
        <v>12807.2</v>
      </c>
    </row>
    <row r="186" spans="1:8" s="241" customFormat="1" ht="36" x14ac:dyDescent="0.35">
      <c r="A186" s="232"/>
      <c r="B186" s="365" t="s">
        <v>239</v>
      </c>
      <c r="C186" s="143" t="s">
        <v>53</v>
      </c>
      <c r="D186" s="144" t="s">
        <v>21</v>
      </c>
      <c r="E186" s="144" t="s">
        <v>28</v>
      </c>
      <c r="F186" s="145" t="s">
        <v>35</v>
      </c>
      <c r="G186" s="28"/>
      <c r="H186" s="152">
        <f>H187+H191+H195</f>
        <v>12750.900000000001</v>
      </c>
    </row>
    <row r="187" spans="1:8" ht="36" x14ac:dyDescent="0.35">
      <c r="A187" s="232"/>
      <c r="B187" s="365" t="s">
        <v>38</v>
      </c>
      <c r="C187" s="143" t="s">
        <v>53</v>
      </c>
      <c r="D187" s="144" t="s">
        <v>21</v>
      </c>
      <c r="E187" s="144" t="s">
        <v>28</v>
      </c>
      <c r="F187" s="145" t="s">
        <v>39</v>
      </c>
      <c r="G187" s="252"/>
      <c r="H187" s="152">
        <f>SUM(H188:H190)</f>
        <v>3570.7000000000003</v>
      </c>
    </row>
    <row r="188" spans="1:8" ht="90" x14ac:dyDescent="0.35">
      <c r="A188" s="232"/>
      <c r="B188" s="365" t="s">
        <v>40</v>
      </c>
      <c r="C188" s="143" t="s">
        <v>53</v>
      </c>
      <c r="D188" s="144" t="s">
        <v>21</v>
      </c>
      <c r="E188" s="144" t="s">
        <v>28</v>
      </c>
      <c r="F188" s="145" t="s">
        <v>39</v>
      </c>
      <c r="G188" s="252" t="s">
        <v>41</v>
      </c>
      <c r="H188" s="152">
        <f>'прил8 (ведом 24)'!M575</f>
        <v>3284.3</v>
      </c>
    </row>
    <row r="189" spans="1:8" ht="36" x14ac:dyDescent="0.35">
      <c r="A189" s="232"/>
      <c r="B189" s="365" t="s">
        <v>45</v>
      </c>
      <c r="C189" s="143" t="s">
        <v>53</v>
      </c>
      <c r="D189" s="144" t="s">
        <v>21</v>
      </c>
      <c r="E189" s="144" t="s">
        <v>28</v>
      </c>
      <c r="F189" s="145" t="s">
        <v>39</v>
      </c>
      <c r="G189" s="252" t="s">
        <v>46</v>
      </c>
      <c r="H189" s="152">
        <f>'прил8 (ведом 24)'!M576</f>
        <v>277.89999999999998</v>
      </c>
    </row>
    <row r="190" spans="1:8" ht="18" x14ac:dyDescent="0.35">
      <c r="A190" s="232"/>
      <c r="B190" s="365" t="s">
        <v>47</v>
      </c>
      <c r="C190" s="143" t="s">
        <v>53</v>
      </c>
      <c r="D190" s="144" t="s">
        <v>21</v>
      </c>
      <c r="E190" s="144" t="s">
        <v>28</v>
      </c>
      <c r="F190" s="145" t="s">
        <v>39</v>
      </c>
      <c r="G190" s="28" t="s">
        <v>48</v>
      </c>
      <c r="H190" s="152">
        <f>'прил8 (ведом 24)'!M577</f>
        <v>8.5</v>
      </c>
    </row>
    <row r="191" spans="1:8" ht="36" x14ac:dyDescent="0.35">
      <c r="A191" s="232"/>
      <c r="B191" s="365" t="s">
        <v>353</v>
      </c>
      <c r="C191" s="143" t="s">
        <v>53</v>
      </c>
      <c r="D191" s="144" t="s">
        <v>21</v>
      </c>
      <c r="E191" s="144" t="s">
        <v>28</v>
      </c>
      <c r="F191" s="145" t="s">
        <v>81</v>
      </c>
      <c r="G191" s="28"/>
      <c r="H191" s="152">
        <f>SUM(H192:H194)</f>
        <v>9160.5</v>
      </c>
    </row>
    <row r="192" spans="1:8" ht="90" x14ac:dyDescent="0.35">
      <c r="A192" s="232"/>
      <c r="B192" s="365" t="s">
        <v>40</v>
      </c>
      <c r="C192" s="143" t="s">
        <v>53</v>
      </c>
      <c r="D192" s="144" t="s">
        <v>21</v>
      </c>
      <c r="E192" s="144" t="s">
        <v>28</v>
      </c>
      <c r="F192" s="145" t="s">
        <v>81</v>
      </c>
      <c r="G192" s="252" t="s">
        <v>41</v>
      </c>
      <c r="H192" s="152">
        <f>'прил8 (ведом 24)'!M579</f>
        <v>7591.9</v>
      </c>
    </row>
    <row r="193" spans="1:8" ht="36" x14ac:dyDescent="0.35">
      <c r="A193" s="232"/>
      <c r="B193" s="365" t="s">
        <v>45</v>
      </c>
      <c r="C193" s="143" t="s">
        <v>53</v>
      </c>
      <c r="D193" s="144" t="s">
        <v>21</v>
      </c>
      <c r="E193" s="144" t="s">
        <v>28</v>
      </c>
      <c r="F193" s="145" t="s">
        <v>81</v>
      </c>
      <c r="G193" s="252" t="s">
        <v>46</v>
      </c>
      <c r="H193" s="152">
        <f>'прил8 (ведом 24)'!M580</f>
        <v>1567</v>
      </c>
    </row>
    <row r="194" spans="1:8" ht="18" x14ac:dyDescent="0.35">
      <c r="A194" s="232"/>
      <c r="B194" s="365" t="s">
        <v>47</v>
      </c>
      <c r="C194" s="143" t="s">
        <v>53</v>
      </c>
      <c r="D194" s="144" t="s">
        <v>21</v>
      </c>
      <c r="E194" s="144" t="s">
        <v>28</v>
      </c>
      <c r="F194" s="145" t="s">
        <v>81</v>
      </c>
      <c r="G194" s="28" t="s">
        <v>48</v>
      </c>
      <c r="H194" s="152">
        <f>'прил8 (ведом 24)'!M581</f>
        <v>1.6</v>
      </c>
    </row>
    <row r="195" spans="1:8" ht="54" x14ac:dyDescent="0.35">
      <c r="A195" s="232"/>
      <c r="B195" s="368" t="s">
        <v>317</v>
      </c>
      <c r="C195" s="143" t="s">
        <v>53</v>
      </c>
      <c r="D195" s="144" t="s">
        <v>21</v>
      </c>
      <c r="E195" s="144" t="s">
        <v>28</v>
      </c>
      <c r="F195" s="145" t="s">
        <v>316</v>
      </c>
      <c r="G195" s="28"/>
      <c r="H195" s="152">
        <f>H196</f>
        <v>19.7</v>
      </c>
    </row>
    <row r="196" spans="1:8" ht="36" x14ac:dyDescent="0.35">
      <c r="A196" s="232"/>
      <c r="B196" s="368" t="s">
        <v>45</v>
      </c>
      <c r="C196" s="143" t="s">
        <v>53</v>
      </c>
      <c r="D196" s="144" t="s">
        <v>21</v>
      </c>
      <c r="E196" s="144" t="s">
        <v>28</v>
      </c>
      <c r="F196" s="145" t="s">
        <v>316</v>
      </c>
      <c r="G196" s="28" t="s">
        <v>46</v>
      </c>
      <c r="H196" s="152">
        <f>'прил8 (ведом 24)'!M511</f>
        <v>19.7</v>
      </c>
    </row>
    <row r="197" spans="1:8" ht="36" x14ac:dyDescent="0.35">
      <c r="A197" s="232"/>
      <c r="B197" s="366" t="s">
        <v>293</v>
      </c>
      <c r="C197" s="143" t="s">
        <v>53</v>
      </c>
      <c r="D197" s="144" t="s">
        <v>21</v>
      </c>
      <c r="E197" s="144" t="s">
        <v>30</v>
      </c>
      <c r="F197" s="145" t="s">
        <v>35</v>
      </c>
      <c r="G197" s="102"/>
      <c r="H197" s="152">
        <f>H198</f>
        <v>56.3</v>
      </c>
    </row>
    <row r="198" spans="1:8" ht="54" x14ac:dyDescent="0.35">
      <c r="A198" s="232"/>
      <c r="B198" s="366" t="s">
        <v>294</v>
      </c>
      <c r="C198" s="143" t="s">
        <v>53</v>
      </c>
      <c r="D198" s="144" t="s">
        <v>21</v>
      </c>
      <c r="E198" s="144" t="s">
        <v>30</v>
      </c>
      <c r="F198" s="145" t="s">
        <v>95</v>
      </c>
      <c r="G198" s="102"/>
      <c r="H198" s="152">
        <f>H199</f>
        <v>56.3</v>
      </c>
    </row>
    <row r="199" spans="1:8" ht="36" x14ac:dyDescent="0.35">
      <c r="A199" s="232"/>
      <c r="B199" s="366" t="s">
        <v>45</v>
      </c>
      <c r="C199" s="143" t="s">
        <v>53</v>
      </c>
      <c r="D199" s="144" t="s">
        <v>21</v>
      </c>
      <c r="E199" s="144" t="s">
        <v>30</v>
      </c>
      <c r="F199" s="145" t="s">
        <v>95</v>
      </c>
      <c r="G199" s="28" t="s">
        <v>46</v>
      </c>
      <c r="H199" s="152">
        <f>'прил8 (ведом 24)'!M514</f>
        <v>56.3</v>
      </c>
    </row>
    <row r="200" spans="1:8" ht="18" x14ac:dyDescent="0.35">
      <c r="A200" s="232"/>
      <c r="B200" s="371"/>
      <c r="C200" s="253"/>
      <c r="D200" s="253"/>
      <c r="E200" s="214"/>
      <c r="F200" s="254"/>
      <c r="G200" s="166"/>
      <c r="H200" s="152"/>
    </row>
    <row r="201" spans="1:8" s="241" customFormat="1" ht="52.2" x14ac:dyDescent="0.3">
      <c r="A201" s="246">
        <v>3</v>
      </c>
      <c r="B201" s="376" t="s">
        <v>181</v>
      </c>
      <c r="C201" s="247" t="s">
        <v>42</v>
      </c>
      <c r="D201" s="247" t="s">
        <v>33</v>
      </c>
      <c r="E201" s="247" t="s">
        <v>34</v>
      </c>
      <c r="F201" s="248" t="s">
        <v>35</v>
      </c>
      <c r="G201" s="240"/>
      <c r="H201" s="182">
        <f>H202+H209+H238</f>
        <v>116031.09999999999</v>
      </c>
    </row>
    <row r="202" spans="1:8" ht="18" x14ac:dyDescent="0.35">
      <c r="A202" s="232"/>
      <c r="B202" s="372" t="s">
        <v>182</v>
      </c>
      <c r="C202" s="143" t="s">
        <v>42</v>
      </c>
      <c r="D202" s="144" t="s">
        <v>36</v>
      </c>
      <c r="E202" s="144" t="s">
        <v>34</v>
      </c>
      <c r="F202" s="145" t="s">
        <v>35</v>
      </c>
      <c r="G202" s="166"/>
      <c r="H202" s="152">
        <f>H203+H206</f>
        <v>1306.5999999999999</v>
      </c>
    </row>
    <row r="203" spans="1:8" ht="18" x14ac:dyDescent="0.35">
      <c r="A203" s="232"/>
      <c r="B203" s="365" t="s">
        <v>234</v>
      </c>
      <c r="C203" s="143" t="s">
        <v>42</v>
      </c>
      <c r="D203" s="144" t="s">
        <v>36</v>
      </c>
      <c r="E203" s="144" t="s">
        <v>28</v>
      </c>
      <c r="F203" s="145" t="s">
        <v>35</v>
      </c>
      <c r="G203" s="166"/>
      <c r="H203" s="152">
        <f>H204</f>
        <v>396</v>
      </c>
    </row>
    <row r="204" spans="1:8" ht="36" x14ac:dyDescent="0.35">
      <c r="A204" s="232"/>
      <c r="B204" s="365" t="s">
        <v>235</v>
      </c>
      <c r="C204" s="143" t="s">
        <v>42</v>
      </c>
      <c r="D204" s="144" t="s">
        <v>36</v>
      </c>
      <c r="E204" s="144" t="s">
        <v>28</v>
      </c>
      <c r="F204" s="145" t="s">
        <v>236</v>
      </c>
      <c r="G204" s="28"/>
      <c r="H204" s="152">
        <f>H205</f>
        <v>396</v>
      </c>
    </row>
    <row r="205" spans="1:8" ht="18" x14ac:dyDescent="0.35">
      <c r="A205" s="232"/>
      <c r="B205" s="365" t="s">
        <v>110</v>
      </c>
      <c r="C205" s="143" t="s">
        <v>42</v>
      </c>
      <c r="D205" s="144" t="s">
        <v>36</v>
      </c>
      <c r="E205" s="144" t="s">
        <v>28</v>
      </c>
      <c r="F205" s="145" t="s">
        <v>236</v>
      </c>
      <c r="G205" s="28" t="s">
        <v>111</v>
      </c>
      <c r="H205" s="152">
        <f>'прил8 (ведом 24)'!M617</f>
        <v>396</v>
      </c>
    </row>
    <row r="206" spans="1:8" ht="54" x14ac:dyDescent="0.35">
      <c r="A206" s="232"/>
      <c r="B206" s="365" t="s">
        <v>248</v>
      </c>
      <c r="C206" s="143" t="s">
        <v>42</v>
      </c>
      <c r="D206" s="144" t="s">
        <v>36</v>
      </c>
      <c r="E206" s="144" t="s">
        <v>30</v>
      </c>
      <c r="F206" s="145" t="s">
        <v>35</v>
      </c>
      <c r="G206" s="28"/>
      <c r="H206" s="152">
        <f>H207</f>
        <v>910.6</v>
      </c>
    </row>
    <row r="207" spans="1:8" ht="36" x14ac:dyDescent="0.35">
      <c r="A207" s="232"/>
      <c r="B207" s="365" t="s">
        <v>183</v>
      </c>
      <c r="C207" s="143" t="s">
        <v>42</v>
      </c>
      <c r="D207" s="144" t="s">
        <v>36</v>
      </c>
      <c r="E207" s="144" t="s">
        <v>30</v>
      </c>
      <c r="F207" s="145" t="s">
        <v>249</v>
      </c>
      <c r="G207" s="28"/>
      <c r="H207" s="152">
        <f>SUM(H208:H208)</f>
        <v>910.6</v>
      </c>
    </row>
    <row r="208" spans="1:8" ht="36" x14ac:dyDescent="0.35">
      <c r="A208" s="232"/>
      <c r="B208" s="365" t="s">
        <v>45</v>
      </c>
      <c r="C208" s="143" t="s">
        <v>42</v>
      </c>
      <c r="D208" s="144" t="s">
        <v>36</v>
      </c>
      <c r="E208" s="144" t="s">
        <v>30</v>
      </c>
      <c r="F208" s="145" t="s">
        <v>249</v>
      </c>
      <c r="G208" s="28" t="s">
        <v>46</v>
      </c>
      <c r="H208" s="152">
        <f>'прил8 (ведом 24)'!M607</f>
        <v>910.6</v>
      </c>
    </row>
    <row r="209" spans="1:8" ht="18" x14ac:dyDescent="0.35">
      <c r="A209" s="232"/>
      <c r="B209" s="365" t="s">
        <v>184</v>
      </c>
      <c r="C209" s="143" t="s">
        <v>42</v>
      </c>
      <c r="D209" s="144" t="s">
        <v>79</v>
      </c>
      <c r="E209" s="144" t="s">
        <v>34</v>
      </c>
      <c r="F209" s="145" t="s">
        <v>35</v>
      </c>
      <c r="G209" s="166"/>
      <c r="H209" s="152">
        <f>H210+H215+H228+H231</f>
        <v>87279.299999999988</v>
      </c>
    </row>
    <row r="210" spans="1:8" ht="36" x14ac:dyDescent="0.35">
      <c r="A210" s="232"/>
      <c r="B210" s="365" t="s">
        <v>239</v>
      </c>
      <c r="C210" s="143" t="s">
        <v>42</v>
      </c>
      <c r="D210" s="144" t="s">
        <v>79</v>
      </c>
      <c r="E210" s="144" t="s">
        <v>28</v>
      </c>
      <c r="F210" s="145" t="s">
        <v>35</v>
      </c>
      <c r="G210" s="28"/>
      <c r="H210" s="152">
        <f>H211</f>
        <v>3088.7000000000003</v>
      </c>
    </row>
    <row r="211" spans="1:8" ht="36" x14ac:dyDescent="0.35">
      <c r="A211" s="232"/>
      <c r="B211" s="365" t="s">
        <v>38</v>
      </c>
      <c r="C211" s="143" t="s">
        <v>42</v>
      </c>
      <c r="D211" s="144" t="s">
        <v>79</v>
      </c>
      <c r="E211" s="144" t="s">
        <v>28</v>
      </c>
      <c r="F211" s="145" t="s">
        <v>39</v>
      </c>
      <c r="G211" s="28"/>
      <c r="H211" s="152">
        <f>SUM(H212:H214)</f>
        <v>3088.7000000000003</v>
      </c>
    </row>
    <row r="212" spans="1:8" ht="90" x14ac:dyDescent="0.35">
      <c r="A212" s="232"/>
      <c r="B212" s="365" t="s">
        <v>40</v>
      </c>
      <c r="C212" s="143" t="s">
        <v>42</v>
      </c>
      <c r="D212" s="144" t="s">
        <v>79</v>
      </c>
      <c r="E212" s="144" t="s">
        <v>28</v>
      </c>
      <c r="F212" s="145" t="s">
        <v>39</v>
      </c>
      <c r="G212" s="28" t="s">
        <v>41</v>
      </c>
      <c r="H212" s="152">
        <f>'прил8 (ведом 24)'!M635</f>
        <v>3027.5</v>
      </c>
    </row>
    <row r="213" spans="1:8" ht="36" x14ac:dyDescent="0.35">
      <c r="A213" s="232"/>
      <c r="B213" s="365" t="s">
        <v>45</v>
      </c>
      <c r="C213" s="143" t="s">
        <v>42</v>
      </c>
      <c r="D213" s="144" t="s">
        <v>79</v>
      </c>
      <c r="E213" s="144" t="s">
        <v>28</v>
      </c>
      <c r="F213" s="145" t="s">
        <v>39</v>
      </c>
      <c r="G213" s="28" t="s">
        <v>46</v>
      </c>
      <c r="H213" s="152">
        <f>'прил8 (ведом 24)'!M636</f>
        <v>59.4</v>
      </c>
    </row>
    <row r="214" spans="1:8" ht="18" x14ac:dyDescent="0.35">
      <c r="A214" s="232"/>
      <c r="B214" s="365" t="s">
        <v>47</v>
      </c>
      <c r="C214" s="143" t="s">
        <v>42</v>
      </c>
      <c r="D214" s="144" t="s">
        <v>79</v>
      </c>
      <c r="E214" s="144" t="s">
        <v>28</v>
      </c>
      <c r="F214" s="145" t="s">
        <v>39</v>
      </c>
      <c r="G214" s="28" t="s">
        <v>48</v>
      </c>
      <c r="H214" s="152">
        <f>'прил8 (ведом 24)'!M637</f>
        <v>1.8</v>
      </c>
    </row>
    <row r="215" spans="1:8" ht="18" x14ac:dyDescent="0.35">
      <c r="A215" s="232"/>
      <c r="B215" s="365" t="s">
        <v>303</v>
      </c>
      <c r="C215" s="143" t="s">
        <v>42</v>
      </c>
      <c r="D215" s="144" t="s">
        <v>79</v>
      </c>
      <c r="E215" s="144" t="s">
        <v>30</v>
      </c>
      <c r="F215" s="145" t="s">
        <v>35</v>
      </c>
      <c r="G215" s="28"/>
      <c r="H215" s="152">
        <f>H216+H226+H220+H222+H224</f>
        <v>79383.7</v>
      </c>
    </row>
    <row r="216" spans="1:8" ht="36" x14ac:dyDescent="0.35">
      <c r="A216" s="232"/>
      <c r="B216" s="365" t="s">
        <v>353</v>
      </c>
      <c r="C216" s="143" t="s">
        <v>42</v>
      </c>
      <c r="D216" s="144" t="s">
        <v>79</v>
      </c>
      <c r="E216" s="144" t="s">
        <v>30</v>
      </c>
      <c r="F216" s="145" t="s">
        <v>81</v>
      </c>
      <c r="G216" s="28"/>
      <c r="H216" s="152">
        <f>SUM(H217:H219)</f>
        <v>41163.499999999993</v>
      </c>
    </row>
    <row r="217" spans="1:8" ht="90" x14ac:dyDescent="0.35">
      <c r="A217" s="232"/>
      <c r="B217" s="365" t="s">
        <v>40</v>
      </c>
      <c r="C217" s="143" t="s">
        <v>42</v>
      </c>
      <c r="D217" s="144" t="s">
        <v>79</v>
      </c>
      <c r="E217" s="144" t="s">
        <v>30</v>
      </c>
      <c r="F217" s="145" t="s">
        <v>81</v>
      </c>
      <c r="G217" s="28" t="s">
        <v>41</v>
      </c>
      <c r="H217" s="152">
        <f>'прил8 (ведом 24)'!M621</f>
        <v>26739.599999999999</v>
      </c>
    </row>
    <row r="218" spans="1:8" ht="36" x14ac:dyDescent="0.35">
      <c r="A218" s="232"/>
      <c r="B218" s="365" t="s">
        <v>45</v>
      </c>
      <c r="C218" s="143" t="s">
        <v>42</v>
      </c>
      <c r="D218" s="144" t="s">
        <v>79</v>
      </c>
      <c r="E218" s="144" t="s">
        <v>30</v>
      </c>
      <c r="F218" s="145" t="s">
        <v>81</v>
      </c>
      <c r="G218" s="28" t="s">
        <v>46</v>
      </c>
      <c r="H218" s="152">
        <f>'прил8 (ведом 24)'!M622</f>
        <v>12667.8</v>
      </c>
    </row>
    <row r="219" spans="1:8" ht="18" x14ac:dyDescent="0.35">
      <c r="A219" s="232"/>
      <c r="B219" s="365" t="s">
        <v>47</v>
      </c>
      <c r="C219" s="143" t="s">
        <v>42</v>
      </c>
      <c r="D219" s="144" t="s">
        <v>79</v>
      </c>
      <c r="E219" s="144" t="s">
        <v>30</v>
      </c>
      <c r="F219" s="145" t="s">
        <v>81</v>
      </c>
      <c r="G219" s="28" t="s">
        <v>48</v>
      </c>
      <c r="H219" s="152">
        <f>'прил8 (ведом 24)'!M623</f>
        <v>1756.1</v>
      </c>
    </row>
    <row r="220" spans="1:8" ht="50.25" customHeight="1" x14ac:dyDescent="0.35">
      <c r="A220" s="232"/>
      <c r="B220" s="366" t="s">
        <v>183</v>
      </c>
      <c r="C220" s="143" t="s">
        <v>42</v>
      </c>
      <c r="D220" s="144" t="s">
        <v>79</v>
      </c>
      <c r="E220" s="144" t="s">
        <v>30</v>
      </c>
      <c r="F220" s="145" t="s">
        <v>249</v>
      </c>
      <c r="G220" s="28"/>
      <c r="H220" s="152">
        <f>H221</f>
        <v>6160.1</v>
      </c>
    </row>
    <row r="221" spans="1:8" ht="36" x14ac:dyDescent="0.35">
      <c r="A221" s="232"/>
      <c r="B221" s="366" t="s">
        <v>45</v>
      </c>
      <c r="C221" s="143" t="s">
        <v>42</v>
      </c>
      <c r="D221" s="144" t="s">
        <v>79</v>
      </c>
      <c r="E221" s="144" t="s">
        <v>30</v>
      </c>
      <c r="F221" s="145" t="s">
        <v>249</v>
      </c>
      <c r="G221" s="28" t="s">
        <v>46</v>
      </c>
      <c r="H221" s="152">
        <f>'прил8 (ведом 24)'!M625</f>
        <v>6160.1</v>
      </c>
    </row>
    <row r="222" spans="1:8" ht="180" x14ac:dyDescent="0.35">
      <c r="A222" s="232"/>
      <c r="B222" s="366" t="s">
        <v>336</v>
      </c>
      <c r="C222" s="143" t="s">
        <v>42</v>
      </c>
      <c r="D222" s="144" t="s">
        <v>79</v>
      </c>
      <c r="E222" s="144" t="s">
        <v>30</v>
      </c>
      <c r="F222" s="145" t="s">
        <v>324</v>
      </c>
      <c r="G222" s="28"/>
      <c r="H222" s="152">
        <f>H223</f>
        <v>93.8</v>
      </c>
    </row>
    <row r="223" spans="1:8" ht="90" x14ac:dyDescent="0.35">
      <c r="A223" s="232"/>
      <c r="B223" s="366" t="s">
        <v>40</v>
      </c>
      <c r="C223" s="143" t="s">
        <v>42</v>
      </c>
      <c r="D223" s="144" t="s">
        <v>79</v>
      </c>
      <c r="E223" s="144" t="s">
        <v>30</v>
      </c>
      <c r="F223" s="145" t="s">
        <v>324</v>
      </c>
      <c r="G223" s="28" t="s">
        <v>41</v>
      </c>
      <c r="H223" s="152">
        <f>'прил8 (ведом 24)'!M627</f>
        <v>93.8</v>
      </c>
    </row>
    <row r="224" spans="1:8" ht="72" x14ac:dyDescent="0.35">
      <c r="A224" s="232"/>
      <c r="B224" s="368" t="s">
        <v>431</v>
      </c>
      <c r="C224" s="498" t="s">
        <v>42</v>
      </c>
      <c r="D224" s="499" t="s">
        <v>79</v>
      </c>
      <c r="E224" s="499" t="s">
        <v>30</v>
      </c>
      <c r="F224" s="500" t="s">
        <v>430</v>
      </c>
      <c r="G224" s="10"/>
      <c r="H224" s="152">
        <f>H225</f>
        <v>29851.5</v>
      </c>
    </row>
    <row r="225" spans="1:8" ht="36" x14ac:dyDescent="0.35">
      <c r="A225" s="232"/>
      <c r="B225" s="368" t="s">
        <v>45</v>
      </c>
      <c r="C225" s="498" t="s">
        <v>42</v>
      </c>
      <c r="D225" s="499" t="s">
        <v>79</v>
      </c>
      <c r="E225" s="499" t="s">
        <v>30</v>
      </c>
      <c r="F225" s="500" t="s">
        <v>430</v>
      </c>
      <c r="G225" s="10" t="s">
        <v>46</v>
      </c>
      <c r="H225" s="152">
        <f>'прил8 (ведом 24)'!M611</f>
        <v>29851.5</v>
      </c>
    </row>
    <row r="226" spans="1:8" ht="54" x14ac:dyDescent="0.35">
      <c r="A226" s="232"/>
      <c r="B226" s="366" t="s">
        <v>337</v>
      </c>
      <c r="C226" s="143" t="s">
        <v>42</v>
      </c>
      <c r="D226" s="144" t="s">
        <v>79</v>
      </c>
      <c r="E226" s="144" t="s">
        <v>30</v>
      </c>
      <c r="F226" s="145" t="s">
        <v>327</v>
      </c>
      <c r="G226" s="28"/>
      <c r="H226" s="152">
        <f>H227</f>
        <v>2114.8000000000002</v>
      </c>
    </row>
    <row r="227" spans="1:8" ht="90" x14ac:dyDescent="0.35">
      <c r="A227" s="232"/>
      <c r="B227" s="366" t="s">
        <v>40</v>
      </c>
      <c r="C227" s="143" t="s">
        <v>42</v>
      </c>
      <c r="D227" s="144" t="s">
        <v>79</v>
      </c>
      <c r="E227" s="144" t="s">
        <v>30</v>
      </c>
      <c r="F227" s="145" t="s">
        <v>327</v>
      </c>
      <c r="G227" s="28" t="s">
        <v>41</v>
      </c>
      <c r="H227" s="152">
        <f>'прил8 (ведом 24)'!M629</f>
        <v>2114.8000000000002</v>
      </c>
    </row>
    <row r="228" spans="1:8" ht="36" x14ac:dyDescent="0.35">
      <c r="A228" s="232"/>
      <c r="B228" s="366" t="s">
        <v>293</v>
      </c>
      <c r="C228" s="143" t="s">
        <v>42</v>
      </c>
      <c r="D228" s="144" t="s">
        <v>79</v>
      </c>
      <c r="E228" s="144" t="s">
        <v>53</v>
      </c>
      <c r="F228" s="145" t="s">
        <v>35</v>
      </c>
      <c r="G228" s="28"/>
      <c r="H228" s="152">
        <f>H229</f>
        <v>51.9</v>
      </c>
    </row>
    <row r="229" spans="1:8" ht="54" x14ac:dyDescent="0.35">
      <c r="A229" s="232"/>
      <c r="B229" s="377" t="s">
        <v>294</v>
      </c>
      <c r="C229" s="143" t="s">
        <v>42</v>
      </c>
      <c r="D229" s="144" t="s">
        <v>79</v>
      </c>
      <c r="E229" s="144" t="s">
        <v>53</v>
      </c>
      <c r="F229" s="145" t="s">
        <v>95</v>
      </c>
      <c r="G229" s="28"/>
      <c r="H229" s="152">
        <f>H230</f>
        <v>51.9</v>
      </c>
    </row>
    <row r="230" spans="1:8" ht="36" x14ac:dyDescent="0.35">
      <c r="A230" s="232"/>
      <c r="B230" s="366" t="s">
        <v>45</v>
      </c>
      <c r="C230" s="143" t="s">
        <v>42</v>
      </c>
      <c r="D230" s="144" t="s">
        <v>79</v>
      </c>
      <c r="E230" s="144" t="s">
        <v>53</v>
      </c>
      <c r="F230" s="145" t="s">
        <v>95</v>
      </c>
      <c r="G230" s="28" t="s">
        <v>46</v>
      </c>
      <c r="H230" s="152">
        <f>'прил8 (ведом 24)'!M590</f>
        <v>51.9</v>
      </c>
    </row>
    <row r="231" spans="1:8" ht="18" x14ac:dyDescent="0.35">
      <c r="A231" s="232"/>
      <c r="B231" s="366" t="s">
        <v>395</v>
      </c>
      <c r="C231" s="143" t="s">
        <v>42</v>
      </c>
      <c r="D231" s="144" t="s">
        <v>79</v>
      </c>
      <c r="E231" s="144" t="s">
        <v>42</v>
      </c>
      <c r="F231" s="145" t="s">
        <v>35</v>
      </c>
      <c r="G231" s="28"/>
      <c r="H231" s="152">
        <f>H232+H236</f>
        <v>4755</v>
      </c>
    </row>
    <row r="232" spans="1:8" ht="36" x14ac:dyDescent="0.35">
      <c r="A232" s="232"/>
      <c r="B232" s="366" t="s">
        <v>353</v>
      </c>
      <c r="C232" s="143" t="s">
        <v>42</v>
      </c>
      <c r="D232" s="144" t="s">
        <v>79</v>
      </c>
      <c r="E232" s="144" t="s">
        <v>42</v>
      </c>
      <c r="F232" s="145" t="s">
        <v>81</v>
      </c>
      <c r="G232" s="28"/>
      <c r="H232" s="152">
        <f>H233+H234+H235</f>
        <v>3753.6000000000004</v>
      </c>
    </row>
    <row r="233" spans="1:8" ht="90" x14ac:dyDescent="0.35">
      <c r="A233" s="232"/>
      <c r="B233" s="366" t="s">
        <v>40</v>
      </c>
      <c r="C233" s="143" t="s">
        <v>42</v>
      </c>
      <c r="D233" s="144" t="s">
        <v>79</v>
      </c>
      <c r="E233" s="144" t="s">
        <v>42</v>
      </c>
      <c r="F233" s="145" t="s">
        <v>81</v>
      </c>
      <c r="G233" s="28" t="s">
        <v>41</v>
      </c>
      <c r="H233" s="152">
        <f>'прил8 (ведом 24)'!M597</f>
        <v>2270.4</v>
      </c>
    </row>
    <row r="234" spans="1:8" ht="36" x14ac:dyDescent="0.35">
      <c r="A234" s="232"/>
      <c r="B234" s="366" t="s">
        <v>45</v>
      </c>
      <c r="C234" s="143" t="s">
        <v>42</v>
      </c>
      <c r="D234" s="144" t="s">
        <v>79</v>
      </c>
      <c r="E234" s="144" t="s">
        <v>42</v>
      </c>
      <c r="F234" s="145" t="s">
        <v>81</v>
      </c>
      <c r="G234" s="28" t="s">
        <v>46</v>
      </c>
      <c r="H234" s="152">
        <f>'прил8 (ведом 24)'!M598</f>
        <v>1463.4</v>
      </c>
    </row>
    <row r="235" spans="1:8" ht="18" x14ac:dyDescent="0.35">
      <c r="A235" s="232"/>
      <c r="B235" s="366" t="s">
        <v>47</v>
      </c>
      <c r="C235" s="143" t="s">
        <v>42</v>
      </c>
      <c r="D235" s="144" t="s">
        <v>79</v>
      </c>
      <c r="E235" s="144" t="s">
        <v>42</v>
      </c>
      <c r="F235" s="145" t="s">
        <v>81</v>
      </c>
      <c r="G235" s="28" t="s">
        <v>48</v>
      </c>
      <c r="H235" s="152">
        <f>'прил8 (ведом 24)'!M599</f>
        <v>19.8</v>
      </c>
    </row>
    <row r="236" spans="1:8" ht="36" x14ac:dyDescent="0.35">
      <c r="A236" s="232"/>
      <c r="B236" s="366" t="s">
        <v>183</v>
      </c>
      <c r="C236" s="143" t="s">
        <v>42</v>
      </c>
      <c r="D236" s="144" t="s">
        <v>79</v>
      </c>
      <c r="E236" s="144" t="s">
        <v>42</v>
      </c>
      <c r="F236" s="145" t="s">
        <v>249</v>
      </c>
      <c r="G236" s="28"/>
      <c r="H236" s="152">
        <f>H237</f>
        <v>1001.4</v>
      </c>
    </row>
    <row r="237" spans="1:8" ht="36" x14ac:dyDescent="0.35">
      <c r="A237" s="232"/>
      <c r="B237" s="366" t="s">
        <v>45</v>
      </c>
      <c r="C237" s="143" t="s">
        <v>42</v>
      </c>
      <c r="D237" s="144" t="s">
        <v>79</v>
      </c>
      <c r="E237" s="144" t="s">
        <v>42</v>
      </c>
      <c r="F237" s="145" t="s">
        <v>249</v>
      </c>
      <c r="G237" s="28" t="s">
        <v>46</v>
      </c>
      <c r="H237" s="152">
        <f>'прил8 (ведом 24)'!M601</f>
        <v>1001.4</v>
      </c>
    </row>
    <row r="238" spans="1:8" ht="18" x14ac:dyDescent="0.35">
      <c r="A238" s="232"/>
      <c r="B238" s="366" t="s">
        <v>287</v>
      </c>
      <c r="C238" s="143" t="s">
        <v>42</v>
      </c>
      <c r="D238" s="144" t="s">
        <v>22</v>
      </c>
      <c r="E238" s="144" t="s">
        <v>34</v>
      </c>
      <c r="F238" s="145" t="s">
        <v>35</v>
      </c>
      <c r="G238" s="28"/>
      <c r="H238" s="152">
        <f>H239</f>
        <v>27445.200000000001</v>
      </c>
    </row>
    <row r="239" spans="1:8" ht="54" x14ac:dyDescent="0.35">
      <c r="A239" s="232"/>
      <c r="B239" s="366" t="s">
        <v>328</v>
      </c>
      <c r="C239" s="143" t="s">
        <v>42</v>
      </c>
      <c r="D239" s="144" t="s">
        <v>22</v>
      </c>
      <c r="E239" s="144" t="s">
        <v>53</v>
      </c>
      <c r="F239" s="145" t="s">
        <v>35</v>
      </c>
      <c r="G239" s="28"/>
      <c r="H239" s="152">
        <f>H240</f>
        <v>27445.200000000001</v>
      </c>
    </row>
    <row r="240" spans="1:8" ht="126" x14ac:dyDescent="0.35">
      <c r="A240" s="232"/>
      <c r="B240" s="366" t="s">
        <v>471</v>
      </c>
      <c r="C240" s="259" t="s">
        <v>42</v>
      </c>
      <c r="D240" s="259" t="s">
        <v>22</v>
      </c>
      <c r="E240" s="259" t="s">
        <v>53</v>
      </c>
      <c r="F240" s="260" t="s">
        <v>367</v>
      </c>
      <c r="G240" s="28"/>
      <c r="H240" s="152">
        <f>H241</f>
        <v>27445.200000000001</v>
      </c>
    </row>
    <row r="241" spans="1:8" ht="36" x14ac:dyDescent="0.35">
      <c r="A241" s="232"/>
      <c r="B241" s="366" t="s">
        <v>168</v>
      </c>
      <c r="C241" s="259" t="s">
        <v>42</v>
      </c>
      <c r="D241" s="259" t="s">
        <v>22</v>
      </c>
      <c r="E241" s="259" t="s">
        <v>53</v>
      </c>
      <c r="F241" s="260" t="s">
        <v>367</v>
      </c>
      <c r="G241" s="28" t="s">
        <v>169</v>
      </c>
      <c r="H241" s="152">
        <f>'прил8 (ведом 24)'!M336</f>
        <v>27445.200000000001</v>
      </c>
    </row>
    <row r="242" spans="1:8" s="241" customFormat="1" ht="52.2" x14ac:dyDescent="0.3">
      <c r="A242" s="246">
        <v>4</v>
      </c>
      <c r="B242" s="364" t="s">
        <v>185</v>
      </c>
      <c r="C242" s="238" t="s">
        <v>55</v>
      </c>
      <c r="D242" s="238" t="s">
        <v>33</v>
      </c>
      <c r="E242" s="238" t="s">
        <v>34</v>
      </c>
      <c r="F242" s="239" t="s">
        <v>35</v>
      </c>
      <c r="G242" s="240"/>
      <c r="H242" s="182">
        <f>H243+H251</f>
        <v>9198.2999999999993</v>
      </c>
    </row>
    <row r="243" spans="1:8" s="241" customFormat="1" ht="18" x14ac:dyDescent="0.35">
      <c r="A243" s="232"/>
      <c r="B243" s="365" t="s">
        <v>186</v>
      </c>
      <c r="C243" s="143" t="s">
        <v>55</v>
      </c>
      <c r="D243" s="144" t="s">
        <v>36</v>
      </c>
      <c r="E243" s="144" t="s">
        <v>34</v>
      </c>
      <c r="F243" s="145" t="s">
        <v>35</v>
      </c>
      <c r="G243" s="166"/>
      <c r="H243" s="152">
        <f>H244</f>
        <v>5362.4</v>
      </c>
    </row>
    <row r="244" spans="1:8" s="241" customFormat="1" ht="72" x14ac:dyDescent="0.35">
      <c r="A244" s="232"/>
      <c r="B244" s="365" t="s">
        <v>244</v>
      </c>
      <c r="C244" s="143" t="s">
        <v>55</v>
      </c>
      <c r="D244" s="144" t="s">
        <v>36</v>
      </c>
      <c r="E244" s="144" t="s">
        <v>28</v>
      </c>
      <c r="F244" s="145" t="s">
        <v>35</v>
      </c>
      <c r="G244" s="28"/>
      <c r="H244" s="152">
        <f>H245+H249</f>
        <v>5362.4</v>
      </c>
    </row>
    <row r="245" spans="1:8" ht="36" x14ac:dyDescent="0.35">
      <c r="A245" s="232"/>
      <c r="B245" s="365" t="s">
        <v>353</v>
      </c>
      <c r="C245" s="143" t="s">
        <v>55</v>
      </c>
      <c r="D245" s="144" t="s">
        <v>36</v>
      </c>
      <c r="E245" s="144" t="s">
        <v>28</v>
      </c>
      <c r="F245" s="145" t="s">
        <v>81</v>
      </c>
      <c r="G245" s="28"/>
      <c r="H245" s="152">
        <f>H246+H247+H248</f>
        <v>4406.8999999999996</v>
      </c>
    </row>
    <row r="246" spans="1:8" ht="90" x14ac:dyDescent="0.35">
      <c r="A246" s="232"/>
      <c r="B246" s="365" t="s">
        <v>40</v>
      </c>
      <c r="C246" s="143" t="s">
        <v>55</v>
      </c>
      <c r="D246" s="144" t="s">
        <v>36</v>
      </c>
      <c r="E246" s="144" t="s">
        <v>28</v>
      </c>
      <c r="F246" s="145" t="s">
        <v>81</v>
      </c>
      <c r="G246" s="28" t="s">
        <v>41</v>
      </c>
      <c r="H246" s="152">
        <f>'прил8 (ведом 24)'!M662</f>
        <v>4032.7</v>
      </c>
    </row>
    <row r="247" spans="1:8" ht="36" x14ac:dyDescent="0.35">
      <c r="A247" s="232"/>
      <c r="B247" s="365" t="s">
        <v>45</v>
      </c>
      <c r="C247" s="143" t="s">
        <v>55</v>
      </c>
      <c r="D247" s="144" t="s">
        <v>36</v>
      </c>
      <c r="E247" s="144" t="s">
        <v>28</v>
      </c>
      <c r="F247" s="145" t="s">
        <v>81</v>
      </c>
      <c r="G247" s="28" t="s">
        <v>46</v>
      </c>
      <c r="H247" s="152">
        <f>'прил8 (ведом 24)'!M663</f>
        <v>371.5</v>
      </c>
    </row>
    <row r="248" spans="1:8" ht="18" x14ac:dyDescent="0.35">
      <c r="A248" s="232"/>
      <c r="B248" s="366" t="s">
        <v>47</v>
      </c>
      <c r="C248" s="143" t="s">
        <v>55</v>
      </c>
      <c r="D248" s="144" t="s">
        <v>36</v>
      </c>
      <c r="E248" s="144" t="s">
        <v>28</v>
      </c>
      <c r="F248" s="145" t="s">
        <v>81</v>
      </c>
      <c r="G248" s="28" t="s">
        <v>48</v>
      </c>
      <c r="H248" s="152">
        <f>'прил8 (ведом 24)'!M664</f>
        <v>2.7</v>
      </c>
    </row>
    <row r="249" spans="1:8" ht="36" x14ac:dyDescent="0.35">
      <c r="A249" s="232"/>
      <c r="B249" s="365" t="s">
        <v>245</v>
      </c>
      <c r="C249" s="143" t="s">
        <v>55</v>
      </c>
      <c r="D249" s="144" t="s">
        <v>36</v>
      </c>
      <c r="E249" s="144" t="s">
        <v>28</v>
      </c>
      <c r="F249" s="145" t="s">
        <v>246</v>
      </c>
      <c r="G249" s="28"/>
      <c r="H249" s="152">
        <f>H250</f>
        <v>955.5</v>
      </c>
    </row>
    <row r="250" spans="1:8" ht="36" x14ac:dyDescent="0.35">
      <c r="A250" s="232"/>
      <c r="B250" s="365" t="s">
        <v>45</v>
      </c>
      <c r="C250" s="143" t="s">
        <v>55</v>
      </c>
      <c r="D250" s="144" t="s">
        <v>36</v>
      </c>
      <c r="E250" s="144" t="s">
        <v>28</v>
      </c>
      <c r="F250" s="145" t="s">
        <v>246</v>
      </c>
      <c r="G250" s="28" t="s">
        <v>46</v>
      </c>
      <c r="H250" s="152">
        <f>'прил8 (ведом 24)'!M666</f>
        <v>955.5</v>
      </c>
    </row>
    <row r="251" spans="1:8" s="241" customFormat="1" ht="30.75" customHeight="1" x14ac:dyDescent="0.35">
      <c r="A251" s="232"/>
      <c r="B251" s="365" t="s">
        <v>184</v>
      </c>
      <c r="C251" s="143" t="s">
        <v>55</v>
      </c>
      <c r="D251" s="144" t="s">
        <v>79</v>
      </c>
      <c r="E251" s="144" t="s">
        <v>34</v>
      </c>
      <c r="F251" s="145" t="s">
        <v>35</v>
      </c>
      <c r="G251" s="28"/>
      <c r="H251" s="152">
        <f>H252+H259+H262+H265</f>
        <v>3835.9</v>
      </c>
    </row>
    <row r="252" spans="1:8" s="241" customFormat="1" ht="36" x14ac:dyDescent="0.35">
      <c r="A252" s="232"/>
      <c r="B252" s="365" t="s">
        <v>239</v>
      </c>
      <c r="C252" s="143" t="s">
        <v>55</v>
      </c>
      <c r="D252" s="144" t="s">
        <v>79</v>
      </c>
      <c r="E252" s="144" t="s">
        <v>28</v>
      </c>
      <c r="F252" s="145" t="s">
        <v>35</v>
      </c>
      <c r="G252" s="28"/>
      <c r="H252" s="152">
        <f>H253+H257</f>
        <v>3686.7</v>
      </c>
    </row>
    <row r="253" spans="1:8" s="241" customFormat="1" ht="36" x14ac:dyDescent="0.35">
      <c r="A253" s="232"/>
      <c r="B253" s="365" t="s">
        <v>38</v>
      </c>
      <c r="C253" s="143" t="s">
        <v>55</v>
      </c>
      <c r="D253" s="144" t="s">
        <v>79</v>
      </c>
      <c r="E253" s="144" t="s">
        <v>28</v>
      </c>
      <c r="F253" s="145" t="s">
        <v>39</v>
      </c>
      <c r="G253" s="28"/>
      <c r="H253" s="152">
        <f>SUM(H254:H256)</f>
        <v>3680.1</v>
      </c>
    </row>
    <row r="254" spans="1:8" s="241" customFormat="1" ht="90" x14ac:dyDescent="0.35">
      <c r="A254" s="232"/>
      <c r="B254" s="365" t="s">
        <v>40</v>
      </c>
      <c r="C254" s="143" t="s">
        <v>55</v>
      </c>
      <c r="D254" s="144" t="s">
        <v>79</v>
      </c>
      <c r="E254" s="144" t="s">
        <v>28</v>
      </c>
      <c r="F254" s="145" t="s">
        <v>39</v>
      </c>
      <c r="G254" s="28" t="s">
        <v>41</v>
      </c>
      <c r="H254" s="152">
        <f>'прил8 (ведом 24)'!M672</f>
        <v>3316</v>
      </c>
    </row>
    <row r="255" spans="1:8" ht="36" x14ac:dyDescent="0.35">
      <c r="A255" s="232"/>
      <c r="B255" s="365" t="s">
        <v>45</v>
      </c>
      <c r="C255" s="143" t="s">
        <v>55</v>
      </c>
      <c r="D255" s="144" t="s">
        <v>79</v>
      </c>
      <c r="E255" s="144" t="s">
        <v>28</v>
      </c>
      <c r="F255" s="145" t="s">
        <v>39</v>
      </c>
      <c r="G255" s="28" t="s">
        <v>46</v>
      </c>
      <c r="H255" s="152">
        <f>'прил8 (ведом 24)'!M673</f>
        <v>362.9</v>
      </c>
    </row>
    <row r="256" spans="1:8" ht="18" x14ac:dyDescent="0.35">
      <c r="A256" s="232"/>
      <c r="B256" s="365" t="s">
        <v>47</v>
      </c>
      <c r="C256" s="143" t="s">
        <v>55</v>
      </c>
      <c r="D256" s="144" t="s">
        <v>79</v>
      </c>
      <c r="E256" s="144" t="s">
        <v>28</v>
      </c>
      <c r="F256" s="145" t="s">
        <v>39</v>
      </c>
      <c r="G256" s="28" t="s">
        <v>48</v>
      </c>
      <c r="H256" s="152">
        <f>'прил8 (ведом 24)'!M674</f>
        <v>1.2</v>
      </c>
    </row>
    <row r="257" spans="1:8" ht="54" x14ac:dyDescent="0.35">
      <c r="A257" s="232"/>
      <c r="B257" s="429" t="s">
        <v>317</v>
      </c>
      <c r="C257" s="498" t="s">
        <v>55</v>
      </c>
      <c r="D257" s="499" t="s">
        <v>79</v>
      </c>
      <c r="E257" s="499" t="s">
        <v>28</v>
      </c>
      <c r="F257" s="500" t="s">
        <v>316</v>
      </c>
      <c r="G257" s="28"/>
      <c r="H257" s="152">
        <f>H258</f>
        <v>6.6</v>
      </c>
    </row>
    <row r="258" spans="1:8" ht="36" x14ac:dyDescent="0.35">
      <c r="A258" s="232"/>
      <c r="B258" s="429" t="s">
        <v>45</v>
      </c>
      <c r="C258" s="498" t="s">
        <v>55</v>
      </c>
      <c r="D258" s="499" t="s">
        <v>79</v>
      </c>
      <c r="E258" s="499" t="s">
        <v>28</v>
      </c>
      <c r="F258" s="500" t="s">
        <v>316</v>
      </c>
      <c r="G258" s="28" t="s">
        <v>46</v>
      </c>
      <c r="H258" s="152">
        <f>'прил8 (ведом 24)'!M646</f>
        <v>6.6</v>
      </c>
    </row>
    <row r="259" spans="1:8" ht="36" x14ac:dyDescent="0.35">
      <c r="A259" s="232"/>
      <c r="B259" s="377" t="s">
        <v>293</v>
      </c>
      <c r="C259" s="144" t="s">
        <v>55</v>
      </c>
      <c r="D259" s="144" t="s">
        <v>79</v>
      </c>
      <c r="E259" s="144" t="s">
        <v>30</v>
      </c>
      <c r="F259" s="145" t="s">
        <v>35</v>
      </c>
      <c r="G259" s="28"/>
      <c r="H259" s="152">
        <f>H260</f>
        <v>87.3</v>
      </c>
    </row>
    <row r="260" spans="1:8" ht="54" x14ac:dyDescent="0.35">
      <c r="A260" s="232"/>
      <c r="B260" s="377" t="s">
        <v>294</v>
      </c>
      <c r="C260" s="143" t="s">
        <v>55</v>
      </c>
      <c r="D260" s="144" t="s">
        <v>79</v>
      </c>
      <c r="E260" s="144" t="s">
        <v>30</v>
      </c>
      <c r="F260" s="145" t="s">
        <v>95</v>
      </c>
      <c r="G260" s="28"/>
      <c r="H260" s="152">
        <f>H261</f>
        <v>87.3</v>
      </c>
    </row>
    <row r="261" spans="1:8" ht="36" x14ac:dyDescent="0.35">
      <c r="A261" s="232"/>
      <c r="B261" s="377" t="s">
        <v>45</v>
      </c>
      <c r="C261" s="143" t="s">
        <v>55</v>
      </c>
      <c r="D261" s="144" t="s">
        <v>79</v>
      </c>
      <c r="E261" s="144" t="s">
        <v>30</v>
      </c>
      <c r="F261" s="145" t="s">
        <v>95</v>
      </c>
      <c r="G261" s="28" t="s">
        <v>46</v>
      </c>
      <c r="H261" s="152">
        <f>'прил8 (ведом 24)'!M649</f>
        <v>87.3</v>
      </c>
    </row>
    <row r="262" spans="1:8" ht="36" x14ac:dyDescent="0.35">
      <c r="A262" s="232"/>
      <c r="B262" s="366" t="s">
        <v>357</v>
      </c>
      <c r="C262" s="144" t="s">
        <v>55</v>
      </c>
      <c r="D262" s="144" t="s">
        <v>79</v>
      </c>
      <c r="E262" s="144" t="s">
        <v>53</v>
      </c>
      <c r="F262" s="145" t="s">
        <v>35</v>
      </c>
      <c r="G262" s="28"/>
      <c r="H262" s="152">
        <f>H263</f>
        <v>15.4</v>
      </c>
    </row>
    <row r="263" spans="1:8" ht="18" x14ac:dyDescent="0.35">
      <c r="A263" s="232"/>
      <c r="B263" s="366" t="s">
        <v>355</v>
      </c>
      <c r="C263" s="144" t="s">
        <v>55</v>
      </c>
      <c r="D263" s="144" t="s">
        <v>79</v>
      </c>
      <c r="E263" s="144" t="s">
        <v>53</v>
      </c>
      <c r="F263" s="145" t="s">
        <v>356</v>
      </c>
      <c r="G263" s="28"/>
      <c r="H263" s="152">
        <f>H264</f>
        <v>15.4</v>
      </c>
    </row>
    <row r="264" spans="1:8" ht="36" x14ac:dyDescent="0.35">
      <c r="A264" s="232"/>
      <c r="B264" s="377" t="s">
        <v>45</v>
      </c>
      <c r="C264" s="144" t="s">
        <v>55</v>
      </c>
      <c r="D264" s="144" t="s">
        <v>79</v>
      </c>
      <c r="E264" s="144" t="s">
        <v>53</v>
      </c>
      <c r="F264" s="145" t="s">
        <v>356</v>
      </c>
      <c r="G264" s="28" t="s">
        <v>46</v>
      </c>
      <c r="H264" s="152">
        <f>'прил8 (ведом 24)'!M652</f>
        <v>15.4</v>
      </c>
    </row>
    <row r="265" spans="1:8" ht="36" x14ac:dyDescent="0.35">
      <c r="A265" s="232"/>
      <c r="B265" s="377" t="s">
        <v>360</v>
      </c>
      <c r="C265" s="144" t="s">
        <v>55</v>
      </c>
      <c r="D265" s="144" t="s">
        <v>79</v>
      </c>
      <c r="E265" s="144" t="s">
        <v>42</v>
      </c>
      <c r="F265" s="496" t="s">
        <v>35</v>
      </c>
      <c r="G265" s="166"/>
      <c r="H265" s="152">
        <f>H266</f>
        <v>46.5</v>
      </c>
    </row>
    <row r="266" spans="1:8" ht="36" x14ac:dyDescent="0.35">
      <c r="A266" s="232"/>
      <c r="B266" s="378" t="s">
        <v>117</v>
      </c>
      <c r="C266" s="144" t="s">
        <v>55</v>
      </c>
      <c r="D266" s="144" t="s">
        <v>79</v>
      </c>
      <c r="E266" s="144" t="s">
        <v>42</v>
      </c>
      <c r="F266" s="255" t="s">
        <v>80</v>
      </c>
      <c r="G266" s="166"/>
      <c r="H266" s="152">
        <f>H267</f>
        <v>46.5</v>
      </c>
    </row>
    <row r="267" spans="1:8" ht="36" x14ac:dyDescent="0.35">
      <c r="A267" s="232"/>
      <c r="B267" s="377" t="s">
        <v>45</v>
      </c>
      <c r="C267" s="144" t="s">
        <v>55</v>
      </c>
      <c r="D267" s="144" t="s">
        <v>79</v>
      </c>
      <c r="E267" s="144" t="s">
        <v>42</v>
      </c>
      <c r="F267" s="496" t="s">
        <v>80</v>
      </c>
      <c r="G267" s="166" t="s">
        <v>46</v>
      </c>
      <c r="H267" s="152">
        <f>'прил8 (ведом 24)'!M655</f>
        <v>46.5</v>
      </c>
    </row>
    <row r="268" spans="1:8" ht="18" x14ac:dyDescent="0.35">
      <c r="A268" s="232"/>
      <c r="B268" s="377"/>
      <c r="C268" s="143"/>
      <c r="D268" s="144"/>
      <c r="E268" s="144"/>
      <c r="F268" s="496"/>
      <c r="G268" s="166"/>
      <c r="H268" s="152"/>
    </row>
    <row r="269" spans="1:8" s="241" customFormat="1" ht="52.2" x14ac:dyDescent="0.3">
      <c r="A269" s="246">
        <v>5</v>
      </c>
      <c r="B269" s="364" t="s">
        <v>70</v>
      </c>
      <c r="C269" s="247" t="s">
        <v>71</v>
      </c>
      <c r="D269" s="247" t="s">
        <v>33</v>
      </c>
      <c r="E269" s="247" t="s">
        <v>34</v>
      </c>
      <c r="F269" s="248" t="s">
        <v>35</v>
      </c>
      <c r="G269" s="240"/>
      <c r="H269" s="182">
        <f>H280+H270+H289+H295</f>
        <v>25257.83913</v>
      </c>
    </row>
    <row r="270" spans="1:8" ht="54" x14ac:dyDescent="0.35">
      <c r="A270" s="232"/>
      <c r="B270" s="372" t="s">
        <v>72</v>
      </c>
      <c r="C270" s="143" t="s">
        <v>71</v>
      </c>
      <c r="D270" s="144" t="s">
        <v>36</v>
      </c>
      <c r="E270" s="144" t="s">
        <v>34</v>
      </c>
      <c r="F270" s="145" t="s">
        <v>35</v>
      </c>
      <c r="G270" s="166"/>
      <c r="H270" s="152">
        <f>H271</f>
        <v>11531.6</v>
      </c>
    </row>
    <row r="271" spans="1:8" ht="72" x14ac:dyDescent="0.35">
      <c r="A271" s="232"/>
      <c r="B271" s="365" t="s">
        <v>73</v>
      </c>
      <c r="C271" s="143" t="s">
        <v>71</v>
      </c>
      <c r="D271" s="144" t="s">
        <v>36</v>
      </c>
      <c r="E271" s="144" t="s">
        <v>28</v>
      </c>
      <c r="F271" s="145" t="s">
        <v>35</v>
      </c>
      <c r="G271" s="28"/>
      <c r="H271" s="152">
        <f>H272+H274+H276+H278</f>
        <v>11531.6</v>
      </c>
    </row>
    <row r="272" spans="1:8" ht="36" x14ac:dyDescent="0.35">
      <c r="A272" s="232"/>
      <c r="B272" s="372" t="s">
        <v>346</v>
      </c>
      <c r="C272" s="143" t="s">
        <v>71</v>
      </c>
      <c r="D272" s="144" t="s">
        <v>36</v>
      </c>
      <c r="E272" s="144" t="s">
        <v>28</v>
      </c>
      <c r="F272" s="145" t="s">
        <v>74</v>
      </c>
      <c r="G272" s="28"/>
      <c r="H272" s="152">
        <f>H273</f>
        <v>1926.4</v>
      </c>
    </row>
    <row r="273" spans="1:8" ht="36" x14ac:dyDescent="0.35">
      <c r="A273" s="232"/>
      <c r="B273" s="365" t="s">
        <v>45</v>
      </c>
      <c r="C273" s="143" t="s">
        <v>71</v>
      </c>
      <c r="D273" s="144" t="s">
        <v>36</v>
      </c>
      <c r="E273" s="144" t="s">
        <v>28</v>
      </c>
      <c r="F273" s="145" t="s">
        <v>74</v>
      </c>
      <c r="G273" s="28" t="s">
        <v>46</v>
      </c>
      <c r="H273" s="152">
        <f>'прил8 (ведом 24)'!M88</f>
        <v>1926.4</v>
      </c>
    </row>
    <row r="274" spans="1:8" ht="36" x14ac:dyDescent="0.35">
      <c r="A274" s="232"/>
      <c r="B274" s="365" t="s">
        <v>75</v>
      </c>
      <c r="C274" s="143" t="s">
        <v>71</v>
      </c>
      <c r="D274" s="144" t="s">
        <v>36</v>
      </c>
      <c r="E274" s="144" t="s">
        <v>28</v>
      </c>
      <c r="F274" s="145" t="s">
        <v>76</v>
      </c>
      <c r="G274" s="28"/>
      <c r="H274" s="152">
        <f>H275</f>
        <v>67.2</v>
      </c>
    </row>
    <row r="275" spans="1:8" ht="36" x14ac:dyDescent="0.35">
      <c r="A275" s="232"/>
      <c r="B275" s="365" t="s">
        <v>45</v>
      </c>
      <c r="C275" s="143" t="s">
        <v>71</v>
      </c>
      <c r="D275" s="144" t="s">
        <v>36</v>
      </c>
      <c r="E275" s="144" t="s">
        <v>28</v>
      </c>
      <c r="F275" s="145" t="s">
        <v>76</v>
      </c>
      <c r="G275" s="28" t="s">
        <v>46</v>
      </c>
      <c r="H275" s="152">
        <f>'прил8 (ведом 24)'!M90</f>
        <v>67.2</v>
      </c>
    </row>
    <row r="276" spans="1:8" ht="126" x14ac:dyDescent="0.35">
      <c r="A276" s="232"/>
      <c r="B276" s="368" t="s">
        <v>425</v>
      </c>
      <c r="C276" s="143" t="s">
        <v>71</v>
      </c>
      <c r="D276" s="144" t="s">
        <v>36</v>
      </c>
      <c r="E276" s="144" t="s">
        <v>28</v>
      </c>
      <c r="F276" s="145" t="s">
        <v>277</v>
      </c>
      <c r="G276" s="28"/>
      <c r="H276" s="152">
        <f>H277</f>
        <v>9483.9</v>
      </c>
    </row>
    <row r="277" spans="1:8" ht="18" x14ac:dyDescent="0.35">
      <c r="A277" s="232"/>
      <c r="B277" s="365" t="s">
        <v>113</v>
      </c>
      <c r="C277" s="143" t="s">
        <v>71</v>
      </c>
      <c r="D277" s="144" t="s">
        <v>36</v>
      </c>
      <c r="E277" s="144" t="s">
        <v>28</v>
      </c>
      <c r="F277" s="145" t="s">
        <v>277</v>
      </c>
      <c r="G277" s="28" t="s">
        <v>114</v>
      </c>
      <c r="H277" s="152">
        <f>'прил8 (ведом 24)'!M92</f>
        <v>9483.9</v>
      </c>
    </row>
    <row r="278" spans="1:8" ht="72" x14ac:dyDescent="0.35">
      <c r="A278" s="232"/>
      <c r="B278" s="365" t="s">
        <v>424</v>
      </c>
      <c r="C278" s="143" t="s">
        <v>71</v>
      </c>
      <c r="D278" s="144" t="s">
        <v>36</v>
      </c>
      <c r="E278" s="144" t="s">
        <v>28</v>
      </c>
      <c r="F278" s="145" t="s">
        <v>278</v>
      </c>
      <c r="G278" s="28"/>
      <c r="H278" s="152">
        <f>H279</f>
        <v>54.1</v>
      </c>
    </row>
    <row r="279" spans="1:8" ht="18" x14ac:dyDescent="0.35">
      <c r="A279" s="232"/>
      <c r="B279" s="365" t="s">
        <v>113</v>
      </c>
      <c r="C279" s="143" t="s">
        <v>71</v>
      </c>
      <c r="D279" s="144" t="s">
        <v>36</v>
      </c>
      <c r="E279" s="144" t="s">
        <v>28</v>
      </c>
      <c r="F279" s="145" t="s">
        <v>278</v>
      </c>
      <c r="G279" s="28" t="s">
        <v>114</v>
      </c>
      <c r="H279" s="152">
        <f>'прил8 (ведом 24)'!M94</f>
        <v>54.1</v>
      </c>
    </row>
    <row r="280" spans="1:8" ht="36" x14ac:dyDescent="0.35">
      <c r="A280" s="232"/>
      <c r="B280" s="379" t="s">
        <v>115</v>
      </c>
      <c r="C280" s="143" t="s">
        <v>71</v>
      </c>
      <c r="D280" s="144" t="s">
        <v>79</v>
      </c>
      <c r="E280" s="144" t="s">
        <v>34</v>
      </c>
      <c r="F280" s="145" t="s">
        <v>35</v>
      </c>
      <c r="G280" s="166"/>
      <c r="H280" s="152">
        <f>H281+H286</f>
        <v>1827.1991199999998</v>
      </c>
    </row>
    <row r="281" spans="1:8" ht="36" x14ac:dyDescent="0.35">
      <c r="A281" s="232"/>
      <c r="B281" s="365" t="s">
        <v>228</v>
      </c>
      <c r="C281" s="143" t="s">
        <v>71</v>
      </c>
      <c r="D281" s="144" t="s">
        <v>79</v>
      </c>
      <c r="E281" s="144" t="s">
        <v>28</v>
      </c>
      <c r="F281" s="145" t="s">
        <v>35</v>
      </c>
      <c r="G281" s="28"/>
      <c r="H281" s="152">
        <f>H282+H284</f>
        <v>342.6</v>
      </c>
    </row>
    <row r="282" spans="1:8" ht="36" x14ac:dyDescent="0.35">
      <c r="A282" s="232"/>
      <c r="B282" s="365" t="s">
        <v>117</v>
      </c>
      <c r="C282" s="143" t="s">
        <v>71</v>
      </c>
      <c r="D282" s="144" t="s">
        <v>79</v>
      </c>
      <c r="E282" s="144" t="s">
        <v>28</v>
      </c>
      <c r="F282" s="145" t="s">
        <v>80</v>
      </c>
      <c r="G282" s="28"/>
      <c r="H282" s="152">
        <f>SUM(H283:H283)</f>
        <v>218.7</v>
      </c>
    </row>
    <row r="283" spans="1:8" ht="36" x14ac:dyDescent="0.35">
      <c r="A283" s="232"/>
      <c r="B283" s="365" t="s">
        <v>45</v>
      </c>
      <c r="C283" s="143" t="s">
        <v>71</v>
      </c>
      <c r="D283" s="144" t="s">
        <v>79</v>
      </c>
      <c r="E283" s="144" t="s">
        <v>28</v>
      </c>
      <c r="F283" s="145" t="s">
        <v>80</v>
      </c>
      <c r="G283" s="28" t="s">
        <v>46</v>
      </c>
      <c r="H283" s="152">
        <f>'прил8 (ведом 24)'!M100</f>
        <v>218.7</v>
      </c>
    </row>
    <row r="284" spans="1:8" ht="72" x14ac:dyDescent="0.35">
      <c r="A284" s="232"/>
      <c r="B284" s="365" t="s">
        <v>424</v>
      </c>
      <c r="C284" s="143" t="s">
        <v>71</v>
      </c>
      <c r="D284" s="144" t="s">
        <v>79</v>
      </c>
      <c r="E284" s="144" t="s">
        <v>28</v>
      </c>
      <c r="F284" s="145" t="s">
        <v>278</v>
      </c>
      <c r="G284" s="28"/>
      <c r="H284" s="152">
        <f>H285</f>
        <v>123.9</v>
      </c>
    </row>
    <row r="285" spans="1:8" ht="18" x14ac:dyDescent="0.35">
      <c r="A285" s="232"/>
      <c r="B285" s="379" t="s">
        <v>113</v>
      </c>
      <c r="C285" s="143" t="s">
        <v>71</v>
      </c>
      <c r="D285" s="144" t="s">
        <v>79</v>
      </c>
      <c r="E285" s="144" t="s">
        <v>28</v>
      </c>
      <c r="F285" s="145" t="s">
        <v>278</v>
      </c>
      <c r="G285" s="28" t="s">
        <v>114</v>
      </c>
      <c r="H285" s="152">
        <f>'прил8 (ведом 24)'!M102</f>
        <v>123.9</v>
      </c>
    </row>
    <row r="286" spans="1:8" ht="54" x14ac:dyDescent="0.35">
      <c r="A286" s="232"/>
      <c r="B286" s="380" t="s">
        <v>116</v>
      </c>
      <c r="C286" s="143" t="s">
        <v>71</v>
      </c>
      <c r="D286" s="144" t="s">
        <v>79</v>
      </c>
      <c r="E286" s="144" t="s">
        <v>30</v>
      </c>
      <c r="F286" s="145" t="s">
        <v>35</v>
      </c>
      <c r="G286" s="28"/>
      <c r="H286" s="152">
        <f>H287</f>
        <v>1484.5991199999999</v>
      </c>
    </row>
    <row r="287" spans="1:8" ht="36" x14ac:dyDescent="0.35">
      <c r="A287" s="232"/>
      <c r="B287" s="380" t="s">
        <v>117</v>
      </c>
      <c r="C287" s="143" t="s">
        <v>71</v>
      </c>
      <c r="D287" s="144" t="s">
        <v>79</v>
      </c>
      <c r="E287" s="144" t="s">
        <v>30</v>
      </c>
      <c r="F287" s="145" t="s">
        <v>80</v>
      </c>
      <c r="G287" s="28"/>
      <c r="H287" s="152">
        <f>H288</f>
        <v>1484.5991199999999</v>
      </c>
    </row>
    <row r="288" spans="1:8" ht="36" x14ac:dyDescent="0.35">
      <c r="A288" s="232"/>
      <c r="B288" s="365" t="s">
        <v>45</v>
      </c>
      <c r="C288" s="143" t="s">
        <v>71</v>
      </c>
      <c r="D288" s="144" t="s">
        <v>79</v>
      </c>
      <c r="E288" s="144" t="s">
        <v>30</v>
      </c>
      <c r="F288" s="145" t="s">
        <v>80</v>
      </c>
      <c r="G288" s="28" t="s">
        <v>46</v>
      </c>
      <c r="H288" s="152">
        <f>'прил8 (ведом 24)'!M105</f>
        <v>1484.5991199999999</v>
      </c>
    </row>
    <row r="289" spans="1:8" ht="54" x14ac:dyDescent="0.35">
      <c r="A289" s="232"/>
      <c r="B289" s="381" t="s">
        <v>308</v>
      </c>
      <c r="C289" s="143" t="s">
        <v>71</v>
      </c>
      <c r="D289" s="144" t="s">
        <v>21</v>
      </c>
      <c r="E289" s="144" t="s">
        <v>34</v>
      </c>
      <c r="F289" s="145" t="s">
        <v>35</v>
      </c>
      <c r="G289" s="28"/>
      <c r="H289" s="152">
        <f>H290</f>
        <v>11870.34001</v>
      </c>
    </row>
    <row r="290" spans="1:8" ht="65.25" customHeight="1" x14ac:dyDescent="0.35">
      <c r="A290" s="232"/>
      <c r="B290" s="380" t="s">
        <v>272</v>
      </c>
      <c r="C290" s="143" t="s">
        <v>71</v>
      </c>
      <c r="D290" s="144" t="s">
        <v>21</v>
      </c>
      <c r="E290" s="144" t="s">
        <v>28</v>
      </c>
      <c r="F290" s="145" t="s">
        <v>35</v>
      </c>
      <c r="G290" s="28"/>
      <c r="H290" s="152">
        <f>H291</f>
        <v>11870.34001</v>
      </c>
    </row>
    <row r="291" spans="1:8" ht="36" x14ac:dyDescent="0.35">
      <c r="A291" s="232"/>
      <c r="B291" s="365" t="s">
        <v>353</v>
      </c>
      <c r="C291" s="143" t="s">
        <v>71</v>
      </c>
      <c r="D291" s="144" t="s">
        <v>21</v>
      </c>
      <c r="E291" s="144" t="s">
        <v>28</v>
      </c>
      <c r="F291" s="145" t="s">
        <v>81</v>
      </c>
      <c r="G291" s="28"/>
      <c r="H291" s="152">
        <f>SUM(H292:H294)</f>
        <v>11870.34001</v>
      </c>
    </row>
    <row r="292" spans="1:8" s="241" customFormat="1" ht="90" x14ac:dyDescent="0.35">
      <c r="A292" s="232"/>
      <c r="B292" s="365" t="s">
        <v>40</v>
      </c>
      <c r="C292" s="143" t="s">
        <v>71</v>
      </c>
      <c r="D292" s="144" t="s">
        <v>21</v>
      </c>
      <c r="E292" s="144" t="s">
        <v>28</v>
      </c>
      <c r="F292" s="145" t="s">
        <v>81</v>
      </c>
      <c r="G292" s="28" t="s">
        <v>41</v>
      </c>
      <c r="H292" s="152">
        <f>'прил8 (ведом 24)'!M109</f>
        <v>9058.7999999999993</v>
      </c>
    </row>
    <row r="293" spans="1:8" ht="36" x14ac:dyDescent="0.35">
      <c r="A293" s="232"/>
      <c r="B293" s="365" t="s">
        <v>45</v>
      </c>
      <c r="C293" s="143" t="s">
        <v>71</v>
      </c>
      <c r="D293" s="144" t="s">
        <v>21</v>
      </c>
      <c r="E293" s="144" t="s">
        <v>28</v>
      </c>
      <c r="F293" s="145" t="s">
        <v>81</v>
      </c>
      <c r="G293" s="28" t="s">
        <v>46</v>
      </c>
      <c r="H293" s="152">
        <f>'прил8 (ведом 24)'!M110</f>
        <v>2808.2400100000004</v>
      </c>
    </row>
    <row r="294" spans="1:8" s="241" customFormat="1" ht="18" x14ac:dyDescent="0.35">
      <c r="A294" s="232"/>
      <c r="B294" s="365" t="s">
        <v>47</v>
      </c>
      <c r="C294" s="143" t="s">
        <v>71</v>
      </c>
      <c r="D294" s="144" t="s">
        <v>21</v>
      </c>
      <c r="E294" s="144" t="s">
        <v>28</v>
      </c>
      <c r="F294" s="145" t="s">
        <v>81</v>
      </c>
      <c r="G294" s="28" t="s">
        <v>48</v>
      </c>
      <c r="H294" s="152">
        <f>'прил8 (ведом 24)'!M111</f>
        <v>3.3</v>
      </c>
    </row>
    <row r="295" spans="1:8" s="241" customFormat="1" ht="54" x14ac:dyDescent="0.35">
      <c r="A295" s="232"/>
      <c r="B295" s="382" t="s">
        <v>364</v>
      </c>
      <c r="C295" s="498" t="s">
        <v>71</v>
      </c>
      <c r="D295" s="499" t="s">
        <v>22</v>
      </c>
      <c r="E295" s="499" t="s">
        <v>34</v>
      </c>
      <c r="F295" s="500" t="s">
        <v>35</v>
      </c>
      <c r="G295" s="10"/>
      <c r="H295" s="152">
        <f>H296</f>
        <v>28.7</v>
      </c>
    </row>
    <row r="296" spans="1:8" s="241" customFormat="1" ht="54" x14ac:dyDescent="0.35">
      <c r="A296" s="232"/>
      <c r="B296" s="383" t="s">
        <v>365</v>
      </c>
      <c r="C296" s="498" t="s">
        <v>71</v>
      </c>
      <c r="D296" s="499" t="s">
        <v>22</v>
      </c>
      <c r="E296" s="499" t="s">
        <v>28</v>
      </c>
      <c r="F296" s="500" t="s">
        <v>35</v>
      </c>
      <c r="G296" s="10"/>
      <c r="H296" s="152">
        <f>H297</f>
        <v>28.7</v>
      </c>
    </row>
    <row r="297" spans="1:8" s="241" customFormat="1" ht="36" x14ac:dyDescent="0.35">
      <c r="A297" s="232"/>
      <c r="B297" s="384" t="s">
        <v>75</v>
      </c>
      <c r="C297" s="498" t="s">
        <v>71</v>
      </c>
      <c r="D297" s="499" t="s">
        <v>22</v>
      </c>
      <c r="E297" s="499" t="s">
        <v>28</v>
      </c>
      <c r="F297" s="500" t="s">
        <v>76</v>
      </c>
      <c r="G297" s="10"/>
      <c r="H297" s="152">
        <f>H298</f>
        <v>28.7</v>
      </c>
    </row>
    <row r="298" spans="1:8" s="241" customFormat="1" ht="36" x14ac:dyDescent="0.35">
      <c r="A298" s="232"/>
      <c r="B298" s="385" t="s">
        <v>45</v>
      </c>
      <c r="C298" s="498" t="s">
        <v>71</v>
      </c>
      <c r="D298" s="499" t="s">
        <v>22</v>
      </c>
      <c r="E298" s="499" t="s">
        <v>28</v>
      </c>
      <c r="F298" s="500" t="s">
        <v>76</v>
      </c>
      <c r="G298" s="10" t="s">
        <v>46</v>
      </c>
      <c r="H298" s="152">
        <f>'прил8 (ведом 24)'!M115</f>
        <v>28.7</v>
      </c>
    </row>
    <row r="299" spans="1:8" ht="18" x14ac:dyDescent="0.35">
      <c r="A299" s="256"/>
      <c r="B299" s="367"/>
      <c r="C299" s="257"/>
      <c r="D299" s="495"/>
      <c r="E299" s="495"/>
      <c r="F299" s="496"/>
      <c r="G299" s="166"/>
      <c r="H299" s="152"/>
    </row>
    <row r="300" spans="1:8" s="241" customFormat="1" ht="52.2" x14ac:dyDescent="0.3">
      <c r="A300" s="246">
        <v>6</v>
      </c>
      <c r="B300" s="376" t="s">
        <v>187</v>
      </c>
      <c r="C300" s="238" t="s">
        <v>188</v>
      </c>
      <c r="D300" s="238" t="s">
        <v>33</v>
      </c>
      <c r="E300" s="238" t="s">
        <v>34</v>
      </c>
      <c r="F300" s="239" t="s">
        <v>35</v>
      </c>
      <c r="G300" s="240"/>
      <c r="H300" s="182">
        <f>H301</f>
        <v>45259.299999999996</v>
      </c>
    </row>
    <row r="301" spans="1:8" ht="31.5" customHeight="1" x14ac:dyDescent="0.35">
      <c r="A301" s="232"/>
      <c r="B301" s="365" t="s">
        <v>287</v>
      </c>
      <c r="C301" s="258" t="s">
        <v>188</v>
      </c>
      <c r="D301" s="259" t="s">
        <v>36</v>
      </c>
      <c r="E301" s="144" t="s">
        <v>34</v>
      </c>
      <c r="F301" s="145" t="s">
        <v>35</v>
      </c>
      <c r="G301" s="28"/>
      <c r="H301" s="152">
        <f>H302+H311+H314+H320+H317</f>
        <v>45259.299999999996</v>
      </c>
    </row>
    <row r="302" spans="1:8" ht="46.5" customHeight="1" x14ac:dyDescent="0.35">
      <c r="A302" s="232"/>
      <c r="B302" s="365" t="s">
        <v>260</v>
      </c>
      <c r="C302" s="258" t="s">
        <v>188</v>
      </c>
      <c r="D302" s="259" t="s">
        <v>36</v>
      </c>
      <c r="E302" s="144" t="s">
        <v>28</v>
      </c>
      <c r="F302" s="145" t="s">
        <v>35</v>
      </c>
      <c r="G302" s="28"/>
      <c r="H302" s="152">
        <f>H303+H309+H307</f>
        <v>31724.9</v>
      </c>
    </row>
    <row r="303" spans="1:8" ht="36" x14ac:dyDescent="0.35">
      <c r="A303" s="232"/>
      <c r="B303" s="365" t="s">
        <v>38</v>
      </c>
      <c r="C303" s="258" t="s">
        <v>188</v>
      </c>
      <c r="D303" s="259" t="s">
        <v>36</v>
      </c>
      <c r="E303" s="144" t="s">
        <v>28</v>
      </c>
      <c r="F303" s="145" t="s">
        <v>39</v>
      </c>
      <c r="G303" s="28"/>
      <c r="H303" s="152">
        <f>SUM(H304:H306)</f>
        <v>31446.600000000002</v>
      </c>
    </row>
    <row r="304" spans="1:8" ht="90" x14ac:dyDescent="0.35">
      <c r="A304" s="232"/>
      <c r="B304" s="365" t="s">
        <v>40</v>
      </c>
      <c r="C304" s="258" t="s">
        <v>188</v>
      </c>
      <c r="D304" s="259" t="s">
        <v>36</v>
      </c>
      <c r="E304" s="144" t="s">
        <v>28</v>
      </c>
      <c r="F304" s="145" t="s">
        <v>39</v>
      </c>
      <c r="G304" s="28" t="s">
        <v>41</v>
      </c>
      <c r="H304" s="152">
        <f>'прил8 (ведом 24)'!M194</f>
        <v>30863.000000000004</v>
      </c>
    </row>
    <row r="305" spans="1:8" ht="36" x14ac:dyDescent="0.35">
      <c r="A305" s="232"/>
      <c r="B305" s="365" t="s">
        <v>45</v>
      </c>
      <c r="C305" s="258" t="s">
        <v>188</v>
      </c>
      <c r="D305" s="259" t="s">
        <v>36</v>
      </c>
      <c r="E305" s="144" t="s">
        <v>28</v>
      </c>
      <c r="F305" s="145" t="s">
        <v>39</v>
      </c>
      <c r="G305" s="28" t="s">
        <v>46</v>
      </c>
      <c r="H305" s="152">
        <f>'прил8 (ведом 24)'!M195</f>
        <v>579</v>
      </c>
    </row>
    <row r="306" spans="1:8" ht="18" x14ac:dyDescent="0.35">
      <c r="A306" s="232"/>
      <c r="B306" s="365" t="s">
        <v>47</v>
      </c>
      <c r="C306" s="258" t="s">
        <v>188</v>
      </c>
      <c r="D306" s="259" t="s">
        <v>36</v>
      </c>
      <c r="E306" s="144" t="s">
        <v>28</v>
      </c>
      <c r="F306" s="145" t="s">
        <v>39</v>
      </c>
      <c r="G306" s="28" t="s">
        <v>48</v>
      </c>
      <c r="H306" s="152">
        <f>'прил8 (ведом 24)'!M196</f>
        <v>4.5999999999999996</v>
      </c>
    </row>
    <row r="307" spans="1:8" ht="36" x14ac:dyDescent="0.35">
      <c r="A307" s="232"/>
      <c r="B307" s="366" t="s">
        <v>381</v>
      </c>
      <c r="C307" s="258" t="s">
        <v>188</v>
      </c>
      <c r="D307" s="259" t="s">
        <v>36</v>
      </c>
      <c r="E307" s="144" t="s">
        <v>28</v>
      </c>
      <c r="F307" s="145" t="s">
        <v>380</v>
      </c>
      <c r="G307" s="28"/>
      <c r="H307" s="152">
        <f>H308</f>
        <v>115.6</v>
      </c>
    </row>
    <row r="308" spans="1:8" ht="36" x14ac:dyDescent="0.35">
      <c r="A308" s="232"/>
      <c r="B308" s="366" t="s">
        <v>45</v>
      </c>
      <c r="C308" s="258" t="s">
        <v>188</v>
      </c>
      <c r="D308" s="259" t="s">
        <v>36</v>
      </c>
      <c r="E308" s="144" t="s">
        <v>28</v>
      </c>
      <c r="F308" s="145" t="s">
        <v>380</v>
      </c>
      <c r="G308" s="28" t="s">
        <v>46</v>
      </c>
      <c r="H308" s="152">
        <f>'прил8 (ведом 24)'!M218</f>
        <v>115.6</v>
      </c>
    </row>
    <row r="309" spans="1:8" ht="54" x14ac:dyDescent="0.35">
      <c r="A309" s="232"/>
      <c r="B309" s="366" t="s">
        <v>317</v>
      </c>
      <c r="C309" s="258" t="s">
        <v>188</v>
      </c>
      <c r="D309" s="259" t="s">
        <v>36</v>
      </c>
      <c r="E309" s="144" t="s">
        <v>28</v>
      </c>
      <c r="F309" s="145" t="s">
        <v>316</v>
      </c>
      <c r="G309" s="28"/>
      <c r="H309" s="152">
        <f>H310</f>
        <v>162.69999999999999</v>
      </c>
    </row>
    <row r="310" spans="1:8" ht="36" x14ac:dyDescent="0.35">
      <c r="A310" s="232"/>
      <c r="B310" s="366" t="s">
        <v>45</v>
      </c>
      <c r="C310" s="258" t="s">
        <v>188</v>
      </c>
      <c r="D310" s="259" t="s">
        <v>36</v>
      </c>
      <c r="E310" s="144" t="s">
        <v>28</v>
      </c>
      <c r="F310" s="145" t="s">
        <v>316</v>
      </c>
      <c r="G310" s="28" t="s">
        <v>46</v>
      </c>
      <c r="H310" s="152">
        <f>'прил8 (ведом 24)'!M205</f>
        <v>162.69999999999999</v>
      </c>
    </row>
    <row r="311" spans="1:8" ht="18" x14ac:dyDescent="0.35">
      <c r="A311" s="232"/>
      <c r="B311" s="365" t="s">
        <v>261</v>
      </c>
      <c r="C311" s="258" t="s">
        <v>188</v>
      </c>
      <c r="D311" s="259" t="s">
        <v>36</v>
      </c>
      <c r="E311" s="144" t="s">
        <v>30</v>
      </c>
      <c r="F311" s="145" t="s">
        <v>35</v>
      </c>
      <c r="G311" s="28"/>
      <c r="H311" s="152">
        <f>H312</f>
        <v>9000</v>
      </c>
    </row>
    <row r="312" spans="1:8" ht="36" x14ac:dyDescent="0.35">
      <c r="A312" s="232"/>
      <c r="B312" s="366" t="s">
        <v>221</v>
      </c>
      <c r="C312" s="258" t="s">
        <v>188</v>
      </c>
      <c r="D312" s="259" t="s">
        <v>36</v>
      </c>
      <c r="E312" s="144" t="s">
        <v>30</v>
      </c>
      <c r="F312" s="145" t="s">
        <v>325</v>
      </c>
      <c r="G312" s="28"/>
      <c r="H312" s="152">
        <f>H313</f>
        <v>9000</v>
      </c>
    </row>
    <row r="313" spans="1:8" ht="18" x14ac:dyDescent="0.35">
      <c r="A313" s="232"/>
      <c r="B313" s="366" t="s">
        <v>113</v>
      </c>
      <c r="C313" s="258" t="s">
        <v>188</v>
      </c>
      <c r="D313" s="259" t="s">
        <v>36</v>
      </c>
      <c r="E313" s="144" t="s">
        <v>30</v>
      </c>
      <c r="F313" s="145" t="s">
        <v>325</v>
      </c>
      <c r="G313" s="28" t="s">
        <v>114</v>
      </c>
      <c r="H313" s="152">
        <f>'прил8 (ведом 24)'!M225</f>
        <v>9000</v>
      </c>
    </row>
    <row r="314" spans="1:8" ht="36" x14ac:dyDescent="0.35">
      <c r="A314" s="232"/>
      <c r="B314" s="365" t="s">
        <v>293</v>
      </c>
      <c r="C314" s="258" t="s">
        <v>188</v>
      </c>
      <c r="D314" s="259" t="s">
        <v>36</v>
      </c>
      <c r="E314" s="144" t="s">
        <v>53</v>
      </c>
      <c r="F314" s="145" t="s">
        <v>35</v>
      </c>
      <c r="G314" s="28"/>
      <c r="H314" s="152">
        <f>H315</f>
        <v>3481.7</v>
      </c>
    </row>
    <row r="315" spans="1:8" ht="54" x14ac:dyDescent="0.35">
      <c r="A315" s="232"/>
      <c r="B315" s="365" t="s">
        <v>294</v>
      </c>
      <c r="C315" s="258" t="s">
        <v>188</v>
      </c>
      <c r="D315" s="259" t="s">
        <v>36</v>
      </c>
      <c r="E315" s="144" t="s">
        <v>53</v>
      </c>
      <c r="F315" s="145" t="s">
        <v>95</v>
      </c>
      <c r="G315" s="28"/>
      <c r="H315" s="152">
        <f>H316</f>
        <v>3481.7</v>
      </c>
    </row>
    <row r="316" spans="1:8" ht="36" x14ac:dyDescent="0.35">
      <c r="A316" s="232"/>
      <c r="B316" s="365" t="s">
        <v>45</v>
      </c>
      <c r="C316" s="258" t="s">
        <v>188</v>
      </c>
      <c r="D316" s="259" t="s">
        <v>36</v>
      </c>
      <c r="E316" s="144" t="s">
        <v>53</v>
      </c>
      <c r="F316" s="145" t="s">
        <v>95</v>
      </c>
      <c r="G316" s="28" t="s">
        <v>46</v>
      </c>
      <c r="H316" s="152">
        <f>'прил8 (ведом 24)'!M208</f>
        <v>3481.7</v>
      </c>
    </row>
    <row r="317" spans="1:8" ht="54" x14ac:dyDescent="0.35">
      <c r="A317" s="232"/>
      <c r="B317" s="435" t="s">
        <v>422</v>
      </c>
      <c r="C317" s="25" t="s">
        <v>188</v>
      </c>
      <c r="D317" s="26" t="s">
        <v>36</v>
      </c>
      <c r="E317" s="499" t="s">
        <v>42</v>
      </c>
      <c r="F317" s="500" t="s">
        <v>35</v>
      </c>
      <c r="G317" s="10"/>
      <c r="H317" s="152">
        <f>H318</f>
        <v>1035.0999999999999</v>
      </c>
    </row>
    <row r="318" spans="1:8" ht="36" x14ac:dyDescent="0.35">
      <c r="A318" s="232"/>
      <c r="B318" s="435" t="s">
        <v>421</v>
      </c>
      <c r="C318" s="25" t="s">
        <v>188</v>
      </c>
      <c r="D318" s="26" t="s">
        <v>36</v>
      </c>
      <c r="E318" s="499" t="s">
        <v>42</v>
      </c>
      <c r="F318" s="500" t="s">
        <v>423</v>
      </c>
      <c r="G318" s="10"/>
      <c r="H318" s="152">
        <f>H319</f>
        <v>1035.0999999999999</v>
      </c>
    </row>
    <row r="319" spans="1:8" ht="90" x14ac:dyDescent="0.35">
      <c r="A319" s="232"/>
      <c r="B319" s="435" t="s">
        <v>40</v>
      </c>
      <c r="C319" s="25" t="s">
        <v>188</v>
      </c>
      <c r="D319" s="26" t="s">
        <v>36</v>
      </c>
      <c r="E319" s="499" t="s">
        <v>42</v>
      </c>
      <c r="F319" s="500" t="s">
        <v>423</v>
      </c>
      <c r="G319" s="10" t="s">
        <v>41</v>
      </c>
      <c r="H319" s="152">
        <f>'прил8 (ведом 24)'!M199</f>
        <v>1035.0999999999999</v>
      </c>
    </row>
    <row r="320" spans="1:8" ht="36" x14ac:dyDescent="0.35">
      <c r="A320" s="232"/>
      <c r="B320" s="366" t="s">
        <v>357</v>
      </c>
      <c r="C320" s="258" t="s">
        <v>188</v>
      </c>
      <c r="D320" s="259" t="s">
        <v>36</v>
      </c>
      <c r="E320" s="144" t="s">
        <v>55</v>
      </c>
      <c r="F320" s="145" t="s">
        <v>35</v>
      </c>
      <c r="G320" s="28"/>
      <c r="H320" s="152">
        <f>H321</f>
        <v>17.600000000000001</v>
      </c>
    </row>
    <row r="321" spans="1:8" ht="18" x14ac:dyDescent="0.35">
      <c r="A321" s="232"/>
      <c r="B321" s="366" t="s">
        <v>355</v>
      </c>
      <c r="C321" s="258" t="s">
        <v>188</v>
      </c>
      <c r="D321" s="259" t="s">
        <v>36</v>
      </c>
      <c r="E321" s="144" t="s">
        <v>55</v>
      </c>
      <c r="F321" s="145" t="s">
        <v>356</v>
      </c>
      <c r="G321" s="28"/>
      <c r="H321" s="152">
        <f>H322</f>
        <v>17.600000000000001</v>
      </c>
    </row>
    <row r="322" spans="1:8" ht="36" x14ac:dyDescent="0.35">
      <c r="A322" s="232"/>
      <c r="B322" s="366" t="s">
        <v>45</v>
      </c>
      <c r="C322" s="258" t="s">
        <v>188</v>
      </c>
      <c r="D322" s="259" t="s">
        <v>36</v>
      </c>
      <c r="E322" s="144" t="s">
        <v>55</v>
      </c>
      <c r="F322" s="145" t="s">
        <v>356</v>
      </c>
      <c r="G322" s="28" t="s">
        <v>46</v>
      </c>
      <c r="H322" s="152">
        <f>'прил8 (ведом 24)'!M211</f>
        <v>17.600000000000001</v>
      </c>
    </row>
    <row r="323" spans="1:8" ht="18" x14ac:dyDescent="0.35">
      <c r="A323" s="232"/>
      <c r="B323" s="365"/>
      <c r="C323" s="259"/>
      <c r="D323" s="259"/>
      <c r="E323" s="259"/>
      <c r="F323" s="260"/>
      <c r="G323" s="28"/>
      <c r="H323" s="152"/>
    </row>
    <row r="324" spans="1:8" s="241" customFormat="1" ht="52.2" x14ac:dyDescent="0.3">
      <c r="A324" s="237">
        <v>7</v>
      </c>
      <c r="B324" s="386" t="s">
        <v>189</v>
      </c>
      <c r="C324" s="261" t="s">
        <v>190</v>
      </c>
      <c r="D324" s="247" t="s">
        <v>33</v>
      </c>
      <c r="E324" s="247" t="s">
        <v>34</v>
      </c>
      <c r="F324" s="248" t="s">
        <v>35</v>
      </c>
      <c r="G324" s="262"/>
      <c r="H324" s="182">
        <f>H325+H334+H354</f>
        <v>38798.967999999993</v>
      </c>
    </row>
    <row r="325" spans="1:8" ht="36" x14ac:dyDescent="0.35">
      <c r="A325" s="256"/>
      <c r="B325" s="387" t="s">
        <v>191</v>
      </c>
      <c r="C325" s="289" t="s">
        <v>190</v>
      </c>
      <c r="D325" s="270" t="s">
        <v>36</v>
      </c>
      <c r="E325" s="270" t="s">
        <v>34</v>
      </c>
      <c r="F325" s="271" t="s">
        <v>35</v>
      </c>
      <c r="G325" s="488"/>
      <c r="H325" s="152">
        <f>H326+H331</f>
        <v>5959.6679999999997</v>
      </c>
    </row>
    <row r="326" spans="1:8" ht="72" x14ac:dyDescent="0.35">
      <c r="A326" s="256"/>
      <c r="B326" s="387" t="s">
        <v>254</v>
      </c>
      <c r="C326" s="279" t="s">
        <v>190</v>
      </c>
      <c r="D326" s="257" t="s">
        <v>36</v>
      </c>
      <c r="E326" s="257" t="s">
        <v>28</v>
      </c>
      <c r="F326" s="267" t="s">
        <v>35</v>
      </c>
      <c r="G326" s="268"/>
      <c r="H326" s="152">
        <f>H327+H329</f>
        <v>1992.5</v>
      </c>
    </row>
    <row r="327" spans="1:8" ht="54" x14ac:dyDescent="0.35">
      <c r="A327" s="256"/>
      <c r="B327" s="387" t="s">
        <v>192</v>
      </c>
      <c r="C327" s="279" t="s">
        <v>190</v>
      </c>
      <c r="D327" s="257" t="s">
        <v>36</v>
      </c>
      <c r="E327" s="257" t="s">
        <v>28</v>
      </c>
      <c r="F327" s="267" t="s">
        <v>255</v>
      </c>
      <c r="G327" s="268"/>
      <c r="H327" s="152">
        <f>H328</f>
        <v>800.7</v>
      </c>
    </row>
    <row r="328" spans="1:8" ht="36" x14ac:dyDescent="0.35">
      <c r="A328" s="256"/>
      <c r="B328" s="365" t="s">
        <v>45</v>
      </c>
      <c r="C328" s="279" t="s">
        <v>190</v>
      </c>
      <c r="D328" s="257" t="s">
        <v>36</v>
      </c>
      <c r="E328" s="257" t="s">
        <v>28</v>
      </c>
      <c r="F328" s="267" t="s">
        <v>255</v>
      </c>
      <c r="G328" s="268" t="s">
        <v>46</v>
      </c>
      <c r="H328" s="152">
        <f>'прил8 (ведом 24)'!M252</f>
        <v>800.7</v>
      </c>
    </row>
    <row r="329" spans="1:8" ht="25.5" customHeight="1" x14ac:dyDescent="0.35">
      <c r="A329" s="256"/>
      <c r="B329" s="388" t="s">
        <v>310</v>
      </c>
      <c r="C329" s="249" t="s">
        <v>190</v>
      </c>
      <c r="D329" s="257" t="s">
        <v>36</v>
      </c>
      <c r="E329" s="257" t="s">
        <v>28</v>
      </c>
      <c r="F329" s="267" t="s">
        <v>309</v>
      </c>
      <c r="G329" s="268"/>
      <c r="H329" s="152">
        <f>H330</f>
        <v>1191.8</v>
      </c>
    </row>
    <row r="330" spans="1:8" ht="36" x14ac:dyDescent="0.35">
      <c r="A330" s="256"/>
      <c r="B330" s="366" t="s">
        <v>45</v>
      </c>
      <c r="C330" s="249" t="s">
        <v>190</v>
      </c>
      <c r="D330" s="257" t="s">
        <v>36</v>
      </c>
      <c r="E330" s="257" t="s">
        <v>28</v>
      </c>
      <c r="F330" s="267" t="s">
        <v>309</v>
      </c>
      <c r="G330" s="268" t="s">
        <v>46</v>
      </c>
      <c r="H330" s="152">
        <f>'прил8 (ведом 24)'!M296</f>
        <v>1191.8</v>
      </c>
    </row>
    <row r="331" spans="1:8" ht="36" x14ac:dyDescent="0.35">
      <c r="A331" s="256"/>
      <c r="B331" s="365" t="s">
        <v>286</v>
      </c>
      <c r="C331" s="279" t="s">
        <v>190</v>
      </c>
      <c r="D331" s="257" t="s">
        <v>36</v>
      </c>
      <c r="E331" s="257" t="s">
        <v>30</v>
      </c>
      <c r="F331" s="267" t="s">
        <v>35</v>
      </c>
      <c r="G331" s="268"/>
      <c r="H331" s="152">
        <f>H332</f>
        <v>3967.1680000000001</v>
      </c>
    </row>
    <row r="332" spans="1:8" ht="36" x14ac:dyDescent="0.35">
      <c r="A332" s="256"/>
      <c r="B332" s="365" t="s">
        <v>285</v>
      </c>
      <c r="C332" s="279" t="s">
        <v>190</v>
      </c>
      <c r="D332" s="257" t="s">
        <v>36</v>
      </c>
      <c r="E332" s="257" t="s">
        <v>30</v>
      </c>
      <c r="F332" s="267" t="s">
        <v>284</v>
      </c>
      <c r="G332" s="268"/>
      <c r="H332" s="152">
        <f>SUM(H333:H333)</f>
        <v>3967.1680000000001</v>
      </c>
    </row>
    <row r="333" spans="1:8" ht="36" x14ac:dyDescent="0.35">
      <c r="A333" s="256"/>
      <c r="B333" s="365" t="s">
        <v>45</v>
      </c>
      <c r="C333" s="279" t="s">
        <v>190</v>
      </c>
      <c r="D333" s="257" t="s">
        <v>36</v>
      </c>
      <c r="E333" s="257" t="s">
        <v>30</v>
      </c>
      <c r="F333" s="267" t="s">
        <v>284</v>
      </c>
      <c r="G333" s="268" t="s">
        <v>46</v>
      </c>
      <c r="H333" s="152">
        <f>'прил8 (ведом 24)'!M255</f>
        <v>3967.1680000000001</v>
      </c>
    </row>
    <row r="334" spans="1:8" ht="36" x14ac:dyDescent="0.35">
      <c r="A334" s="256"/>
      <c r="B334" s="387" t="s">
        <v>193</v>
      </c>
      <c r="C334" s="249" t="s">
        <v>190</v>
      </c>
      <c r="D334" s="257" t="s">
        <v>79</v>
      </c>
      <c r="E334" s="257" t="s">
        <v>34</v>
      </c>
      <c r="F334" s="267" t="s">
        <v>35</v>
      </c>
      <c r="G334" s="268"/>
      <c r="H334" s="152">
        <f>H335+H348+H351</f>
        <v>31306.699999999997</v>
      </c>
    </row>
    <row r="335" spans="1:8" ht="72" x14ac:dyDescent="0.35">
      <c r="A335" s="256"/>
      <c r="B335" s="387" t="s">
        <v>258</v>
      </c>
      <c r="C335" s="249" t="s">
        <v>190</v>
      </c>
      <c r="D335" s="257" t="s">
        <v>79</v>
      </c>
      <c r="E335" s="257" t="s">
        <v>28</v>
      </c>
      <c r="F335" s="267" t="s">
        <v>35</v>
      </c>
      <c r="G335" s="268"/>
      <c r="H335" s="152">
        <f>H336+H340+H344+H346</f>
        <v>30444</v>
      </c>
    </row>
    <row r="336" spans="1:8" ht="36" x14ac:dyDescent="0.35">
      <c r="A336" s="256"/>
      <c r="B336" s="387" t="s">
        <v>38</v>
      </c>
      <c r="C336" s="249" t="s">
        <v>190</v>
      </c>
      <c r="D336" s="257" t="s">
        <v>79</v>
      </c>
      <c r="E336" s="257" t="s">
        <v>28</v>
      </c>
      <c r="F336" s="267" t="s">
        <v>39</v>
      </c>
      <c r="G336" s="268"/>
      <c r="H336" s="152">
        <f>SUM(H337:H339)</f>
        <v>16442.5</v>
      </c>
    </row>
    <row r="337" spans="1:8" ht="90" x14ac:dyDescent="0.35">
      <c r="A337" s="256"/>
      <c r="B337" s="387" t="s">
        <v>40</v>
      </c>
      <c r="C337" s="249" t="s">
        <v>190</v>
      </c>
      <c r="D337" s="257" t="s">
        <v>79</v>
      </c>
      <c r="E337" s="257" t="s">
        <v>28</v>
      </c>
      <c r="F337" s="267" t="s">
        <v>39</v>
      </c>
      <c r="G337" s="268" t="s">
        <v>41</v>
      </c>
      <c r="H337" s="152">
        <f>'прил8 (ведом 24)'!M259</f>
        <v>16094.9</v>
      </c>
    </row>
    <row r="338" spans="1:8" ht="36" x14ac:dyDescent="0.35">
      <c r="A338" s="256"/>
      <c r="B338" s="365" t="s">
        <v>45</v>
      </c>
      <c r="C338" s="249" t="s">
        <v>190</v>
      </c>
      <c r="D338" s="257" t="s">
        <v>79</v>
      </c>
      <c r="E338" s="257" t="s">
        <v>28</v>
      </c>
      <c r="F338" s="267" t="s">
        <v>39</v>
      </c>
      <c r="G338" s="268" t="s">
        <v>46</v>
      </c>
      <c r="H338" s="152">
        <f>'прил8 (ведом 24)'!M260</f>
        <v>346.1</v>
      </c>
    </row>
    <row r="339" spans="1:8" ht="18" x14ac:dyDescent="0.35">
      <c r="A339" s="256"/>
      <c r="B339" s="387" t="s">
        <v>47</v>
      </c>
      <c r="C339" s="249" t="s">
        <v>190</v>
      </c>
      <c r="D339" s="257" t="s">
        <v>79</v>
      </c>
      <c r="E339" s="257" t="s">
        <v>28</v>
      </c>
      <c r="F339" s="267" t="s">
        <v>39</v>
      </c>
      <c r="G339" s="268" t="s">
        <v>48</v>
      </c>
      <c r="H339" s="152">
        <f>'прил8 (ведом 24)'!M261</f>
        <v>1.5</v>
      </c>
    </row>
    <row r="340" spans="1:8" ht="36" x14ac:dyDescent="0.35">
      <c r="A340" s="256"/>
      <c r="B340" s="365" t="s">
        <v>353</v>
      </c>
      <c r="C340" s="249" t="s">
        <v>190</v>
      </c>
      <c r="D340" s="257" t="s">
        <v>79</v>
      </c>
      <c r="E340" s="257" t="s">
        <v>28</v>
      </c>
      <c r="F340" s="267" t="s">
        <v>81</v>
      </c>
      <c r="G340" s="268"/>
      <c r="H340" s="152">
        <f>SUM(H341:H343)</f>
        <v>13567.4</v>
      </c>
    </row>
    <row r="341" spans="1:8" ht="90" x14ac:dyDescent="0.35">
      <c r="A341" s="256"/>
      <c r="B341" s="387" t="s">
        <v>40</v>
      </c>
      <c r="C341" s="249" t="s">
        <v>190</v>
      </c>
      <c r="D341" s="257" t="s">
        <v>79</v>
      </c>
      <c r="E341" s="257" t="s">
        <v>28</v>
      </c>
      <c r="F341" s="267" t="s">
        <v>81</v>
      </c>
      <c r="G341" s="268" t="s">
        <v>41</v>
      </c>
      <c r="H341" s="152">
        <f>'прил8 (ведом 24)'!M263</f>
        <v>12658.5</v>
      </c>
    </row>
    <row r="342" spans="1:8" ht="36" x14ac:dyDescent="0.35">
      <c r="A342" s="256"/>
      <c r="B342" s="365" t="s">
        <v>45</v>
      </c>
      <c r="C342" s="269" t="s">
        <v>190</v>
      </c>
      <c r="D342" s="270" t="s">
        <v>79</v>
      </c>
      <c r="E342" s="270" t="s">
        <v>28</v>
      </c>
      <c r="F342" s="271" t="s">
        <v>81</v>
      </c>
      <c r="G342" s="268" t="s">
        <v>46</v>
      </c>
      <c r="H342" s="152">
        <f>'прил8 (ведом 24)'!M264</f>
        <v>886.4</v>
      </c>
    </row>
    <row r="343" spans="1:8" ht="18" x14ac:dyDescent="0.35">
      <c r="A343" s="256"/>
      <c r="B343" s="387" t="s">
        <v>47</v>
      </c>
      <c r="C343" s="249" t="s">
        <v>190</v>
      </c>
      <c r="D343" s="257" t="s">
        <v>79</v>
      </c>
      <c r="E343" s="257" t="s">
        <v>28</v>
      </c>
      <c r="F343" s="267" t="s">
        <v>81</v>
      </c>
      <c r="G343" s="268" t="s">
        <v>48</v>
      </c>
      <c r="H343" s="152">
        <f>'прил8 (ведом 24)'!M265</f>
        <v>22.5</v>
      </c>
    </row>
    <row r="344" spans="1:8" ht="36" x14ac:dyDescent="0.35">
      <c r="A344" s="256"/>
      <c r="B344" s="366" t="s">
        <v>381</v>
      </c>
      <c r="C344" s="272" t="s">
        <v>190</v>
      </c>
      <c r="D344" s="243" t="s">
        <v>79</v>
      </c>
      <c r="E344" s="243" t="s">
        <v>28</v>
      </c>
      <c r="F344" s="266" t="s">
        <v>380</v>
      </c>
      <c r="G344" s="245"/>
      <c r="H344" s="152">
        <f>H345</f>
        <v>32.799999999999997</v>
      </c>
    </row>
    <row r="345" spans="1:8" ht="36" x14ac:dyDescent="0.35">
      <c r="A345" s="256"/>
      <c r="B345" s="366" t="s">
        <v>45</v>
      </c>
      <c r="C345" s="272" t="s">
        <v>190</v>
      </c>
      <c r="D345" s="243" t="s">
        <v>79</v>
      </c>
      <c r="E345" s="243" t="s">
        <v>28</v>
      </c>
      <c r="F345" s="266" t="s">
        <v>380</v>
      </c>
      <c r="G345" s="245" t="s">
        <v>46</v>
      </c>
      <c r="H345" s="152">
        <f>'прил8 (ведом 24)'!M320</f>
        <v>32.799999999999997</v>
      </c>
    </row>
    <row r="346" spans="1:8" ht="54" x14ac:dyDescent="0.35">
      <c r="A346" s="256"/>
      <c r="B346" s="366" t="s">
        <v>296</v>
      </c>
      <c r="C346" s="249" t="s">
        <v>190</v>
      </c>
      <c r="D346" s="257" t="s">
        <v>79</v>
      </c>
      <c r="E346" s="257" t="s">
        <v>28</v>
      </c>
      <c r="F346" s="267" t="s">
        <v>295</v>
      </c>
      <c r="G346" s="268"/>
      <c r="H346" s="152">
        <f>H347</f>
        <v>401.3</v>
      </c>
    </row>
    <row r="347" spans="1:8" ht="36" x14ac:dyDescent="0.35">
      <c r="A347" s="256"/>
      <c r="B347" s="366" t="s">
        <v>45</v>
      </c>
      <c r="C347" s="249" t="s">
        <v>190</v>
      </c>
      <c r="D347" s="257" t="s">
        <v>79</v>
      </c>
      <c r="E347" s="257" t="s">
        <v>28</v>
      </c>
      <c r="F347" s="267" t="s">
        <v>295</v>
      </c>
      <c r="G347" s="268" t="s">
        <v>46</v>
      </c>
      <c r="H347" s="152">
        <f>'прил8 (ведом 24)'!M267</f>
        <v>401.3</v>
      </c>
    </row>
    <row r="348" spans="1:8" ht="36" x14ac:dyDescent="0.35">
      <c r="A348" s="256"/>
      <c r="B348" s="389" t="s">
        <v>293</v>
      </c>
      <c r="C348" s="290" t="s">
        <v>190</v>
      </c>
      <c r="D348" s="291" t="s">
        <v>79</v>
      </c>
      <c r="E348" s="291" t="s">
        <v>30</v>
      </c>
      <c r="F348" s="292" t="s">
        <v>35</v>
      </c>
      <c r="G348" s="275"/>
      <c r="H348" s="293">
        <f>H349</f>
        <v>852.1</v>
      </c>
    </row>
    <row r="349" spans="1:8" ht="54" x14ac:dyDescent="0.35">
      <c r="A349" s="256"/>
      <c r="B349" s="390" t="s">
        <v>294</v>
      </c>
      <c r="C349" s="272" t="s">
        <v>190</v>
      </c>
      <c r="D349" s="273" t="s">
        <v>79</v>
      </c>
      <c r="E349" s="273" t="s">
        <v>30</v>
      </c>
      <c r="F349" s="274" t="s">
        <v>95</v>
      </c>
      <c r="G349" s="276"/>
      <c r="H349" s="152">
        <f>H350</f>
        <v>852.1</v>
      </c>
    </row>
    <row r="350" spans="1:8" ht="36" x14ac:dyDescent="0.35">
      <c r="A350" s="256"/>
      <c r="B350" s="391" t="s">
        <v>45</v>
      </c>
      <c r="C350" s="294" t="s">
        <v>190</v>
      </c>
      <c r="D350" s="273" t="s">
        <v>79</v>
      </c>
      <c r="E350" s="273" t="s">
        <v>30</v>
      </c>
      <c r="F350" s="274" t="s">
        <v>95</v>
      </c>
      <c r="G350" s="276" t="s">
        <v>46</v>
      </c>
      <c r="H350" s="152">
        <f>'прил8 (ведом 24)'!M270</f>
        <v>852.1</v>
      </c>
    </row>
    <row r="351" spans="1:8" ht="18" x14ac:dyDescent="0.35">
      <c r="A351" s="256"/>
      <c r="B351" s="387" t="s">
        <v>312</v>
      </c>
      <c r="C351" s="278" t="s">
        <v>190</v>
      </c>
      <c r="D351" s="277" t="s">
        <v>79</v>
      </c>
      <c r="E351" s="295" t="s">
        <v>53</v>
      </c>
      <c r="F351" s="296" t="s">
        <v>35</v>
      </c>
      <c r="G351" s="297"/>
      <c r="H351" s="152">
        <f>H352</f>
        <v>10.6</v>
      </c>
    </row>
    <row r="352" spans="1:8" ht="36" x14ac:dyDescent="0.35">
      <c r="A352" s="256"/>
      <c r="B352" s="387" t="s">
        <v>285</v>
      </c>
      <c r="C352" s="278" t="s">
        <v>190</v>
      </c>
      <c r="D352" s="277" t="s">
        <v>79</v>
      </c>
      <c r="E352" s="298" t="s">
        <v>53</v>
      </c>
      <c r="F352" s="299" t="s">
        <v>284</v>
      </c>
      <c r="G352" s="297"/>
      <c r="H352" s="152">
        <f>H353</f>
        <v>10.6</v>
      </c>
    </row>
    <row r="353" spans="1:8" ht="18" x14ac:dyDescent="0.35">
      <c r="A353" s="256"/>
      <c r="B353" s="388" t="s">
        <v>47</v>
      </c>
      <c r="C353" s="249" t="s">
        <v>190</v>
      </c>
      <c r="D353" s="295" t="s">
        <v>79</v>
      </c>
      <c r="E353" s="295" t="s">
        <v>53</v>
      </c>
      <c r="F353" s="296" t="s">
        <v>284</v>
      </c>
      <c r="G353" s="297" t="s">
        <v>48</v>
      </c>
      <c r="H353" s="152">
        <f>'прил8 (ведом 24)'!M273</f>
        <v>10.6</v>
      </c>
    </row>
    <row r="354" spans="1:8" ht="18" x14ac:dyDescent="0.35">
      <c r="A354" s="256"/>
      <c r="B354" s="392" t="s">
        <v>287</v>
      </c>
      <c r="C354" s="272" t="s">
        <v>190</v>
      </c>
      <c r="D354" s="273" t="s">
        <v>21</v>
      </c>
      <c r="E354" s="273" t="s">
        <v>34</v>
      </c>
      <c r="F354" s="274" t="s">
        <v>35</v>
      </c>
      <c r="G354" s="297"/>
      <c r="H354" s="152">
        <f>H355</f>
        <v>1532.6000000000001</v>
      </c>
    </row>
    <row r="355" spans="1:8" ht="18" x14ac:dyDescent="0.35">
      <c r="A355" s="256"/>
      <c r="B355" s="392" t="s">
        <v>312</v>
      </c>
      <c r="C355" s="272" t="s">
        <v>190</v>
      </c>
      <c r="D355" s="273" t="s">
        <v>21</v>
      </c>
      <c r="E355" s="273" t="s">
        <v>190</v>
      </c>
      <c r="F355" s="274" t="s">
        <v>35</v>
      </c>
      <c r="G355" s="297"/>
      <c r="H355" s="152">
        <f>H356</f>
        <v>1532.6000000000001</v>
      </c>
    </row>
    <row r="356" spans="1:8" ht="36" x14ac:dyDescent="0.35">
      <c r="A356" s="256"/>
      <c r="B356" s="393" t="s">
        <v>285</v>
      </c>
      <c r="C356" s="272" t="s">
        <v>190</v>
      </c>
      <c r="D356" s="273" t="s">
        <v>21</v>
      </c>
      <c r="E356" s="273" t="s">
        <v>190</v>
      </c>
      <c r="F356" s="274" t="s">
        <v>284</v>
      </c>
      <c r="G356" s="297"/>
      <c r="H356" s="152">
        <f>H358+H357</f>
        <v>1532.6000000000001</v>
      </c>
    </row>
    <row r="357" spans="1:8" ht="36" x14ac:dyDescent="0.35">
      <c r="A357" s="256"/>
      <c r="B357" s="415" t="s">
        <v>45</v>
      </c>
      <c r="C357" s="272" t="s">
        <v>190</v>
      </c>
      <c r="D357" s="273" t="s">
        <v>21</v>
      </c>
      <c r="E357" s="273" t="s">
        <v>190</v>
      </c>
      <c r="F357" s="274" t="s">
        <v>284</v>
      </c>
      <c r="G357" s="297" t="s">
        <v>46</v>
      </c>
      <c r="H357" s="152">
        <f>'прил8 (ведом 24)'!M277+'прил8 (ведом 24)'!M300</f>
        <v>1451.7</v>
      </c>
    </row>
    <row r="358" spans="1:8" ht="18" x14ac:dyDescent="0.35">
      <c r="A358" s="256"/>
      <c r="B358" s="394" t="s">
        <v>47</v>
      </c>
      <c r="C358" s="272" t="s">
        <v>190</v>
      </c>
      <c r="D358" s="273" t="s">
        <v>21</v>
      </c>
      <c r="E358" s="273" t="s">
        <v>190</v>
      </c>
      <c r="F358" s="274" t="s">
        <v>284</v>
      </c>
      <c r="G358" s="297" t="s">
        <v>48</v>
      </c>
      <c r="H358" s="152">
        <f>'прил8 (ведом 24)'!M278</f>
        <v>80.900000000000006</v>
      </c>
    </row>
    <row r="359" spans="1:8" ht="18" x14ac:dyDescent="0.35">
      <c r="A359" s="256"/>
      <c r="B359" s="371"/>
      <c r="C359" s="257"/>
      <c r="D359" s="495"/>
      <c r="E359" s="495"/>
      <c r="F359" s="496"/>
      <c r="G359" s="166"/>
      <c r="H359" s="152"/>
    </row>
    <row r="360" spans="1:8" s="241" customFormat="1" ht="52.2" x14ac:dyDescent="0.3">
      <c r="A360" s="246">
        <v>8</v>
      </c>
      <c r="B360" s="386" t="s">
        <v>252</v>
      </c>
      <c r="C360" s="247" t="s">
        <v>69</v>
      </c>
      <c r="D360" s="247" t="s">
        <v>33</v>
      </c>
      <c r="E360" s="247" t="s">
        <v>34</v>
      </c>
      <c r="F360" s="248" t="s">
        <v>35</v>
      </c>
      <c r="G360" s="240"/>
      <c r="H360" s="182">
        <f>H361</f>
        <v>137289.9</v>
      </c>
    </row>
    <row r="361" spans="1:8" ht="18" x14ac:dyDescent="0.35">
      <c r="A361" s="232"/>
      <c r="B361" s="365" t="s">
        <v>287</v>
      </c>
      <c r="C361" s="279" t="s">
        <v>69</v>
      </c>
      <c r="D361" s="257" t="s">
        <v>36</v>
      </c>
      <c r="E361" s="257" t="s">
        <v>34</v>
      </c>
      <c r="F361" s="145" t="s">
        <v>35</v>
      </c>
      <c r="G361" s="166"/>
      <c r="H361" s="152">
        <f>H362+H375+H381+H391</f>
        <v>137289.9</v>
      </c>
    </row>
    <row r="362" spans="1:8" ht="36" x14ac:dyDescent="0.35">
      <c r="A362" s="232"/>
      <c r="B362" s="365" t="s">
        <v>242</v>
      </c>
      <c r="C362" s="143" t="s">
        <v>69</v>
      </c>
      <c r="D362" s="144" t="s">
        <v>36</v>
      </c>
      <c r="E362" s="144" t="s">
        <v>28</v>
      </c>
      <c r="F362" s="145" t="s">
        <v>35</v>
      </c>
      <c r="G362" s="166"/>
      <c r="H362" s="152">
        <f>H363+H366+H369+H372</f>
        <v>64549.899999999994</v>
      </c>
    </row>
    <row r="363" spans="1:8" ht="126" x14ac:dyDescent="0.35">
      <c r="A363" s="232"/>
      <c r="B363" s="395" t="s">
        <v>299</v>
      </c>
      <c r="C363" s="143" t="s">
        <v>69</v>
      </c>
      <c r="D363" s="144" t="s">
        <v>36</v>
      </c>
      <c r="E363" s="144" t="s">
        <v>28</v>
      </c>
      <c r="F363" s="145" t="s">
        <v>385</v>
      </c>
      <c r="G363" s="28"/>
      <c r="H363" s="152">
        <f>SUM(H364:H365)</f>
        <v>37320.199999999997</v>
      </c>
    </row>
    <row r="364" spans="1:8" ht="36" x14ac:dyDescent="0.35">
      <c r="A364" s="232"/>
      <c r="B364" s="396" t="s">
        <v>45</v>
      </c>
      <c r="C364" s="143" t="s">
        <v>69</v>
      </c>
      <c r="D364" s="144" t="s">
        <v>36</v>
      </c>
      <c r="E364" s="144" t="s">
        <v>28</v>
      </c>
      <c r="F364" s="145" t="s">
        <v>385</v>
      </c>
      <c r="G364" s="28" t="s">
        <v>46</v>
      </c>
      <c r="H364" s="152">
        <f>'прил8 (ведом 24)'!M683</f>
        <v>185.7</v>
      </c>
    </row>
    <row r="365" spans="1:8" ht="18" x14ac:dyDescent="0.35">
      <c r="A365" s="232"/>
      <c r="B365" s="365" t="s">
        <v>110</v>
      </c>
      <c r="C365" s="143" t="s">
        <v>69</v>
      </c>
      <c r="D365" s="144" t="s">
        <v>36</v>
      </c>
      <c r="E365" s="144" t="s">
        <v>28</v>
      </c>
      <c r="F365" s="145" t="s">
        <v>385</v>
      </c>
      <c r="G365" s="28" t="s">
        <v>111</v>
      </c>
      <c r="H365" s="152">
        <f>'прил8 (ведом 24)'!M684</f>
        <v>37134.5</v>
      </c>
    </row>
    <row r="366" spans="1:8" ht="90" x14ac:dyDescent="0.35">
      <c r="A366" s="232"/>
      <c r="B366" s="365" t="s">
        <v>301</v>
      </c>
      <c r="C366" s="143" t="s">
        <v>69</v>
      </c>
      <c r="D366" s="144" t="s">
        <v>36</v>
      </c>
      <c r="E366" s="144" t="s">
        <v>28</v>
      </c>
      <c r="F366" s="145" t="s">
        <v>387</v>
      </c>
      <c r="G366" s="28"/>
      <c r="H366" s="152">
        <f>SUM(H367:H368)</f>
        <v>188.70000000000002</v>
      </c>
    </row>
    <row r="367" spans="1:8" ht="36" x14ac:dyDescent="0.35">
      <c r="A367" s="232"/>
      <c r="B367" s="365" t="s">
        <v>45</v>
      </c>
      <c r="C367" s="143" t="s">
        <v>69</v>
      </c>
      <c r="D367" s="144" t="s">
        <v>36</v>
      </c>
      <c r="E367" s="144" t="s">
        <v>28</v>
      </c>
      <c r="F367" s="145" t="s">
        <v>387</v>
      </c>
      <c r="G367" s="28" t="s">
        <v>46</v>
      </c>
      <c r="H367" s="152">
        <f>'прил8 (ведом 24)'!M686</f>
        <v>0.9</v>
      </c>
    </row>
    <row r="368" spans="1:8" ht="18" x14ac:dyDescent="0.35">
      <c r="A368" s="232"/>
      <c r="B368" s="365" t="s">
        <v>110</v>
      </c>
      <c r="C368" s="143" t="s">
        <v>69</v>
      </c>
      <c r="D368" s="144" t="s">
        <v>36</v>
      </c>
      <c r="E368" s="144" t="s">
        <v>28</v>
      </c>
      <c r="F368" s="145" t="s">
        <v>387</v>
      </c>
      <c r="G368" s="28" t="s">
        <v>111</v>
      </c>
      <c r="H368" s="152">
        <f>'прил8 (ведом 24)'!M687</f>
        <v>187.8</v>
      </c>
    </row>
    <row r="369" spans="1:8" ht="90" x14ac:dyDescent="0.35">
      <c r="A369" s="232"/>
      <c r="B369" s="365" t="s">
        <v>300</v>
      </c>
      <c r="C369" s="143" t="s">
        <v>69</v>
      </c>
      <c r="D369" s="144" t="s">
        <v>36</v>
      </c>
      <c r="E369" s="144" t="s">
        <v>28</v>
      </c>
      <c r="F369" s="145" t="s">
        <v>386</v>
      </c>
      <c r="G369" s="28"/>
      <c r="H369" s="152">
        <f>SUM(H370:H371)</f>
        <v>26856.5</v>
      </c>
    </row>
    <row r="370" spans="1:8" ht="36" x14ac:dyDescent="0.35">
      <c r="A370" s="232"/>
      <c r="B370" s="396" t="s">
        <v>45</v>
      </c>
      <c r="C370" s="143" t="s">
        <v>69</v>
      </c>
      <c r="D370" s="144" t="s">
        <v>36</v>
      </c>
      <c r="E370" s="144" t="s">
        <v>28</v>
      </c>
      <c r="F370" s="145" t="s">
        <v>386</v>
      </c>
      <c r="G370" s="28" t="s">
        <v>46</v>
      </c>
      <c r="H370" s="152">
        <f>'прил8 (ведом 24)'!M689</f>
        <v>134.30000000000001</v>
      </c>
    </row>
    <row r="371" spans="1:8" ht="18" x14ac:dyDescent="0.35">
      <c r="A371" s="232"/>
      <c r="B371" s="365" t="s">
        <v>110</v>
      </c>
      <c r="C371" s="143" t="s">
        <v>69</v>
      </c>
      <c r="D371" s="144" t="s">
        <v>36</v>
      </c>
      <c r="E371" s="144" t="s">
        <v>28</v>
      </c>
      <c r="F371" s="145" t="s">
        <v>386</v>
      </c>
      <c r="G371" s="28" t="s">
        <v>111</v>
      </c>
      <c r="H371" s="152">
        <f>'прил8 (ведом 24)'!M690</f>
        <v>26722.2</v>
      </c>
    </row>
    <row r="372" spans="1:8" ht="108" x14ac:dyDescent="0.35">
      <c r="A372" s="232"/>
      <c r="B372" s="365" t="s">
        <v>305</v>
      </c>
      <c r="C372" s="143" t="s">
        <v>69</v>
      </c>
      <c r="D372" s="144" t="s">
        <v>36</v>
      </c>
      <c r="E372" s="144" t="s">
        <v>28</v>
      </c>
      <c r="F372" s="145" t="s">
        <v>388</v>
      </c>
      <c r="G372" s="28"/>
      <c r="H372" s="152">
        <f>SUM(H373:H374)</f>
        <v>184.5</v>
      </c>
    </row>
    <row r="373" spans="1:8" ht="36" x14ac:dyDescent="0.35">
      <c r="A373" s="232"/>
      <c r="B373" s="365" t="s">
        <v>45</v>
      </c>
      <c r="C373" s="143" t="s">
        <v>69</v>
      </c>
      <c r="D373" s="144" t="s">
        <v>36</v>
      </c>
      <c r="E373" s="144" t="s">
        <v>28</v>
      </c>
      <c r="F373" s="145" t="s">
        <v>388</v>
      </c>
      <c r="G373" s="28" t="s">
        <v>46</v>
      </c>
      <c r="H373" s="152">
        <f>'прил8 (ведом 24)'!M692</f>
        <v>0.9</v>
      </c>
    </row>
    <row r="374" spans="1:8" ht="18" x14ac:dyDescent="0.35">
      <c r="A374" s="232"/>
      <c r="B374" s="365" t="s">
        <v>110</v>
      </c>
      <c r="C374" s="143" t="s">
        <v>69</v>
      </c>
      <c r="D374" s="144" t="s">
        <v>36</v>
      </c>
      <c r="E374" s="144" t="s">
        <v>28</v>
      </c>
      <c r="F374" s="145" t="s">
        <v>388</v>
      </c>
      <c r="G374" s="28" t="s">
        <v>111</v>
      </c>
      <c r="H374" s="152">
        <f>'прил8 (ведом 24)'!M693</f>
        <v>183.6</v>
      </c>
    </row>
    <row r="375" spans="1:8" ht="72" x14ac:dyDescent="0.35">
      <c r="A375" s="232"/>
      <c r="B375" s="411" t="s">
        <v>257</v>
      </c>
      <c r="C375" s="65" t="s">
        <v>69</v>
      </c>
      <c r="D375" s="66" t="s">
        <v>36</v>
      </c>
      <c r="E375" s="66" t="s">
        <v>30</v>
      </c>
      <c r="F375" s="66" t="s">
        <v>35</v>
      </c>
      <c r="G375" s="28"/>
      <c r="H375" s="152">
        <f>H376+H379</f>
        <v>61926.7</v>
      </c>
    </row>
    <row r="376" spans="1:8" ht="90" x14ac:dyDescent="0.35">
      <c r="A376" s="232"/>
      <c r="B376" s="394" t="s">
        <v>332</v>
      </c>
      <c r="C376" s="300" t="s">
        <v>69</v>
      </c>
      <c r="D376" s="301" t="s">
        <v>36</v>
      </c>
      <c r="E376" s="301" t="s">
        <v>30</v>
      </c>
      <c r="F376" s="302" t="s">
        <v>459</v>
      </c>
      <c r="G376" s="303"/>
      <c r="H376" s="152">
        <f>SUM(H377:H378)</f>
        <v>56302.399999999994</v>
      </c>
    </row>
    <row r="377" spans="1:8" ht="36" x14ac:dyDescent="0.35">
      <c r="A377" s="232"/>
      <c r="B377" s="365" t="s">
        <v>45</v>
      </c>
      <c r="C377" s="300" t="s">
        <v>69</v>
      </c>
      <c r="D377" s="301" t="s">
        <v>36</v>
      </c>
      <c r="E377" s="301" t="s">
        <v>30</v>
      </c>
      <c r="F377" s="302" t="s">
        <v>459</v>
      </c>
      <c r="G377" s="303" t="s">
        <v>46</v>
      </c>
      <c r="H377" s="152">
        <f>'прил8 (ведом 24)'!M283</f>
        <v>59.82526</v>
      </c>
    </row>
    <row r="378" spans="1:8" ht="36" x14ac:dyDescent="0.35">
      <c r="A378" s="232"/>
      <c r="B378" s="374" t="s">
        <v>168</v>
      </c>
      <c r="C378" s="88" t="s">
        <v>69</v>
      </c>
      <c r="D378" s="89" t="s">
        <v>36</v>
      </c>
      <c r="E378" s="89" t="s">
        <v>30</v>
      </c>
      <c r="F378" s="350" t="s">
        <v>459</v>
      </c>
      <c r="G378" s="351" t="s">
        <v>169</v>
      </c>
      <c r="H378" s="152">
        <f>'прил8 (ведом 24)'!M327</f>
        <v>56242.574739999996</v>
      </c>
    </row>
    <row r="379" spans="1:8" ht="90" x14ac:dyDescent="0.35">
      <c r="A379" s="232"/>
      <c r="B379" s="403" t="s">
        <v>332</v>
      </c>
      <c r="C379" s="48" t="s">
        <v>69</v>
      </c>
      <c r="D379" s="49" t="s">
        <v>36</v>
      </c>
      <c r="E379" s="49" t="s">
        <v>30</v>
      </c>
      <c r="F379" s="69" t="s">
        <v>394</v>
      </c>
      <c r="G379" s="85"/>
      <c r="H379" s="152">
        <f>H380</f>
        <v>5624.3</v>
      </c>
    </row>
    <row r="380" spans="1:8" ht="36" x14ac:dyDescent="0.35">
      <c r="A380" s="232"/>
      <c r="B380" s="415" t="s">
        <v>168</v>
      </c>
      <c r="C380" s="48" t="s">
        <v>69</v>
      </c>
      <c r="D380" s="49" t="s">
        <v>36</v>
      </c>
      <c r="E380" s="49" t="s">
        <v>30</v>
      </c>
      <c r="F380" s="69" t="s">
        <v>394</v>
      </c>
      <c r="G380" s="465" t="s">
        <v>169</v>
      </c>
      <c r="H380" s="152">
        <f>'прил8 (ведом 24)'!M329</f>
        <v>5624.3</v>
      </c>
    </row>
    <row r="381" spans="1:8" ht="36" x14ac:dyDescent="0.35">
      <c r="A381" s="232"/>
      <c r="B381" s="365" t="s">
        <v>193</v>
      </c>
      <c r="C381" s="143" t="s">
        <v>69</v>
      </c>
      <c r="D381" s="144" t="s">
        <v>36</v>
      </c>
      <c r="E381" s="144" t="s">
        <v>53</v>
      </c>
      <c r="F381" s="145" t="s">
        <v>35</v>
      </c>
      <c r="G381" s="28"/>
      <c r="H381" s="152">
        <f>H382+H385+H388</f>
        <v>9013.2999999999993</v>
      </c>
    </row>
    <row r="382" spans="1:8" ht="234" x14ac:dyDescent="0.35">
      <c r="A382" s="232"/>
      <c r="B382" s="365" t="s">
        <v>196</v>
      </c>
      <c r="C382" s="143" t="s">
        <v>69</v>
      </c>
      <c r="D382" s="144" t="s">
        <v>36</v>
      </c>
      <c r="E382" s="144" t="s">
        <v>53</v>
      </c>
      <c r="F382" s="145" t="s">
        <v>389</v>
      </c>
      <c r="G382" s="28"/>
      <c r="H382" s="152">
        <f>SUM(H383:H384)</f>
        <v>1025.8</v>
      </c>
    </row>
    <row r="383" spans="1:8" ht="90" x14ac:dyDescent="0.35">
      <c r="A383" s="232"/>
      <c r="B383" s="365" t="s">
        <v>40</v>
      </c>
      <c r="C383" s="143" t="s">
        <v>69</v>
      </c>
      <c r="D383" s="144" t="s">
        <v>36</v>
      </c>
      <c r="E383" s="144" t="s">
        <v>53</v>
      </c>
      <c r="F383" s="145" t="s">
        <v>389</v>
      </c>
      <c r="G383" s="28" t="s">
        <v>41</v>
      </c>
      <c r="H383" s="152">
        <f>'прил8 (ведом 24)'!M699</f>
        <v>863.8</v>
      </c>
    </row>
    <row r="384" spans="1:8" ht="36" x14ac:dyDescent="0.35">
      <c r="A384" s="232"/>
      <c r="B384" s="365" t="s">
        <v>45</v>
      </c>
      <c r="C384" s="143" t="s">
        <v>69</v>
      </c>
      <c r="D384" s="144" t="s">
        <v>36</v>
      </c>
      <c r="E384" s="144" t="s">
        <v>53</v>
      </c>
      <c r="F384" s="145" t="s">
        <v>389</v>
      </c>
      <c r="G384" s="28" t="s">
        <v>46</v>
      </c>
      <c r="H384" s="152">
        <f>'прил8 (ведом 24)'!M700</f>
        <v>162</v>
      </c>
    </row>
    <row r="385" spans="1:8" ht="90" x14ac:dyDescent="0.35">
      <c r="A385" s="232"/>
      <c r="B385" s="363" t="s">
        <v>350</v>
      </c>
      <c r="C385" s="143" t="s">
        <v>69</v>
      </c>
      <c r="D385" s="144" t="s">
        <v>36</v>
      </c>
      <c r="E385" s="144" t="s">
        <v>53</v>
      </c>
      <c r="F385" s="145" t="s">
        <v>383</v>
      </c>
      <c r="G385" s="28"/>
      <c r="H385" s="152">
        <f>SUM(H386:H387)</f>
        <v>756</v>
      </c>
    </row>
    <row r="386" spans="1:8" ht="90" x14ac:dyDescent="0.35">
      <c r="A386" s="232"/>
      <c r="B386" s="365" t="s">
        <v>40</v>
      </c>
      <c r="C386" s="143" t="s">
        <v>69</v>
      </c>
      <c r="D386" s="144" t="s">
        <v>36</v>
      </c>
      <c r="E386" s="144" t="s">
        <v>53</v>
      </c>
      <c r="F386" s="145" t="s">
        <v>383</v>
      </c>
      <c r="G386" s="28" t="s">
        <v>41</v>
      </c>
      <c r="H386" s="152">
        <f>'прил8 (ведом 24)'!M702</f>
        <v>675</v>
      </c>
    </row>
    <row r="387" spans="1:8" ht="36" x14ac:dyDescent="0.35">
      <c r="A387" s="232"/>
      <c r="B387" s="365" t="s">
        <v>45</v>
      </c>
      <c r="C387" s="143" t="s">
        <v>69</v>
      </c>
      <c r="D387" s="144" t="s">
        <v>36</v>
      </c>
      <c r="E387" s="144" t="s">
        <v>53</v>
      </c>
      <c r="F387" s="145" t="s">
        <v>383</v>
      </c>
      <c r="G387" s="28" t="s">
        <v>46</v>
      </c>
      <c r="H387" s="152">
        <f>'прил8 (ведом 24)'!M703</f>
        <v>81</v>
      </c>
    </row>
    <row r="388" spans="1:8" ht="72" x14ac:dyDescent="0.35">
      <c r="A388" s="232"/>
      <c r="B388" s="365" t="s">
        <v>195</v>
      </c>
      <c r="C388" s="143" t="s">
        <v>69</v>
      </c>
      <c r="D388" s="144" t="s">
        <v>36</v>
      </c>
      <c r="E388" s="144" t="s">
        <v>53</v>
      </c>
      <c r="F388" s="145" t="s">
        <v>384</v>
      </c>
      <c r="G388" s="28"/>
      <c r="H388" s="152">
        <f>H389+H390</f>
        <v>7231.5</v>
      </c>
    </row>
    <row r="389" spans="1:8" ht="90" x14ac:dyDescent="0.35">
      <c r="A389" s="232"/>
      <c r="B389" s="365" t="s">
        <v>40</v>
      </c>
      <c r="C389" s="143" t="s">
        <v>69</v>
      </c>
      <c r="D389" s="144" t="s">
        <v>36</v>
      </c>
      <c r="E389" s="144" t="s">
        <v>53</v>
      </c>
      <c r="F389" s="145" t="s">
        <v>384</v>
      </c>
      <c r="G389" s="28" t="s">
        <v>41</v>
      </c>
      <c r="H389" s="152">
        <f>'прил8 (ведом 24)'!M705</f>
        <v>6502.5</v>
      </c>
    </row>
    <row r="390" spans="1:8" ht="36" x14ac:dyDescent="0.35">
      <c r="A390" s="232"/>
      <c r="B390" s="365" t="s">
        <v>45</v>
      </c>
      <c r="C390" s="312" t="s">
        <v>69</v>
      </c>
      <c r="D390" s="313" t="s">
        <v>36</v>
      </c>
      <c r="E390" s="313" t="s">
        <v>53</v>
      </c>
      <c r="F390" s="314" t="s">
        <v>384</v>
      </c>
      <c r="G390" s="28" t="s">
        <v>46</v>
      </c>
      <c r="H390" s="152">
        <f>'прил8 (ведом 24)'!M706</f>
        <v>729</v>
      </c>
    </row>
    <row r="391" spans="1:8" ht="72" x14ac:dyDescent="0.35">
      <c r="A391" s="256"/>
      <c r="B391" s="380" t="s">
        <v>345</v>
      </c>
      <c r="C391" s="143" t="s">
        <v>69</v>
      </c>
      <c r="D391" s="144" t="s">
        <v>36</v>
      </c>
      <c r="E391" s="144" t="s">
        <v>42</v>
      </c>
      <c r="F391" s="145" t="s">
        <v>35</v>
      </c>
      <c r="G391" s="28"/>
      <c r="H391" s="152">
        <f>H392</f>
        <v>1800</v>
      </c>
    </row>
    <row r="392" spans="1:8" ht="72" x14ac:dyDescent="0.35">
      <c r="A392" s="256"/>
      <c r="B392" s="380" t="s">
        <v>341</v>
      </c>
      <c r="C392" s="143" t="s">
        <v>69</v>
      </c>
      <c r="D392" s="144" t="s">
        <v>36</v>
      </c>
      <c r="E392" s="144" t="s">
        <v>42</v>
      </c>
      <c r="F392" s="145" t="s">
        <v>298</v>
      </c>
      <c r="G392" s="28"/>
      <c r="H392" s="152">
        <f>H393</f>
        <v>1800</v>
      </c>
    </row>
    <row r="393" spans="1:8" ht="18" x14ac:dyDescent="0.35">
      <c r="A393" s="256"/>
      <c r="B393" s="367" t="s">
        <v>110</v>
      </c>
      <c r="C393" s="143" t="s">
        <v>69</v>
      </c>
      <c r="D393" s="144" t="s">
        <v>36</v>
      </c>
      <c r="E393" s="144" t="s">
        <v>42</v>
      </c>
      <c r="F393" s="145" t="s">
        <v>298</v>
      </c>
      <c r="G393" s="28" t="s">
        <v>111</v>
      </c>
      <c r="H393" s="152">
        <f>'прил8 (ведом 24)'!M172</f>
        <v>1800</v>
      </c>
    </row>
    <row r="394" spans="1:8" ht="18" x14ac:dyDescent="0.35">
      <c r="A394" s="256"/>
      <c r="B394" s="367"/>
      <c r="C394" s="144"/>
      <c r="D394" s="144"/>
      <c r="E394" s="144"/>
      <c r="F394" s="145"/>
      <c r="G394" s="28"/>
      <c r="H394" s="152"/>
    </row>
    <row r="395" spans="1:8" ht="69.599999999999994" x14ac:dyDescent="0.3">
      <c r="A395" s="246">
        <v>9</v>
      </c>
      <c r="B395" s="376" t="s">
        <v>280</v>
      </c>
      <c r="C395" s="247" t="s">
        <v>94</v>
      </c>
      <c r="D395" s="247" t="s">
        <v>33</v>
      </c>
      <c r="E395" s="247" t="s">
        <v>34</v>
      </c>
      <c r="F395" s="248" t="s">
        <v>35</v>
      </c>
      <c r="G395" s="280"/>
      <c r="H395" s="182">
        <f>H396+H400</f>
        <v>103186.1</v>
      </c>
    </row>
    <row r="396" spans="1:8" ht="36" x14ac:dyDescent="0.35">
      <c r="A396" s="246"/>
      <c r="B396" s="365" t="s">
        <v>282</v>
      </c>
      <c r="C396" s="143" t="s">
        <v>94</v>
      </c>
      <c r="D396" s="144" t="s">
        <v>36</v>
      </c>
      <c r="E396" s="144" t="s">
        <v>34</v>
      </c>
      <c r="F396" s="145" t="s">
        <v>35</v>
      </c>
      <c r="G396" s="28"/>
      <c r="H396" s="152">
        <f>H397</f>
        <v>97055</v>
      </c>
    </row>
    <row r="397" spans="1:8" ht="54" x14ac:dyDescent="0.35">
      <c r="A397" s="246"/>
      <c r="B397" s="366" t="s">
        <v>311</v>
      </c>
      <c r="C397" s="143" t="s">
        <v>94</v>
      </c>
      <c r="D397" s="144" t="s">
        <v>36</v>
      </c>
      <c r="E397" s="144" t="s">
        <v>28</v>
      </c>
      <c r="F397" s="145" t="s">
        <v>35</v>
      </c>
      <c r="G397" s="28"/>
      <c r="H397" s="152">
        <f>H398</f>
        <v>97055</v>
      </c>
    </row>
    <row r="398" spans="1:8" ht="54" x14ac:dyDescent="0.35">
      <c r="A398" s="246"/>
      <c r="B398" s="397" t="s">
        <v>366</v>
      </c>
      <c r="C398" s="242" t="s">
        <v>94</v>
      </c>
      <c r="D398" s="243" t="s">
        <v>36</v>
      </c>
      <c r="E398" s="243" t="s">
        <v>28</v>
      </c>
      <c r="F398" s="244" t="s">
        <v>331</v>
      </c>
      <c r="G398" s="305"/>
      <c r="H398" s="152">
        <f>SUM(H399:H399)</f>
        <v>97055</v>
      </c>
    </row>
    <row r="399" spans="1:8" ht="36" x14ac:dyDescent="0.35">
      <c r="A399" s="304"/>
      <c r="B399" s="398" t="s">
        <v>168</v>
      </c>
      <c r="C399" s="263" t="s">
        <v>94</v>
      </c>
      <c r="D399" s="264" t="s">
        <v>36</v>
      </c>
      <c r="E399" s="264" t="s">
        <v>28</v>
      </c>
      <c r="F399" s="352" t="s">
        <v>331</v>
      </c>
      <c r="G399" s="307" t="s">
        <v>169</v>
      </c>
      <c r="H399" s="306">
        <f>'прил8 (ведом 24)'!M307</f>
        <v>97055</v>
      </c>
    </row>
    <row r="400" spans="1:8" ht="36" x14ac:dyDescent="0.35">
      <c r="A400" s="304"/>
      <c r="B400" s="435" t="s">
        <v>404</v>
      </c>
      <c r="C400" s="498" t="s">
        <v>94</v>
      </c>
      <c r="D400" s="499" t="s">
        <v>25</v>
      </c>
      <c r="E400" s="499" t="s">
        <v>34</v>
      </c>
      <c r="F400" s="500" t="s">
        <v>35</v>
      </c>
      <c r="G400" s="10"/>
      <c r="H400" s="306">
        <f>H401</f>
        <v>6131.1</v>
      </c>
    </row>
    <row r="401" spans="1:8" ht="36" x14ac:dyDescent="0.35">
      <c r="A401" s="304"/>
      <c r="B401" s="435" t="s">
        <v>405</v>
      </c>
      <c r="C401" s="498" t="s">
        <v>94</v>
      </c>
      <c r="D401" s="499" t="s">
        <v>25</v>
      </c>
      <c r="E401" s="499" t="s">
        <v>28</v>
      </c>
      <c r="F401" s="500" t="s">
        <v>35</v>
      </c>
      <c r="G401" s="10"/>
      <c r="H401" s="306">
        <f>H402</f>
        <v>6131.1</v>
      </c>
    </row>
    <row r="402" spans="1:8" ht="36" x14ac:dyDescent="0.35">
      <c r="A402" s="304"/>
      <c r="B402" s="435" t="s">
        <v>406</v>
      </c>
      <c r="C402" s="498" t="s">
        <v>94</v>
      </c>
      <c r="D402" s="499" t="s">
        <v>25</v>
      </c>
      <c r="E402" s="499" t="s">
        <v>28</v>
      </c>
      <c r="F402" s="500" t="s">
        <v>407</v>
      </c>
      <c r="G402" s="10"/>
      <c r="H402" s="306">
        <f>H403</f>
        <v>6131.1</v>
      </c>
    </row>
    <row r="403" spans="1:8" ht="36" x14ac:dyDescent="0.35">
      <c r="A403" s="304"/>
      <c r="B403" s="435" t="s">
        <v>45</v>
      </c>
      <c r="C403" s="498" t="s">
        <v>94</v>
      </c>
      <c r="D403" s="499" t="s">
        <v>25</v>
      </c>
      <c r="E403" s="499" t="s">
        <v>28</v>
      </c>
      <c r="F403" s="500" t="s">
        <v>407</v>
      </c>
      <c r="G403" s="10" t="s">
        <v>46</v>
      </c>
      <c r="H403" s="306">
        <f>'прил8 (ведом 24)'!M158</f>
        <v>6131.1</v>
      </c>
    </row>
    <row r="404" spans="1:8" ht="18" x14ac:dyDescent="0.35">
      <c r="A404" s="304"/>
      <c r="B404" s="366"/>
      <c r="C404" s="144"/>
      <c r="D404" s="144"/>
      <c r="E404" s="144"/>
      <c r="F404" s="145"/>
      <c r="G404" s="28"/>
      <c r="H404" s="306"/>
    </row>
    <row r="405" spans="1:8" s="241" customFormat="1" ht="52.2" x14ac:dyDescent="0.3">
      <c r="A405" s="246">
        <v>10</v>
      </c>
      <c r="B405" s="376" t="s">
        <v>84</v>
      </c>
      <c r="C405" s="247" t="s">
        <v>57</v>
      </c>
      <c r="D405" s="247" t="s">
        <v>33</v>
      </c>
      <c r="E405" s="247" t="s">
        <v>34</v>
      </c>
      <c r="F405" s="248" t="s">
        <v>35</v>
      </c>
      <c r="G405" s="280"/>
      <c r="H405" s="182">
        <f>H406</f>
        <v>24038.799999999999</v>
      </c>
    </row>
    <row r="406" spans="1:8" ht="18" x14ac:dyDescent="0.35">
      <c r="A406" s="232"/>
      <c r="B406" s="365" t="s">
        <v>287</v>
      </c>
      <c r="C406" s="143" t="s">
        <v>57</v>
      </c>
      <c r="D406" s="144" t="s">
        <v>36</v>
      </c>
      <c r="E406" s="144" t="s">
        <v>34</v>
      </c>
      <c r="F406" s="145" t="s">
        <v>35</v>
      </c>
      <c r="G406" s="252"/>
      <c r="H406" s="152">
        <f>H407+H410</f>
        <v>24038.799999999999</v>
      </c>
    </row>
    <row r="407" spans="1:8" ht="36" x14ac:dyDescent="0.35">
      <c r="A407" s="232"/>
      <c r="B407" s="365" t="s">
        <v>85</v>
      </c>
      <c r="C407" s="143" t="s">
        <v>57</v>
      </c>
      <c r="D407" s="144" t="s">
        <v>36</v>
      </c>
      <c r="E407" s="144" t="s">
        <v>28</v>
      </c>
      <c r="F407" s="145" t="s">
        <v>35</v>
      </c>
      <c r="G407" s="252"/>
      <c r="H407" s="152">
        <f>H408</f>
        <v>20740</v>
      </c>
    </row>
    <row r="408" spans="1:8" ht="54" x14ac:dyDescent="0.35">
      <c r="A408" s="232"/>
      <c r="B408" s="399" t="s">
        <v>326</v>
      </c>
      <c r="C408" s="143" t="s">
        <v>57</v>
      </c>
      <c r="D408" s="144" t="s">
        <v>36</v>
      </c>
      <c r="E408" s="144" t="s">
        <v>28</v>
      </c>
      <c r="F408" s="145" t="s">
        <v>51</v>
      </c>
      <c r="G408" s="28"/>
      <c r="H408" s="152">
        <f>H409</f>
        <v>20740</v>
      </c>
    </row>
    <row r="409" spans="1:8" ht="18" x14ac:dyDescent="0.35">
      <c r="A409" s="232"/>
      <c r="B409" s="365" t="s">
        <v>47</v>
      </c>
      <c r="C409" s="143" t="s">
        <v>57</v>
      </c>
      <c r="D409" s="144" t="s">
        <v>36</v>
      </c>
      <c r="E409" s="144" t="s">
        <v>28</v>
      </c>
      <c r="F409" s="145" t="s">
        <v>51</v>
      </c>
      <c r="G409" s="28" t="s">
        <v>48</v>
      </c>
      <c r="H409" s="152">
        <f>'прил8 (ведом 24)'!M122</f>
        <v>20740</v>
      </c>
    </row>
    <row r="410" spans="1:8" ht="54" x14ac:dyDescent="0.35">
      <c r="A410" s="232"/>
      <c r="B410" s="365" t="s">
        <v>86</v>
      </c>
      <c r="C410" s="143" t="s">
        <v>57</v>
      </c>
      <c r="D410" s="144" t="s">
        <v>36</v>
      </c>
      <c r="E410" s="144" t="s">
        <v>30</v>
      </c>
      <c r="F410" s="145" t="s">
        <v>35</v>
      </c>
      <c r="G410" s="28"/>
      <c r="H410" s="152">
        <f>H411</f>
        <v>3298.8</v>
      </c>
    </row>
    <row r="411" spans="1:8" ht="162" x14ac:dyDescent="0.35">
      <c r="A411" s="232"/>
      <c r="B411" s="366" t="s">
        <v>377</v>
      </c>
      <c r="C411" s="143" t="s">
        <v>57</v>
      </c>
      <c r="D411" s="144" t="s">
        <v>36</v>
      </c>
      <c r="E411" s="144" t="s">
        <v>30</v>
      </c>
      <c r="F411" s="145" t="s">
        <v>87</v>
      </c>
      <c r="G411" s="28"/>
      <c r="H411" s="152">
        <f>H412</f>
        <v>3298.8</v>
      </c>
    </row>
    <row r="412" spans="1:8" ht="36" x14ac:dyDescent="0.35">
      <c r="A412" s="232"/>
      <c r="B412" s="365" t="s">
        <v>45</v>
      </c>
      <c r="C412" s="143" t="s">
        <v>57</v>
      </c>
      <c r="D412" s="144" t="s">
        <v>36</v>
      </c>
      <c r="E412" s="144" t="s">
        <v>30</v>
      </c>
      <c r="F412" s="145" t="s">
        <v>87</v>
      </c>
      <c r="G412" s="28" t="s">
        <v>46</v>
      </c>
      <c r="H412" s="152">
        <f>'прил8 (ведом 24)'!M125</f>
        <v>3298.8</v>
      </c>
    </row>
    <row r="413" spans="1:8" ht="18" x14ac:dyDescent="0.35">
      <c r="A413" s="232"/>
      <c r="B413" s="371"/>
      <c r="C413" s="495"/>
      <c r="D413" s="495"/>
      <c r="E413" s="495"/>
      <c r="F413" s="496"/>
      <c r="G413" s="166"/>
      <c r="H413" s="152"/>
    </row>
    <row r="414" spans="1:8" s="241" customFormat="1" ht="52.2" x14ac:dyDescent="0.3">
      <c r="A414" s="246">
        <v>11</v>
      </c>
      <c r="B414" s="376" t="s">
        <v>89</v>
      </c>
      <c r="C414" s="247" t="s">
        <v>90</v>
      </c>
      <c r="D414" s="247" t="s">
        <v>33</v>
      </c>
      <c r="E414" s="247" t="s">
        <v>34</v>
      </c>
      <c r="F414" s="248" t="s">
        <v>35</v>
      </c>
      <c r="G414" s="240"/>
      <c r="H414" s="182">
        <f>H415</f>
        <v>6844.9</v>
      </c>
    </row>
    <row r="415" spans="1:8" s="241" customFormat="1" ht="18" x14ac:dyDescent="0.35">
      <c r="A415" s="232"/>
      <c r="B415" s="365" t="s">
        <v>287</v>
      </c>
      <c r="C415" s="143" t="s">
        <v>90</v>
      </c>
      <c r="D415" s="144" t="s">
        <v>36</v>
      </c>
      <c r="E415" s="144" t="s">
        <v>34</v>
      </c>
      <c r="F415" s="145" t="s">
        <v>35</v>
      </c>
      <c r="G415" s="28"/>
      <c r="H415" s="152">
        <f>H416</f>
        <v>6844.9</v>
      </c>
    </row>
    <row r="416" spans="1:8" s="241" customFormat="1" ht="72" x14ac:dyDescent="0.35">
      <c r="A416" s="232"/>
      <c r="B416" s="365" t="s">
        <v>91</v>
      </c>
      <c r="C416" s="143" t="s">
        <v>90</v>
      </c>
      <c r="D416" s="144" t="s">
        <v>36</v>
      </c>
      <c r="E416" s="144" t="s">
        <v>28</v>
      </c>
      <c r="F416" s="145" t="s">
        <v>35</v>
      </c>
      <c r="G416" s="28"/>
      <c r="H416" s="152">
        <f>H417</f>
        <v>6844.9</v>
      </c>
    </row>
    <row r="417" spans="1:8" s="241" customFormat="1" ht="72" x14ac:dyDescent="0.35">
      <c r="A417" s="232"/>
      <c r="B417" s="372" t="s">
        <v>92</v>
      </c>
      <c r="C417" s="143" t="s">
        <v>90</v>
      </c>
      <c r="D417" s="144" t="s">
        <v>36</v>
      </c>
      <c r="E417" s="144" t="s">
        <v>28</v>
      </c>
      <c r="F417" s="145" t="s">
        <v>93</v>
      </c>
      <c r="G417" s="28"/>
      <c r="H417" s="152">
        <f>H418</f>
        <v>6844.9</v>
      </c>
    </row>
    <row r="418" spans="1:8" ht="36" x14ac:dyDescent="0.35">
      <c r="A418" s="232"/>
      <c r="B418" s="365" t="s">
        <v>45</v>
      </c>
      <c r="C418" s="143" t="s">
        <v>90</v>
      </c>
      <c r="D418" s="144" t="s">
        <v>36</v>
      </c>
      <c r="E418" s="144" t="s">
        <v>28</v>
      </c>
      <c r="F418" s="145" t="s">
        <v>93</v>
      </c>
      <c r="G418" s="28" t="s">
        <v>46</v>
      </c>
      <c r="H418" s="152">
        <f>'прил8 (ведом 24)'!M131</f>
        <v>6844.9</v>
      </c>
    </row>
    <row r="419" spans="1:8" ht="18" x14ac:dyDescent="0.35">
      <c r="A419" s="232"/>
      <c r="B419" s="371"/>
      <c r="C419" s="495"/>
      <c r="D419" s="495"/>
      <c r="E419" s="495"/>
      <c r="F419" s="496"/>
      <c r="G419" s="166"/>
      <c r="H419" s="152"/>
    </row>
    <row r="420" spans="1:8" s="241" customFormat="1" ht="52.2" x14ac:dyDescent="0.3">
      <c r="A420" s="246">
        <v>12</v>
      </c>
      <c r="B420" s="376" t="s">
        <v>97</v>
      </c>
      <c r="C420" s="247" t="s">
        <v>61</v>
      </c>
      <c r="D420" s="247" t="s">
        <v>33</v>
      </c>
      <c r="E420" s="247" t="s">
        <v>34</v>
      </c>
      <c r="F420" s="248" t="s">
        <v>35</v>
      </c>
      <c r="G420" s="240"/>
      <c r="H420" s="182">
        <f>H421+H425</f>
        <v>1076.0999999999999</v>
      </c>
    </row>
    <row r="421" spans="1:8" s="241" customFormat="1" ht="36" x14ac:dyDescent="0.35">
      <c r="A421" s="232"/>
      <c r="B421" s="379" t="s">
        <v>98</v>
      </c>
      <c r="C421" s="143" t="s">
        <v>61</v>
      </c>
      <c r="D421" s="144" t="s">
        <v>36</v>
      </c>
      <c r="E421" s="144" t="s">
        <v>34</v>
      </c>
      <c r="F421" s="145" t="s">
        <v>35</v>
      </c>
      <c r="G421" s="28"/>
      <c r="H421" s="152">
        <f>H422</f>
        <v>350</v>
      </c>
    </row>
    <row r="422" spans="1:8" s="241" customFormat="1" ht="36" x14ac:dyDescent="0.35">
      <c r="A422" s="232"/>
      <c r="B422" s="365" t="s">
        <v>99</v>
      </c>
      <c r="C422" s="143" t="s">
        <v>61</v>
      </c>
      <c r="D422" s="144" t="s">
        <v>36</v>
      </c>
      <c r="E422" s="144" t="s">
        <v>28</v>
      </c>
      <c r="F422" s="145" t="s">
        <v>35</v>
      </c>
      <c r="G422" s="28"/>
      <c r="H422" s="152">
        <f>H423</f>
        <v>350</v>
      </c>
    </row>
    <row r="423" spans="1:8" s="241" customFormat="1" ht="36" x14ac:dyDescent="0.35">
      <c r="A423" s="232"/>
      <c r="B423" s="379" t="s">
        <v>100</v>
      </c>
      <c r="C423" s="143" t="s">
        <v>61</v>
      </c>
      <c r="D423" s="144" t="s">
        <v>36</v>
      </c>
      <c r="E423" s="144" t="s">
        <v>28</v>
      </c>
      <c r="F423" s="145" t="s">
        <v>101</v>
      </c>
      <c r="G423" s="28"/>
      <c r="H423" s="152">
        <f>SUM(H424:H424)</f>
        <v>350</v>
      </c>
    </row>
    <row r="424" spans="1:8" s="241" customFormat="1" ht="36" x14ac:dyDescent="0.35">
      <c r="A424" s="232"/>
      <c r="B424" s="365" t="s">
        <v>45</v>
      </c>
      <c r="C424" s="143" t="s">
        <v>61</v>
      </c>
      <c r="D424" s="144" t="s">
        <v>36</v>
      </c>
      <c r="E424" s="144" t="s">
        <v>28</v>
      </c>
      <c r="F424" s="145" t="s">
        <v>101</v>
      </c>
      <c r="G424" s="28" t="s">
        <v>46</v>
      </c>
      <c r="H424" s="152">
        <f>'прил8 (ведом 24)'!M137</f>
        <v>350</v>
      </c>
    </row>
    <row r="425" spans="1:8" s="241" customFormat="1" ht="36" x14ac:dyDescent="0.35">
      <c r="A425" s="232"/>
      <c r="B425" s="379" t="s">
        <v>102</v>
      </c>
      <c r="C425" s="143" t="s">
        <v>61</v>
      </c>
      <c r="D425" s="144" t="s">
        <v>79</v>
      </c>
      <c r="E425" s="144" t="s">
        <v>34</v>
      </c>
      <c r="F425" s="145" t="s">
        <v>35</v>
      </c>
      <c r="G425" s="28"/>
      <c r="H425" s="152">
        <f>H426</f>
        <v>726.1</v>
      </c>
    </row>
    <row r="426" spans="1:8" s="241" customFormat="1" ht="36" x14ac:dyDescent="0.35">
      <c r="A426" s="232"/>
      <c r="B426" s="379" t="s">
        <v>103</v>
      </c>
      <c r="C426" s="143" t="s">
        <v>61</v>
      </c>
      <c r="D426" s="144" t="s">
        <v>79</v>
      </c>
      <c r="E426" s="144" t="s">
        <v>28</v>
      </c>
      <c r="F426" s="145" t="s">
        <v>35</v>
      </c>
      <c r="G426" s="28"/>
      <c r="H426" s="152">
        <f>H427</f>
        <v>726.1</v>
      </c>
    </row>
    <row r="427" spans="1:8" s="241" customFormat="1" ht="72" x14ac:dyDescent="0.35">
      <c r="A427" s="232"/>
      <c r="B427" s="379" t="s">
        <v>104</v>
      </c>
      <c r="C427" s="143" t="s">
        <v>61</v>
      </c>
      <c r="D427" s="144" t="s">
        <v>79</v>
      </c>
      <c r="E427" s="144" t="s">
        <v>28</v>
      </c>
      <c r="F427" s="145" t="s">
        <v>105</v>
      </c>
      <c r="G427" s="28"/>
      <c r="H427" s="152">
        <f>H428</f>
        <v>726.1</v>
      </c>
    </row>
    <row r="428" spans="1:8" ht="36" x14ac:dyDescent="0.35">
      <c r="A428" s="232"/>
      <c r="B428" s="365" t="s">
        <v>45</v>
      </c>
      <c r="C428" s="143" t="s">
        <v>61</v>
      </c>
      <c r="D428" s="144" t="s">
        <v>79</v>
      </c>
      <c r="E428" s="144" t="s">
        <v>28</v>
      </c>
      <c r="F428" s="145" t="s">
        <v>105</v>
      </c>
      <c r="G428" s="28" t="s">
        <v>46</v>
      </c>
      <c r="H428" s="152">
        <f>'прил8 (ведом 24)'!M141</f>
        <v>726.1</v>
      </c>
    </row>
    <row r="429" spans="1:8" ht="18" x14ac:dyDescent="0.35">
      <c r="A429" s="232"/>
      <c r="B429" s="371"/>
      <c r="C429" s="495"/>
      <c r="D429" s="495"/>
      <c r="E429" s="495"/>
      <c r="F429" s="496"/>
      <c r="G429" s="166"/>
      <c r="H429" s="152"/>
    </row>
    <row r="430" spans="1:8" s="241" customFormat="1" ht="52.2" x14ac:dyDescent="0.3">
      <c r="A430" s="246">
        <v>13</v>
      </c>
      <c r="B430" s="376" t="s">
        <v>106</v>
      </c>
      <c r="C430" s="247" t="s">
        <v>78</v>
      </c>
      <c r="D430" s="247" t="s">
        <v>33</v>
      </c>
      <c r="E430" s="247" t="s">
        <v>34</v>
      </c>
      <c r="F430" s="248" t="s">
        <v>35</v>
      </c>
      <c r="G430" s="240"/>
      <c r="H430" s="182">
        <f>H431</f>
        <v>50</v>
      </c>
    </row>
    <row r="431" spans="1:8" s="241" customFormat="1" ht="18" x14ac:dyDescent="0.35">
      <c r="A431" s="232"/>
      <c r="B431" s="365" t="s">
        <v>287</v>
      </c>
      <c r="C431" s="143" t="s">
        <v>78</v>
      </c>
      <c r="D431" s="144" t="s">
        <v>36</v>
      </c>
      <c r="E431" s="144" t="s">
        <v>34</v>
      </c>
      <c r="F431" s="145" t="s">
        <v>35</v>
      </c>
      <c r="G431" s="28"/>
      <c r="H431" s="152">
        <f>H432</f>
        <v>50</v>
      </c>
    </row>
    <row r="432" spans="1:8" s="241" customFormat="1" ht="54" x14ac:dyDescent="0.35">
      <c r="A432" s="232"/>
      <c r="B432" s="379" t="s">
        <v>262</v>
      </c>
      <c r="C432" s="143" t="s">
        <v>78</v>
      </c>
      <c r="D432" s="144" t="s">
        <v>36</v>
      </c>
      <c r="E432" s="144" t="s">
        <v>28</v>
      </c>
      <c r="F432" s="145" t="s">
        <v>35</v>
      </c>
      <c r="G432" s="28"/>
      <c r="H432" s="152">
        <f>H433</f>
        <v>50</v>
      </c>
    </row>
    <row r="433" spans="1:8" s="241" customFormat="1" ht="54" x14ac:dyDescent="0.35">
      <c r="A433" s="232"/>
      <c r="B433" s="379" t="s">
        <v>107</v>
      </c>
      <c r="C433" s="143" t="s">
        <v>78</v>
      </c>
      <c r="D433" s="144" t="s">
        <v>36</v>
      </c>
      <c r="E433" s="144" t="s">
        <v>28</v>
      </c>
      <c r="F433" s="145" t="s">
        <v>108</v>
      </c>
      <c r="G433" s="28"/>
      <c r="H433" s="152">
        <f>H434</f>
        <v>50</v>
      </c>
    </row>
    <row r="434" spans="1:8" ht="36" x14ac:dyDescent="0.35">
      <c r="A434" s="232"/>
      <c r="B434" s="365" t="s">
        <v>45</v>
      </c>
      <c r="C434" s="143" t="s">
        <v>78</v>
      </c>
      <c r="D434" s="144" t="s">
        <v>36</v>
      </c>
      <c r="E434" s="144" t="s">
        <v>28</v>
      </c>
      <c r="F434" s="145" t="s">
        <v>108</v>
      </c>
      <c r="G434" s="28" t="s">
        <v>46</v>
      </c>
      <c r="H434" s="152">
        <f>'прил8 (ведом 24)'!M146</f>
        <v>50</v>
      </c>
    </row>
    <row r="435" spans="1:8" s="241" customFormat="1" ht="18" x14ac:dyDescent="0.35">
      <c r="A435" s="232"/>
      <c r="B435" s="367"/>
      <c r="C435" s="495"/>
      <c r="D435" s="495"/>
      <c r="E435" s="495"/>
      <c r="F435" s="496"/>
      <c r="G435" s="166"/>
      <c r="H435" s="152"/>
    </row>
    <row r="436" spans="1:8" s="241" customFormat="1" ht="69.599999999999994" x14ac:dyDescent="0.3">
      <c r="A436" s="246">
        <v>14</v>
      </c>
      <c r="B436" s="376" t="s">
        <v>62</v>
      </c>
      <c r="C436" s="247" t="s">
        <v>63</v>
      </c>
      <c r="D436" s="247" t="s">
        <v>33</v>
      </c>
      <c r="E436" s="247" t="s">
        <v>34</v>
      </c>
      <c r="F436" s="248" t="s">
        <v>35</v>
      </c>
      <c r="G436" s="240"/>
      <c r="H436" s="182">
        <f>H437</f>
        <v>3744.6</v>
      </c>
    </row>
    <row r="437" spans="1:8" ht="30.75" customHeight="1" x14ac:dyDescent="0.35">
      <c r="A437" s="232"/>
      <c r="B437" s="365" t="s">
        <v>287</v>
      </c>
      <c r="C437" s="143" t="s">
        <v>63</v>
      </c>
      <c r="D437" s="144" t="s">
        <v>36</v>
      </c>
      <c r="E437" s="144" t="s">
        <v>34</v>
      </c>
      <c r="F437" s="145" t="s">
        <v>35</v>
      </c>
      <c r="G437" s="28"/>
      <c r="H437" s="152">
        <f>H438</f>
        <v>3744.6</v>
      </c>
    </row>
    <row r="438" spans="1:8" ht="36" x14ac:dyDescent="0.35">
      <c r="A438" s="232"/>
      <c r="B438" s="380" t="s">
        <v>223</v>
      </c>
      <c r="C438" s="143" t="s">
        <v>63</v>
      </c>
      <c r="D438" s="144" t="s">
        <v>36</v>
      </c>
      <c r="E438" s="144" t="s">
        <v>28</v>
      </c>
      <c r="F438" s="145" t="s">
        <v>35</v>
      </c>
      <c r="G438" s="28"/>
      <c r="H438" s="152">
        <f>H439</f>
        <v>3744.6</v>
      </c>
    </row>
    <row r="439" spans="1:8" ht="36" x14ac:dyDescent="0.35">
      <c r="A439" s="232"/>
      <c r="B439" s="380" t="s">
        <v>64</v>
      </c>
      <c r="C439" s="143" t="s">
        <v>63</v>
      </c>
      <c r="D439" s="144" t="s">
        <v>36</v>
      </c>
      <c r="E439" s="144" t="s">
        <v>28</v>
      </c>
      <c r="F439" s="145" t="s">
        <v>65</v>
      </c>
      <c r="G439" s="28"/>
      <c r="H439" s="152">
        <f>H440</f>
        <v>3744.6</v>
      </c>
    </row>
    <row r="440" spans="1:8" ht="49.5" customHeight="1" x14ac:dyDescent="0.35">
      <c r="A440" s="232"/>
      <c r="B440" s="367" t="s">
        <v>66</v>
      </c>
      <c r="C440" s="143" t="s">
        <v>63</v>
      </c>
      <c r="D440" s="144" t="s">
        <v>36</v>
      </c>
      <c r="E440" s="144" t="s">
        <v>28</v>
      </c>
      <c r="F440" s="145" t="s">
        <v>65</v>
      </c>
      <c r="G440" s="28" t="s">
        <v>67</v>
      </c>
      <c r="H440" s="152">
        <f>'прил8 (ведом 24)'!M57+'прил8 (ведом 24)'!M178</f>
        <v>3744.6</v>
      </c>
    </row>
    <row r="441" spans="1:8" ht="18" x14ac:dyDescent="0.35">
      <c r="A441" s="232"/>
      <c r="B441" s="367"/>
      <c r="C441" s="495"/>
      <c r="D441" s="495"/>
      <c r="E441" s="495"/>
      <c r="F441" s="496"/>
      <c r="G441" s="166"/>
      <c r="H441" s="152"/>
    </row>
    <row r="442" spans="1:8" s="241" customFormat="1" ht="52.2" x14ac:dyDescent="0.3">
      <c r="A442" s="246">
        <v>15</v>
      </c>
      <c r="B442" s="376" t="s">
        <v>31</v>
      </c>
      <c r="C442" s="247" t="s">
        <v>32</v>
      </c>
      <c r="D442" s="247" t="s">
        <v>33</v>
      </c>
      <c r="E442" s="247" t="s">
        <v>34</v>
      </c>
      <c r="F442" s="248" t="s">
        <v>35</v>
      </c>
      <c r="G442" s="240"/>
      <c r="H442" s="182">
        <f>H443</f>
        <v>161321.97446999999</v>
      </c>
    </row>
    <row r="443" spans="1:8" s="241" customFormat="1" ht="18" x14ac:dyDescent="0.35">
      <c r="A443" s="232"/>
      <c r="B443" s="365" t="s">
        <v>287</v>
      </c>
      <c r="C443" s="143" t="s">
        <v>32</v>
      </c>
      <c r="D443" s="144" t="s">
        <v>36</v>
      </c>
      <c r="E443" s="144" t="s">
        <v>34</v>
      </c>
      <c r="F443" s="145" t="s">
        <v>35</v>
      </c>
      <c r="G443" s="28"/>
      <c r="H443" s="152">
        <f>H444+H447+H466+H472+H477+H490+H484+H481+H487</f>
        <v>161321.97446999999</v>
      </c>
    </row>
    <row r="444" spans="1:8" s="241" customFormat="1" ht="36" x14ac:dyDescent="0.35">
      <c r="A444" s="232"/>
      <c r="B444" s="365" t="s">
        <v>37</v>
      </c>
      <c r="C444" s="143" t="s">
        <v>32</v>
      </c>
      <c r="D444" s="144" t="s">
        <v>36</v>
      </c>
      <c r="E444" s="144" t="s">
        <v>28</v>
      </c>
      <c r="F444" s="145" t="s">
        <v>35</v>
      </c>
      <c r="G444" s="28"/>
      <c r="H444" s="152">
        <f>H445</f>
        <v>2638.4</v>
      </c>
    </row>
    <row r="445" spans="1:8" s="241" customFormat="1" ht="36" x14ac:dyDescent="0.35">
      <c r="A445" s="232"/>
      <c r="B445" s="365" t="s">
        <v>38</v>
      </c>
      <c r="C445" s="143" t="s">
        <v>32</v>
      </c>
      <c r="D445" s="144" t="s">
        <v>36</v>
      </c>
      <c r="E445" s="144" t="s">
        <v>28</v>
      </c>
      <c r="F445" s="145" t="s">
        <v>39</v>
      </c>
      <c r="G445" s="28"/>
      <c r="H445" s="152">
        <f>H446</f>
        <v>2638.4</v>
      </c>
    </row>
    <row r="446" spans="1:8" s="241" customFormat="1" ht="90" x14ac:dyDescent="0.35">
      <c r="A446" s="232"/>
      <c r="B446" s="365" t="s">
        <v>40</v>
      </c>
      <c r="C446" s="143" t="s">
        <v>32</v>
      </c>
      <c r="D446" s="144" t="s">
        <v>36</v>
      </c>
      <c r="E446" s="144" t="s">
        <v>28</v>
      </c>
      <c r="F446" s="145" t="s">
        <v>39</v>
      </c>
      <c r="G446" s="28" t="s">
        <v>41</v>
      </c>
      <c r="H446" s="152">
        <f>'прил8 (ведом 24)'!M22</f>
        <v>2638.4</v>
      </c>
    </row>
    <row r="447" spans="1:8" s="241" customFormat="1" ht="36" x14ac:dyDescent="0.35">
      <c r="A447" s="232"/>
      <c r="B447" s="365" t="s">
        <v>44</v>
      </c>
      <c r="C447" s="143" t="s">
        <v>32</v>
      </c>
      <c r="D447" s="144" t="s">
        <v>36</v>
      </c>
      <c r="E447" s="144" t="s">
        <v>30</v>
      </c>
      <c r="F447" s="145" t="s">
        <v>35</v>
      </c>
      <c r="G447" s="28"/>
      <c r="H447" s="152">
        <f>H448+H452+H456+H458+H460+H454+H463</f>
        <v>85135.873999999996</v>
      </c>
    </row>
    <row r="448" spans="1:8" s="241" customFormat="1" ht="36" x14ac:dyDescent="0.35">
      <c r="A448" s="232"/>
      <c r="B448" s="365" t="s">
        <v>38</v>
      </c>
      <c r="C448" s="143" t="s">
        <v>32</v>
      </c>
      <c r="D448" s="144" t="s">
        <v>36</v>
      </c>
      <c r="E448" s="144" t="s">
        <v>30</v>
      </c>
      <c r="F448" s="145" t="s">
        <v>39</v>
      </c>
      <c r="G448" s="28"/>
      <c r="H448" s="152">
        <f>SUM(H449:H451)</f>
        <v>79384.27399999999</v>
      </c>
    </row>
    <row r="449" spans="1:8" s="241" customFormat="1" ht="90" x14ac:dyDescent="0.35">
      <c r="A449" s="232"/>
      <c r="B449" s="365" t="s">
        <v>40</v>
      </c>
      <c r="C449" s="143" t="s">
        <v>32</v>
      </c>
      <c r="D449" s="144" t="s">
        <v>36</v>
      </c>
      <c r="E449" s="144" t="s">
        <v>30</v>
      </c>
      <c r="F449" s="145" t="s">
        <v>39</v>
      </c>
      <c r="G449" s="28" t="s">
        <v>41</v>
      </c>
      <c r="H449" s="152">
        <f>'прил8 (ведом 24)'!M28</f>
        <v>78713.2</v>
      </c>
    </row>
    <row r="450" spans="1:8" ht="36" x14ac:dyDescent="0.35">
      <c r="A450" s="232"/>
      <c r="B450" s="365" t="s">
        <v>45</v>
      </c>
      <c r="C450" s="143" t="s">
        <v>32</v>
      </c>
      <c r="D450" s="144" t="s">
        <v>36</v>
      </c>
      <c r="E450" s="144" t="s">
        <v>30</v>
      </c>
      <c r="F450" s="145" t="s">
        <v>39</v>
      </c>
      <c r="G450" s="28" t="s">
        <v>46</v>
      </c>
      <c r="H450" s="152">
        <f>'прил8 (ведом 24)'!M29</f>
        <v>546.07400000000007</v>
      </c>
    </row>
    <row r="451" spans="1:8" s="241" customFormat="1" ht="18" x14ac:dyDescent="0.35">
      <c r="A451" s="232"/>
      <c r="B451" s="365" t="s">
        <v>47</v>
      </c>
      <c r="C451" s="143" t="s">
        <v>32</v>
      </c>
      <c r="D451" s="144" t="s">
        <v>36</v>
      </c>
      <c r="E451" s="144" t="s">
        <v>30</v>
      </c>
      <c r="F451" s="145" t="s">
        <v>39</v>
      </c>
      <c r="G451" s="28" t="s">
        <v>48</v>
      </c>
      <c r="H451" s="152">
        <f>'прил8 (ведом 24)'!M30</f>
        <v>125</v>
      </c>
    </row>
    <row r="452" spans="1:8" s="241" customFormat="1" ht="18" x14ac:dyDescent="0.35">
      <c r="A452" s="232"/>
      <c r="B452" s="368" t="s">
        <v>438</v>
      </c>
      <c r="C452" s="498" t="s">
        <v>32</v>
      </c>
      <c r="D452" s="499" t="s">
        <v>36</v>
      </c>
      <c r="E452" s="499" t="s">
        <v>30</v>
      </c>
      <c r="F452" s="500" t="s">
        <v>439</v>
      </c>
      <c r="G452" s="10"/>
      <c r="H452" s="152">
        <f>H453</f>
        <v>63.4</v>
      </c>
    </row>
    <row r="453" spans="1:8" s="241" customFormat="1" ht="36" x14ac:dyDescent="0.35">
      <c r="A453" s="232"/>
      <c r="B453" s="368" t="s">
        <v>45</v>
      </c>
      <c r="C453" s="498" t="s">
        <v>32</v>
      </c>
      <c r="D453" s="499" t="s">
        <v>36</v>
      </c>
      <c r="E453" s="499" t="s">
        <v>30</v>
      </c>
      <c r="F453" s="500" t="s">
        <v>439</v>
      </c>
      <c r="G453" s="10" t="s">
        <v>46</v>
      </c>
      <c r="H453" s="152">
        <f>'прил8 (ведом 24)'!M62</f>
        <v>63.4</v>
      </c>
    </row>
    <row r="454" spans="1:8" s="241" customFormat="1" ht="72" x14ac:dyDescent="0.35">
      <c r="A454" s="232"/>
      <c r="B454" s="366" t="s">
        <v>321</v>
      </c>
      <c r="C454" s="143" t="s">
        <v>32</v>
      </c>
      <c r="D454" s="144" t="s">
        <v>36</v>
      </c>
      <c r="E454" s="144" t="s">
        <v>30</v>
      </c>
      <c r="F454" s="145" t="s">
        <v>320</v>
      </c>
      <c r="G454" s="28"/>
      <c r="H454" s="152">
        <f>H455</f>
        <v>8.6</v>
      </c>
    </row>
    <row r="455" spans="1:8" s="241" customFormat="1" ht="36" x14ac:dyDescent="0.35">
      <c r="A455" s="232"/>
      <c r="B455" s="366" t="s">
        <v>45</v>
      </c>
      <c r="C455" s="143" t="s">
        <v>32</v>
      </c>
      <c r="D455" s="144" t="s">
        <v>36</v>
      </c>
      <c r="E455" s="144" t="s">
        <v>30</v>
      </c>
      <c r="F455" s="145" t="s">
        <v>320</v>
      </c>
      <c r="G455" s="28" t="s">
        <v>46</v>
      </c>
      <c r="H455" s="152">
        <f>'прил8 (ведом 24)'!M46</f>
        <v>8.6</v>
      </c>
    </row>
    <row r="456" spans="1:8" ht="180" x14ac:dyDescent="0.35">
      <c r="A456" s="232"/>
      <c r="B456" s="365" t="s">
        <v>450</v>
      </c>
      <c r="C456" s="143" t="s">
        <v>32</v>
      </c>
      <c r="D456" s="144" t="s">
        <v>36</v>
      </c>
      <c r="E456" s="144" t="s">
        <v>30</v>
      </c>
      <c r="F456" s="145" t="s">
        <v>222</v>
      </c>
      <c r="G456" s="28"/>
      <c r="H456" s="152">
        <f>H457</f>
        <v>63</v>
      </c>
    </row>
    <row r="457" spans="1:8" ht="36" x14ac:dyDescent="0.35">
      <c r="A457" s="232"/>
      <c r="B457" s="365" t="s">
        <v>45</v>
      </c>
      <c r="C457" s="143" t="s">
        <v>32</v>
      </c>
      <c r="D457" s="144" t="s">
        <v>36</v>
      </c>
      <c r="E457" s="144" t="s">
        <v>30</v>
      </c>
      <c r="F457" s="145" t="s">
        <v>222</v>
      </c>
      <c r="G457" s="28" t="s">
        <v>46</v>
      </c>
      <c r="H457" s="152">
        <f>'прил8 (ведом 24)'!M32</f>
        <v>63</v>
      </c>
    </row>
    <row r="458" spans="1:8" ht="173.25" customHeight="1" x14ac:dyDescent="0.35">
      <c r="A458" s="232"/>
      <c r="B458" s="399" t="s">
        <v>347</v>
      </c>
      <c r="C458" s="143" t="s">
        <v>32</v>
      </c>
      <c r="D458" s="144" t="s">
        <v>36</v>
      </c>
      <c r="E458" s="144" t="s">
        <v>30</v>
      </c>
      <c r="F458" s="145" t="s">
        <v>49</v>
      </c>
      <c r="G458" s="28"/>
      <c r="H458" s="152">
        <f>H459</f>
        <v>755.8</v>
      </c>
    </row>
    <row r="459" spans="1:8" ht="90" x14ac:dyDescent="0.35">
      <c r="A459" s="232"/>
      <c r="B459" s="366" t="s">
        <v>40</v>
      </c>
      <c r="C459" s="143" t="s">
        <v>32</v>
      </c>
      <c r="D459" s="144" t="s">
        <v>36</v>
      </c>
      <c r="E459" s="144" t="s">
        <v>30</v>
      </c>
      <c r="F459" s="145" t="s">
        <v>49</v>
      </c>
      <c r="G459" s="28" t="s">
        <v>41</v>
      </c>
      <c r="H459" s="152">
        <f>'прил8 (ведом 24)'!M34</f>
        <v>755.8</v>
      </c>
    </row>
    <row r="460" spans="1:8" ht="54" x14ac:dyDescent="0.35">
      <c r="A460" s="232"/>
      <c r="B460" s="366" t="s">
        <v>326</v>
      </c>
      <c r="C460" s="143" t="s">
        <v>32</v>
      </c>
      <c r="D460" s="144" t="s">
        <v>36</v>
      </c>
      <c r="E460" s="144" t="s">
        <v>30</v>
      </c>
      <c r="F460" s="145" t="s">
        <v>51</v>
      </c>
      <c r="G460" s="28"/>
      <c r="H460" s="152">
        <f>H461+H462</f>
        <v>756</v>
      </c>
    </row>
    <row r="461" spans="1:8" ht="90" x14ac:dyDescent="0.35">
      <c r="A461" s="232"/>
      <c r="B461" s="366" t="s">
        <v>40</v>
      </c>
      <c r="C461" s="143" t="s">
        <v>32</v>
      </c>
      <c r="D461" s="144" t="s">
        <v>36</v>
      </c>
      <c r="E461" s="144" t="s">
        <v>30</v>
      </c>
      <c r="F461" s="145" t="s">
        <v>51</v>
      </c>
      <c r="G461" s="28" t="s">
        <v>41</v>
      </c>
      <c r="H461" s="152">
        <f>'прил8 (ведом 24)'!M36</f>
        <v>751.8</v>
      </c>
    </row>
    <row r="462" spans="1:8" ht="36" x14ac:dyDescent="0.35">
      <c r="A462" s="232"/>
      <c r="B462" s="366" t="s">
        <v>45</v>
      </c>
      <c r="C462" s="143" t="s">
        <v>32</v>
      </c>
      <c r="D462" s="144" t="s">
        <v>36</v>
      </c>
      <c r="E462" s="144" t="s">
        <v>30</v>
      </c>
      <c r="F462" s="145" t="s">
        <v>51</v>
      </c>
      <c r="G462" s="28" t="s">
        <v>46</v>
      </c>
      <c r="H462" s="152">
        <f>'прил8 (ведом 24)'!M37</f>
        <v>4.2</v>
      </c>
    </row>
    <row r="463" spans="1:8" ht="72" x14ac:dyDescent="0.35">
      <c r="A463" s="232"/>
      <c r="B463" s="365" t="s">
        <v>50</v>
      </c>
      <c r="C463" s="143" t="s">
        <v>32</v>
      </c>
      <c r="D463" s="144" t="s">
        <v>36</v>
      </c>
      <c r="E463" s="144" t="s">
        <v>30</v>
      </c>
      <c r="F463" s="145" t="s">
        <v>382</v>
      </c>
      <c r="G463" s="28"/>
      <c r="H463" s="152">
        <f>H464+H465</f>
        <v>4104.8</v>
      </c>
    </row>
    <row r="464" spans="1:8" ht="90" x14ac:dyDescent="0.35">
      <c r="A464" s="232"/>
      <c r="B464" s="365" t="s">
        <v>40</v>
      </c>
      <c r="C464" s="143" t="s">
        <v>32</v>
      </c>
      <c r="D464" s="144" t="s">
        <v>36</v>
      </c>
      <c r="E464" s="144" t="s">
        <v>30</v>
      </c>
      <c r="F464" s="145" t="s">
        <v>382</v>
      </c>
      <c r="G464" s="28" t="s">
        <v>41</v>
      </c>
      <c r="H464" s="152">
        <f>'прил8 (ведом 24)'!M39</f>
        <v>4029.8</v>
      </c>
    </row>
    <row r="465" spans="1:8" ht="36" x14ac:dyDescent="0.35">
      <c r="A465" s="232"/>
      <c r="B465" s="366" t="s">
        <v>45</v>
      </c>
      <c r="C465" s="143" t="s">
        <v>32</v>
      </c>
      <c r="D465" s="144" t="s">
        <v>36</v>
      </c>
      <c r="E465" s="144" t="s">
        <v>30</v>
      </c>
      <c r="F465" s="145" t="s">
        <v>382</v>
      </c>
      <c r="G465" s="28" t="s">
        <v>46</v>
      </c>
      <c r="H465" s="152">
        <f>'прил8 (ведом 24)'!M40</f>
        <v>75</v>
      </c>
    </row>
    <row r="466" spans="1:8" ht="18" x14ac:dyDescent="0.35">
      <c r="A466" s="232"/>
      <c r="B466" s="365" t="s">
        <v>52</v>
      </c>
      <c r="C466" s="143" t="s">
        <v>32</v>
      </c>
      <c r="D466" s="144" t="s">
        <v>36</v>
      </c>
      <c r="E466" s="144" t="s">
        <v>53</v>
      </c>
      <c r="F466" s="145" t="s">
        <v>35</v>
      </c>
      <c r="G466" s="28"/>
      <c r="H466" s="152">
        <f>H467+H469</f>
        <v>3548.4</v>
      </c>
    </row>
    <row r="467" spans="1:8" ht="36" x14ac:dyDescent="0.35">
      <c r="A467" s="232"/>
      <c r="B467" s="366" t="s">
        <v>381</v>
      </c>
      <c r="C467" s="143" t="s">
        <v>32</v>
      </c>
      <c r="D467" s="144" t="s">
        <v>36</v>
      </c>
      <c r="E467" s="144" t="s">
        <v>53</v>
      </c>
      <c r="F467" s="145" t="s">
        <v>380</v>
      </c>
      <c r="G467" s="28"/>
      <c r="H467" s="152">
        <f>H468</f>
        <v>64.3</v>
      </c>
    </row>
    <row r="468" spans="1:8" ht="36" x14ac:dyDescent="0.35">
      <c r="A468" s="232"/>
      <c r="B468" s="366" t="s">
        <v>45</v>
      </c>
      <c r="C468" s="143" t="s">
        <v>32</v>
      </c>
      <c r="D468" s="144" t="s">
        <v>36</v>
      </c>
      <c r="E468" s="144" t="s">
        <v>53</v>
      </c>
      <c r="F468" s="145" t="s">
        <v>380</v>
      </c>
      <c r="G468" s="28" t="s">
        <v>46</v>
      </c>
      <c r="H468" s="152">
        <f>'прил8 (ведом 24)'!M165</f>
        <v>64.3</v>
      </c>
    </row>
    <row r="469" spans="1:8" ht="54" x14ac:dyDescent="0.35">
      <c r="A469" s="232"/>
      <c r="B469" s="366" t="s">
        <v>317</v>
      </c>
      <c r="C469" s="143" t="s">
        <v>32</v>
      </c>
      <c r="D469" s="144" t="s">
        <v>36</v>
      </c>
      <c r="E469" s="144" t="s">
        <v>53</v>
      </c>
      <c r="F469" s="145" t="s">
        <v>316</v>
      </c>
      <c r="G469" s="28"/>
      <c r="H469" s="152">
        <f>H470+H471</f>
        <v>3484.1</v>
      </c>
    </row>
    <row r="470" spans="1:8" ht="36" x14ac:dyDescent="0.35">
      <c r="A470" s="232"/>
      <c r="B470" s="366" t="s">
        <v>45</v>
      </c>
      <c r="C470" s="143" t="s">
        <v>32</v>
      </c>
      <c r="D470" s="144" t="s">
        <v>36</v>
      </c>
      <c r="E470" s="144" t="s">
        <v>53</v>
      </c>
      <c r="F470" s="145" t="s">
        <v>316</v>
      </c>
      <c r="G470" s="28" t="s">
        <v>46</v>
      </c>
      <c r="H470" s="152">
        <f>'прил8 (ведом 24)'!M65</f>
        <v>3260.2999999999997</v>
      </c>
    </row>
    <row r="471" spans="1:8" ht="18" x14ac:dyDescent="0.35">
      <c r="A471" s="232"/>
      <c r="B471" s="366" t="s">
        <v>47</v>
      </c>
      <c r="C471" s="143" t="s">
        <v>32</v>
      </c>
      <c r="D471" s="144" t="s">
        <v>36</v>
      </c>
      <c r="E471" s="144" t="s">
        <v>53</v>
      </c>
      <c r="F471" s="145" t="s">
        <v>316</v>
      </c>
      <c r="G471" s="28" t="s">
        <v>48</v>
      </c>
      <c r="H471" s="152">
        <f>'прил8 (ведом 24)'!M66</f>
        <v>223.8</v>
      </c>
    </row>
    <row r="472" spans="1:8" ht="18" x14ac:dyDescent="0.35">
      <c r="A472" s="232"/>
      <c r="B472" s="365" t="s">
        <v>54</v>
      </c>
      <c r="C472" s="143" t="s">
        <v>32</v>
      </c>
      <c r="D472" s="144" t="s">
        <v>36</v>
      </c>
      <c r="E472" s="144" t="s">
        <v>42</v>
      </c>
      <c r="F472" s="145" t="s">
        <v>35</v>
      </c>
      <c r="G472" s="28"/>
      <c r="H472" s="152">
        <f>H473+H475</f>
        <v>6919.5</v>
      </c>
    </row>
    <row r="473" spans="1:8" ht="54" x14ac:dyDescent="0.35">
      <c r="A473" s="232"/>
      <c r="B473" s="379" t="s">
        <v>294</v>
      </c>
      <c r="C473" s="143" t="s">
        <v>32</v>
      </c>
      <c r="D473" s="144" t="s">
        <v>36</v>
      </c>
      <c r="E473" s="144" t="s">
        <v>42</v>
      </c>
      <c r="F473" s="145" t="s">
        <v>95</v>
      </c>
      <c r="G473" s="28"/>
      <c r="H473" s="152">
        <f>H474</f>
        <v>4830.5</v>
      </c>
    </row>
    <row r="474" spans="1:8" ht="36" x14ac:dyDescent="0.35">
      <c r="A474" s="232"/>
      <c r="B474" s="365" t="s">
        <v>45</v>
      </c>
      <c r="C474" s="143" t="s">
        <v>32</v>
      </c>
      <c r="D474" s="144" t="s">
        <v>36</v>
      </c>
      <c r="E474" s="144" t="s">
        <v>42</v>
      </c>
      <c r="F474" s="145" t="s">
        <v>95</v>
      </c>
      <c r="G474" s="28" t="s">
        <v>46</v>
      </c>
      <c r="H474" s="152">
        <f>'прил8 (ведом 24)'!M69</f>
        <v>4830.5</v>
      </c>
    </row>
    <row r="475" spans="1:8" ht="54" x14ac:dyDescent="0.35">
      <c r="A475" s="232"/>
      <c r="B475" s="365" t="s">
        <v>296</v>
      </c>
      <c r="C475" s="143" t="s">
        <v>32</v>
      </c>
      <c r="D475" s="144" t="s">
        <v>36</v>
      </c>
      <c r="E475" s="144" t="s">
        <v>42</v>
      </c>
      <c r="F475" s="145" t="s">
        <v>295</v>
      </c>
      <c r="G475" s="28"/>
      <c r="H475" s="152">
        <f>H476</f>
        <v>2089</v>
      </c>
    </row>
    <row r="476" spans="1:8" ht="36" x14ac:dyDescent="0.35">
      <c r="A476" s="232"/>
      <c r="B476" s="365" t="s">
        <v>45</v>
      </c>
      <c r="C476" s="143" t="s">
        <v>32</v>
      </c>
      <c r="D476" s="144" t="s">
        <v>36</v>
      </c>
      <c r="E476" s="144" t="s">
        <v>42</v>
      </c>
      <c r="F476" s="145" t="s">
        <v>295</v>
      </c>
      <c r="G476" s="28" t="s">
        <v>46</v>
      </c>
      <c r="H476" s="152">
        <f>'прил8 (ведом 24)'!M71</f>
        <v>2089</v>
      </c>
    </row>
    <row r="477" spans="1:8" ht="72" x14ac:dyDescent="0.35">
      <c r="A477" s="256"/>
      <c r="B477" s="387" t="s">
        <v>256</v>
      </c>
      <c r="C477" s="249" t="s">
        <v>32</v>
      </c>
      <c r="D477" s="257" t="s">
        <v>36</v>
      </c>
      <c r="E477" s="257" t="s">
        <v>71</v>
      </c>
      <c r="F477" s="267" t="s">
        <v>35</v>
      </c>
      <c r="G477" s="268"/>
      <c r="H477" s="152">
        <f>H478</f>
        <v>6476.8170699999991</v>
      </c>
    </row>
    <row r="478" spans="1:8" ht="36" x14ac:dyDescent="0.35">
      <c r="A478" s="256"/>
      <c r="B478" s="365" t="s">
        <v>353</v>
      </c>
      <c r="C478" s="249" t="s">
        <v>32</v>
      </c>
      <c r="D478" s="257" t="s">
        <v>36</v>
      </c>
      <c r="E478" s="257" t="s">
        <v>71</v>
      </c>
      <c r="F478" s="267" t="s">
        <v>81</v>
      </c>
      <c r="G478" s="268"/>
      <c r="H478" s="152">
        <f>SUM(H479:H480)</f>
        <v>6476.8170699999991</v>
      </c>
    </row>
    <row r="479" spans="1:8" ht="90" x14ac:dyDescent="0.35">
      <c r="A479" s="256"/>
      <c r="B479" s="387" t="s">
        <v>40</v>
      </c>
      <c r="C479" s="249" t="s">
        <v>32</v>
      </c>
      <c r="D479" s="257" t="s">
        <v>36</v>
      </c>
      <c r="E479" s="257" t="s">
        <v>71</v>
      </c>
      <c r="F479" s="267" t="s">
        <v>81</v>
      </c>
      <c r="G479" s="268" t="s">
        <v>41</v>
      </c>
      <c r="H479" s="152">
        <f>'прил8 (ведом 24)'!M288</f>
        <v>5972.0999999999995</v>
      </c>
    </row>
    <row r="480" spans="1:8" ht="36" x14ac:dyDescent="0.35">
      <c r="A480" s="256"/>
      <c r="B480" s="365" t="s">
        <v>45</v>
      </c>
      <c r="C480" s="249" t="s">
        <v>32</v>
      </c>
      <c r="D480" s="257" t="s">
        <v>36</v>
      </c>
      <c r="E480" s="257" t="s">
        <v>71</v>
      </c>
      <c r="F480" s="267" t="s">
        <v>81</v>
      </c>
      <c r="G480" s="268" t="s">
        <v>46</v>
      </c>
      <c r="H480" s="152">
        <f>'прил8 (ведом 24)'!M289</f>
        <v>504.71706999999998</v>
      </c>
    </row>
    <row r="481" spans="1:8" ht="36" x14ac:dyDescent="0.35">
      <c r="A481" s="256"/>
      <c r="B481" s="481" t="s">
        <v>453</v>
      </c>
      <c r="C481" s="498" t="s">
        <v>32</v>
      </c>
      <c r="D481" s="499" t="s">
        <v>36</v>
      </c>
      <c r="E481" s="499" t="s">
        <v>69</v>
      </c>
      <c r="F481" s="500" t="s">
        <v>35</v>
      </c>
      <c r="G481" s="10"/>
      <c r="H481" s="152">
        <f>H482</f>
        <v>36</v>
      </c>
    </row>
    <row r="482" spans="1:8" ht="18" x14ac:dyDescent="0.35">
      <c r="A482" s="256"/>
      <c r="B482" s="481" t="s">
        <v>454</v>
      </c>
      <c r="C482" s="498" t="s">
        <v>32</v>
      </c>
      <c r="D482" s="499" t="s">
        <v>36</v>
      </c>
      <c r="E482" s="499" t="s">
        <v>69</v>
      </c>
      <c r="F482" s="500" t="s">
        <v>455</v>
      </c>
      <c r="G482" s="10"/>
      <c r="H482" s="152">
        <f>H483</f>
        <v>36</v>
      </c>
    </row>
    <row r="483" spans="1:8" ht="36" x14ac:dyDescent="0.35">
      <c r="A483" s="256"/>
      <c r="B483" s="481" t="s">
        <v>451</v>
      </c>
      <c r="C483" s="498" t="s">
        <v>32</v>
      </c>
      <c r="D483" s="499" t="s">
        <v>36</v>
      </c>
      <c r="E483" s="499" t="s">
        <v>69</v>
      </c>
      <c r="F483" s="500" t="s">
        <v>455</v>
      </c>
      <c r="G483" s="10" t="s">
        <v>456</v>
      </c>
      <c r="H483" s="152">
        <f>'прил8 (ведом 24)'!M185</f>
        <v>36</v>
      </c>
    </row>
    <row r="484" spans="1:8" ht="36" x14ac:dyDescent="0.35">
      <c r="A484" s="256"/>
      <c r="B484" s="368" t="s">
        <v>279</v>
      </c>
      <c r="C484" s="498" t="s">
        <v>32</v>
      </c>
      <c r="D484" s="499" t="s">
        <v>36</v>
      </c>
      <c r="E484" s="499" t="s">
        <v>78</v>
      </c>
      <c r="F484" s="500" t="s">
        <v>35</v>
      </c>
      <c r="G484" s="268"/>
      <c r="H484" s="152">
        <f>H485</f>
        <v>1200</v>
      </c>
    </row>
    <row r="485" spans="1:8" ht="54" x14ac:dyDescent="0.35">
      <c r="A485" s="256"/>
      <c r="B485" s="368" t="s">
        <v>429</v>
      </c>
      <c r="C485" s="498" t="s">
        <v>32</v>
      </c>
      <c r="D485" s="499" t="s">
        <v>36</v>
      </c>
      <c r="E485" s="499" t="s">
        <v>78</v>
      </c>
      <c r="F485" s="500" t="s">
        <v>428</v>
      </c>
      <c r="G485" s="10"/>
      <c r="H485" s="152">
        <f>H486</f>
        <v>1200</v>
      </c>
    </row>
    <row r="486" spans="1:8" ht="36" x14ac:dyDescent="0.35">
      <c r="A486" s="256"/>
      <c r="B486" s="368" t="s">
        <v>45</v>
      </c>
      <c r="C486" s="498" t="s">
        <v>32</v>
      </c>
      <c r="D486" s="499" t="s">
        <v>36</v>
      </c>
      <c r="E486" s="499" t="s">
        <v>78</v>
      </c>
      <c r="F486" s="500" t="s">
        <v>428</v>
      </c>
      <c r="G486" s="10" t="s">
        <v>46</v>
      </c>
      <c r="H486" s="152">
        <f>'прил8 (ведом 24)'!M151</f>
        <v>1200</v>
      </c>
    </row>
    <row r="487" spans="1:8" ht="18" x14ac:dyDescent="0.35">
      <c r="A487" s="256"/>
      <c r="B487" s="435" t="s">
        <v>312</v>
      </c>
      <c r="C487" s="498" t="s">
        <v>32</v>
      </c>
      <c r="D487" s="499" t="s">
        <v>36</v>
      </c>
      <c r="E487" s="499" t="s">
        <v>478</v>
      </c>
      <c r="F487" s="500" t="s">
        <v>35</v>
      </c>
      <c r="G487" s="10"/>
      <c r="H487" s="152">
        <f>H488</f>
        <v>1921.9</v>
      </c>
    </row>
    <row r="488" spans="1:8" ht="36" x14ac:dyDescent="0.35">
      <c r="A488" s="256"/>
      <c r="B488" s="435" t="s">
        <v>285</v>
      </c>
      <c r="C488" s="498" t="s">
        <v>32</v>
      </c>
      <c r="D488" s="499" t="s">
        <v>36</v>
      </c>
      <c r="E488" s="499" t="s">
        <v>478</v>
      </c>
      <c r="F488" s="500" t="s">
        <v>284</v>
      </c>
      <c r="G488" s="10"/>
      <c r="H488" s="152">
        <f>H489</f>
        <v>1921.9</v>
      </c>
    </row>
    <row r="489" spans="1:8" ht="18" x14ac:dyDescent="0.35">
      <c r="A489" s="256"/>
      <c r="B489" s="368" t="s">
        <v>47</v>
      </c>
      <c r="C489" s="498" t="s">
        <v>32</v>
      </c>
      <c r="D489" s="499" t="s">
        <v>36</v>
      </c>
      <c r="E489" s="499" t="s">
        <v>478</v>
      </c>
      <c r="F489" s="500" t="s">
        <v>284</v>
      </c>
      <c r="G489" s="10" t="s">
        <v>48</v>
      </c>
      <c r="H489" s="152">
        <f>'прил8 (ведом 24)'!M74</f>
        <v>1921.9</v>
      </c>
    </row>
    <row r="490" spans="1:8" ht="90" x14ac:dyDescent="0.35">
      <c r="A490" s="256"/>
      <c r="B490" s="368" t="s">
        <v>400</v>
      </c>
      <c r="C490" s="498" t="s">
        <v>32</v>
      </c>
      <c r="D490" s="499" t="s">
        <v>36</v>
      </c>
      <c r="E490" s="499" t="s">
        <v>398</v>
      </c>
      <c r="F490" s="500" t="s">
        <v>35</v>
      </c>
      <c r="G490" s="10"/>
      <c r="H490" s="152">
        <f>H491+H495</f>
        <v>53445.083399999996</v>
      </c>
    </row>
    <row r="491" spans="1:8" ht="36" x14ac:dyDescent="0.35">
      <c r="A491" s="256"/>
      <c r="B491" s="400" t="s">
        <v>353</v>
      </c>
      <c r="C491" s="498" t="s">
        <v>32</v>
      </c>
      <c r="D491" s="499" t="s">
        <v>36</v>
      </c>
      <c r="E491" s="499" t="s">
        <v>398</v>
      </c>
      <c r="F491" s="500" t="s">
        <v>81</v>
      </c>
      <c r="G491" s="10"/>
      <c r="H491" s="152">
        <f>SUM(H492:H494)</f>
        <v>48445.083399999996</v>
      </c>
    </row>
    <row r="492" spans="1:8" ht="90" x14ac:dyDescent="0.35">
      <c r="A492" s="256"/>
      <c r="B492" s="368" t="s">
        <v>40</v>
      </c>
      <c r="C492" s="498" t="s">
        <v>32</v>
      </c>
      <c r="D492" s="499" t="s">
        <v>36</v>
      </c>
      <c r="E492" s="499" t="s">
        <v>398</v>
      </c>
      <c r="F492" s="500" t="s">
        <v>81</v>
      </c>
      <c r="G492" s="10" t="s">
        <v>41</v>
      </c>
      <c r="H492" s="152">
        <f>'прил8 (ведом 24)'!M77</f>
        <v>36934.799999999996</v>
      </c>
    </row>
    <row r="493" spans="1:8" ht="36" x14ac:dyDescent="0.35">
      <c r="A493" s="256"/>
      <c r="B493" s="368" t="s">
        <v>45</v>
      </c>
      <c r="C493" s="498" t="s">
        <v>32</v>
      </c>
      <c r="D493" s="499" t="s">
        <v>36</v>
      </c>
      <c r="E493" s="499" t="s">
        <v>398</v>
      </c>
      <c r="F493" s="500" t="s">
        <v>81</v>
      </c>
      <c r="G493" s="10" t="s">
        <v>46</v>
      </c>
      <c r="H493" s="152">
        <f>'прил8 (ведом 24)'!M78</f>
        <v>11422.383400000001</v>
      </c>
    </row>
    <row r="494" spans="1:8" ht="18" x14ac:dyDescent="0.35">
      <c r="A494" s="256"/>
      <c r="B494" s="368" t="s">
        <v>47</v>
      </c>
      <c r="C494" s="498" t="s">
        <v>32</v>
      </c>
      <c r="D494" s="499" t="s">
        <v>36</v>
      </c>
      <c r="E494" s="499" t="s">
        <v>398</v>
      </c>
      <c r="F494" s="500" t="s">
        <v>81</v>
      </c>
      <c r="G494" s="10" t="s">
        <v>48</v>
      </c>
      <c r="H494" s="152">
        <f>'прил8 (ведом 24)'!M79</f>
        <v>87.9</v>
      </c>
    </row>
    <row r="495" spans="1:8" ht="18" x14ac:dyDescent="0.35">
      <c r="A495" s="256"/>
      <c r="B495" s="368" t="s">
        <v>354</v>
      </c>
      <c r="C495" s="498" t="s">
        <v>32</v>
      </c>
      <c r="D495" s="499" t="s">
        <v>36</v>
      </c>
      <c r="E495" s="499" t="s">
        <v>398</v>
      </c>
      <c r="F495" s="500" t="s">
        <v>318</v>
      </c>
      <c r="G495" s="10"/>
      <c r="H495" s="152">
        <f>H496</f>
        <v>5000</v>
      </c>
    </row>
    <row r="496" spans="1:8" ht="36" x14ac:dyDescent="0.35">
      <c r="A496" s="256"/>
      <c r="B496" s="368" t="s">
        <v>45</v>
      </c>
      <c r="C496" s="498" t="s">
        <v>32</v>
      </c>
      <c r="D496" s="499" t="s">
        <v>36</v>
      </c>
      <c r="E496" s="499" t="s">
        <v>398</v>
      </c>
      <c r="F496" s="500" t="s">
        <v>318</v>
      </c>
      <c r="G496" s="10" t="s">
        <v>46</v>
      </c>
      <c r="H496" s="152">
        <f>'прил8 (ведом 24)'!M81</f>
        <v>5000</v>
      </c>
    </row>
    <row r="497" spans="1:8" ht="18" x14ac:dyDescent="0.35">
      <c r="A497" s="256"/>
      <c r="B497" s="365"/>
      <c r="C497" s="144"/>
      <c r="D497" s="144"/>
      <c r="E497" s="144"/>
      <c r="F497" s="145"/>
      <c r="G497" s="28"/>
      <c r="H497" s="152"/>
    </row>
    <row r="498" spans="1:8" ht="52.2" x14ac:dyDescent="0.3">
      <c r="A498" s="246">
        <v>16</v>
      </c>
      <c r="B498" s="386" t="s">
        <v>197</v>
      </c>
      <c r="C498" s="247" t="s">
        <v>198</v>
      </c>
      <c r="D498" s="247" t="s">
        <v>33</v>
      </c>
      <c r="E498" s="247" t="s">
        <v>34</v>
      </c>
      <c r="F498" s="248" t="s">
        <v>35</v>
      </c>
      <c r="G498" s="240"/>
      <c r="H498" s="182">
        <f>H499</f>
        <v>55.6</v>
      </c>
    </row>
    <row r="499" spans="1:8" ht="18" x14ac:dyDescent="0.35">
      <c r="A499" s="232"/>
      <c r="B499" s="365" t="s">
        <v>287</v>
      </c>
      <c r="C499" s="143" t="s">
        <v>198</v>
      </c>
      <c r="D499" s="144" t="s">
        <v>36</v>
      </c>
      <c r="E499" s="144" t="s">
        <v>34</v>
      </c>
      <c r="F499" s="145" t="s">
        <v>35</v>
      </c>
      <c r="G499" s="28"/>
      <c r="H499" s="152">
        <f>H500</f>
        <v>55.6</v>
      </c>
    </row>
    <row r="500" spans="1:8" ht="126" x14ac:dyDescent="0.35">
      <c r="A500" s="232"/>
      <c r="B500" s="365" t="s">
        <v>432</v>
      </c>
      <c r="C500" s="143" t="s">
        <v>198</v>
      </c>
      <c r="D500" s="144" t="s">
        <v>36</v>
      </c>
      <c r="E500" s="144" t="s">
        <v>28</v>
      </c>
      <c r="F500" s="145" t="s">
        <v>35</v>
      </c>
      <c r="G500" s="28"/>
      <c r="H500" s="152">
        <f>H501</f>
        <v>55.6</v>
      </c>
    </row>
    <row r="501" spans="1:8" ht="36" x14ac:dyDescent="0.35">
      <c r="A501" s="232"/>
      <c r="B501" s="365" t="s">
        <v>199</v>
      </c>
      <c r="C501" s="143" t="s">
        <v>198</v>
      </c>
      <c r="D501" s="144" t="s">
        <v>36</v>
      </c>
      <c r="E501" s="144" t="s">
        <v>28</v>
      </c>
      <c r="F501" s="145" t="s">
        <v>237</v>
      </c>
      <c r="G501" s="28"/>
      <c r="H501" s="152">
        <f>H502</f>
        <v>55.6</v>
      </c>
    </row>
    <row r="502" spans="1:8" ht="36" x14ac:dyDescent="0.35">
      <c r="A502" s="232"/>
      <c r="B502" s="365" t="s">
        <v>66</v>
      </c>
      <c r="C502" s="143" t="s">
        <v>198</v>
      </c>
      <c r="D502" s="144" t="s">
        <v>36</v>
      </c>
      <c r="E502" s="144" t="s">
        <v>28</v>
      </c>
      <c r="F502" s="145" t="s">
        <v>237</v>
      </c>
      <c r="G502" s="28" t="s">
        <v>67</v>
      </c>
      <c r="H502" s="152">
        <f>'прил8 (ведом 24)'!M376</f>
        <v>55.6</v>
      </c>
    </row>
    <row r="503" spans="1:8" ht="18" x14ac:dyDescent="0.35">
      <c r="A503" s="256"/>
      <c r="B503" s="365"/>
      <c r="C503" s="144"/>
      <c r="D503" s="144"/>
      <c r="E503" s="144"/>
      <c r="F503" s="144"/>
      <c r="G503" s="28"/>
      <c r="H503" s="152"/>
    </row>
    <row r="504" spans="1:8" ht="34.799999999999997" x14ac:dyDescent="0.3">
      <c r="A504" s="246">
        <v>17</v>
      </c>
      <c r="B504" s="401" t="s">
        <v>120</v>
      </c>
      <c r="C504" s="247" t="s">
        <v>121</v>
      </c>
      <c r="D504" s="247" t="s">
        <v>33</v>
      </c>
      <c r="E504" s="247" t="s">
        <v>34</v>
      </c>
      <c r="F504" s="247" t="s">
        <v>35</v>
      </c>
      <c r="G504" s="240"/>
      <c r="H504" s="182">
        <f>H505</f>
        <v>6993.8999999999987</v>
      </c>
    </row>
    <row r="505" spans="1:8" ht="36" x14ac:dyDescent="0.35">
      <c r="A505" s="232"/>
      <c r="B505" s="402" t="s">
        <v>122</v>
      </c>
      <c r="C505" s="143" t="s">
        <v>121</v>
      </c>
      <c r="D505" s="144" t="s">
        <v>36</v>
      </c>
      <c r="E505" s="144" t="s">
        <v>34</v>
      </c>
      <c r="F505" s="145" t="s">
        <v>35</v>
      </c>
      <c r="G505" s="28"/>
      <c r="H505" s="152">
        <f>H506+H512+H510</f>
        <v>6993.8999999999987</v>
      </c>
    </row>
    <row r="506" spans="1:8" ht="36" x14ac:dyDescent="0.35">
      <c r="A506" s="232"/>
      <c r="B506" s="365" t="s">
        <v>38</v>
      </c>
      <c r="C506" s="143" t="s">
        <v>121</v>
      </c>
      <c r="D506" s="144" t="s">
        <v>36</v>
      </c>
      <c r="E506" s="144" t="s">
        <v>34</v>
      </c>
      <c r="F506" s="145" t="s">
        <v>39</v>
      </c>
      <c r="G506" s="28"/>
      <c r="H506" s="152">
        <f>H507+H508+H509</f>
        <v>5778.4999999999991</v>
      </c>
    </row>
    <row r="507" spans="1:8" ht="90" x14ac:dyDescent="0.35">
      <c r="A507" s="232"/>
      <c r="B507" s="380" t="s">
        <v>40</v>
      </c>
      <c r="C507" s="143" t="s">
        <v>121</v>
      </c>
      <c r="D507" s="144" t="s">
        <v>36</v>
      </c>
      <c r="E507" s="144" t="s">
        <v>34</v>
      </c>
      <c r="F507" s="145" t="s">
        <v>39</v>
      </c>
      <c r="G507" s="28" t="s">
        <v>41</v>
      </c>
      <c r="H507" s="152">
        <f>'прил8 (ведом 24)'!M233</f>
        <v>5448.2999999999993</v>
      </c>
    </row>
    <row r="508" spans="1:8" ht="36" x14ac:dyDescent="0.35">
      <c r="A508" s="232"/>
      <c r="B508" s="365" t="s">
        <v>45</v>
      </c>
      <c r="C508" s="143" t="s">
        <v>121</v>
      </c>
      <c r="D508" s="144" t="s">
        <v>36</v>
      </c>
      <c r="E508" s="144" t="s">
        <v>34</v>
      </c>
      <c r="F508" s="145" t="s">
        <v>39</v>
      </c>
      <c r="G508" s="28" t="s">
        <v>46</v>
      </c>
      <c r="H508" s="152">
        <f>'прил8 (ведом 24)'!M234</f>
        <v>311.2</v>
      </c>
    </row>
    <row r="509" spans="1:8" ht="18" x14ac:dyDescent="0.35">
      <c r="A509" s="232"/>
      <c r="B509" s="365" t="s">
        <v>47</v>
      </c>
      <c r="C509" s="143" t="s">
        <v>121</v>
      </c>
      <c r="D509" s="144" t="s">
        <v>36</v>
      </c>
      <c r="E509" s="144" t="s">
        <v>34</v>
      </c>
      <c r="F509" s="145" t="s">
        <v>39</v>
      </c>
      <c r="G509" s="28" t="s">
        <v>48</v>
      </c>
      <c r="H509" s="152">
        <f>'прил8 (ведом 24)'!M235</f>
        <v>19</v>
      </c>
    </row>
    <row r="510" spans="1:8" ht="36" x14ac:dyDescent="0.35">
      <c r="A510" s="232"/>
      <c r="B510" s="366" t="s">
        <v>381</v>
      </c>
      <c r="C510" s="498" t="s">
        <v>121</v>
      </c>
      <c r="D510" s="499" t="s">
        <v>36</v>
      </c>
      <c r="E510" s="499" t="s">
        <v>34</v>
      </c>
      <c r="F510" s="499" t="s">
        <v>380</v>
      </c>
      <c r="G510" s="10"/>
      <c r="H510" s="152">
        <f>H511</f>
        <v>48.3</v>
      </c>
    </row>
    <row r="511" spans="1:8" ht="36" x14ac:dyDescent="0.35">
      <c r="A511" s="232"/>
      <c r="B511" s="366" t="s">
        <v>45</v>
      </c>
      <c r="C511" s="498" t="s">
        <v>121</v>
      </c>
      <c r="D511" s="499" t="s">
        <v>36</v>
      </c>
      <c r="E511" s="499" t="s">
        <v>34</v>
      </c>
      <c r="F511" s="499" t="s">
        <v>380</v>
      </c>
      <c r="G511" s="359" t="s">
        <v>46</v>
      </c>
      <c r="H511" s="152">
        <f>'прил8 (ведом 24)'!M243</f>
        <v>48.3</v>
      </c>
    </row>
    <row r="512" spans="1:8" ht="36" x14ac:dyDescent="0.35">
      <c r="A512" s="232"/>
      <c r="B512" s="365" t="s">
        <v>200</v>
      </c>
      <c r="C512" s="143" t="s">
        <v>121</v>
      </c>
      <c r="D512" s="144" t="s">
        <v>36</v>
      </c>
      <c r="E512" s="144" t="s">
        <v>34</v>
      </c>
      <c r="F512" s="145" t="s">
        <v>123</v>
      </c>
      <c r="G512" s="28"/>
      <c r="H512" s="152">
        <f>SUM(H513:H513)</f>
        <v>1167.0999999999999</v>
      </c>
    </row>
    <row r="513" spans="1:8" ht="90" x14ac:dyDescent="0.35">
      <c r="A513" s="232"/>
      <c r="B513" s="365" t="s">
        <v>40</v>
      </c>
      <c r="C513" s="143" t="s">
        <v>121</v>
      </c>
      <c r="D513" s="144" t="s">
        <v>36</v>
      </c>
      <c r="E513" s="144" t="s">
        <v>34</v>
      </c>
      <c r="F513" s="145" t="s">
        <v>123</v>
      </c>
      <c r="G513" s="28" t="s">
        <v>41</v>
      </c>
      <c r="H513" s="152">
        <f>'прил8 (ведом 24)'!M237</f>
        <v>1167.0999999999999</v>
      </c>
    </row>
    <row r="514" spans="1:8" ht="18" x14ac:dyDescent="0.35">
      <c r="A514" s="232"/>
      <c r="B514" s="368"/>
      <c r="C514" s="499"/>
      <c r="D514" s="499"/>
      <c r="E514" s="499"/>
      <c r="F514" s="499"/>
      <c r="G514" s="190"/>
      <c r="H514" s="152"/>
    </row>
    <row r="515" spans="1:8" s="241" customFormat="1" ht="39" customHeight="1" x14ac:dyDescent="0.3">
      <c r="A515" s="246">
        <v>18</v>
      </c>
      <c r="B515" s="401" t="s">
        <v>403</v>
      </c>
      <c r="C515" s="247" t="s">
        <v>58</v>
      </c>
      <c r="D515" s="247" t="s">
        <v>33</v>
      </c>
      <c r="E515" s="247" t="s">
        <v>34</v>
      </c>
      <c r="F515" s="247" t="s">
        <v>35</v>
      </c>
      <c r="G515" s="240"/>
      <c r="H515" s="182">
        <f>H516</f>
        <v>21322.399999999994</v>
      </c>
    </row>
    <row r="516" spans="1:8" ht="18" x14ac:dyDescent="0.35">
      <c r="A516" s="232"/>
      <c r="B516" s="380" t="s">
        <v>344</v>
      </c>
      <c r="C516" s="143" t="s">
        <v>58</v>
      </c>
      <c r="D516" s="144" t="s">
        <v>36</v>
      </c>
      <c r="E516" s="144" t="s">
        <v>34</v>
      </c>
      <c r="F516" s="145" t="s">
        <v>35</v>
      </c>
      <c r="G516" s="28"/>
      <c r="H516" s="152">
        <f>H517</f>
        <v>21322.399999999994</v>
      </c>
    </row>
    <row r="517" spans="1:8" ht="36" x14ac:dyDescent="0.35">
      <c r="A517" s="232"/>
      <c r="B517" s="365" t="s">
        <v>342</v>
      </c>
      <c r="C517" s="143" t="s">
        <v>58</v>
      </c>
      <c r="D517" s="144" t="s">
        <v>36</v>
      </c>
      <c r="E517" s="144" t="s">
        <v>34</v>
      </c>
      <c r="F517" s="145" t="s">
        <v>59</v>
      </c>
      <c r="G517" s="28"/>
      <c r="H517" s="152">
        <f>H518</f>
        <v>21322.399999999994</v>
      </c>
    </row>
    <row r="518" spans="1:8" ht="18" x14ac:dyDescent="0.35">
      <c r="A518" s="232"/>
      <c r="B518" s="365" t="s">
        <v>47</v>
      </c>
      <c r="C518" s="143" t="s">
        <v>58</v>
      </c>
      <c r="D518" s="144" t="s">
        <v>36</v>
      </c>
      <c r="E518" s="144" t="s">
        <v>34</v>
      </c>
      <c r="F518" s="145" t="s">
        <v>59</v>
      </c>
      <c r="G518" s="28" t="s">
        <v>48</v>
      </c>
      <c r="H518" s="152">
        <f>'прил8 (ведом 24)'!M51</f>
        <v>21322.399999999994</v>
      </c>
    </row>
    <row r="519" spans="1:8" ht="14.4" customHeight="1" x14ac:dyDescent="0.35">
      <c r="A519" s="308"/>
      <c r="B519" s="309"/>
      <c r="C519" s="41"/>
      <c r="D519" s="41"/>
      <c r="E519" s="41"/>
      <c r="F519" s="41"/>
      <c r="G519" s="41"/>
      <c r="H519" s="310"/>
    </row>
    <row r="520" spans="1:8" ht="18" x14ac:dyDescent="0.35">
      <c r="A520" s="308"/>
      <c r="B520" s="309"/>
      <c r="C520" s="41"/>
      <c r="D520" s="41"/>
      <c r="E520" s="41"/>
      <c r="F520" s="41"/>
      <c r="G520" s="41"/>
      <c r="H520" s="310"/>
    </row>
    <row r="521" spans="1:8" ht="17.399999999999999" x14ac:dyDescent="0.3">
      <c r="A521" s="230"/>
      <c r="B521" s="36"/>
      <c r="C521" s="37"/>
      <c r="D521" s="37"/>
      <c r="E521" s="37"/>
      <c r="F521" s="37"/>
      <c r="G521" s="38"/>
    </row>
    <row r="522" spans="1:8" ht="18" x14ac:dyDescent="0.35">
      <c r="A522" s="468" t="s">
        <v>313</v>
      </c>
      <c r="B522" s="36"/>
      <c r="C522" s="37"/>
      <c r="D522" s="37"/>
      <c r="E522" s="37"/>
      <c r="F522" s="37"/>
      <c r="G522" s="38"/>
    </row>
    <row r="523" spans="1:8" ht="18" x14ac:dyDescent="0.35">
      <c r="A523" s="468" t="s">
        <v>314</v>
      </c>
      <c r="B523" s="36"/>
      <c r="C523" s="37"/>
      <c r="D523" s="37"/>
      <c r="E523" s="37"/>
      <c r="F523" s="37"/>
      <c r="G523" s="38"/>
    </row>
    <row r="524" spans="1:8" ht="18" x14ac:dyDescent="0.35">
      <c r="A524" s="469" t="s">
        <v>315</v>
      </c>
      <c r="B524" s="36"/>
      <c r="C524" s="39"/>
      <c r="D524" s="37"/>
      <c r="E524" s="37"/>
      <c r="F524" s="37"/>
      <c r="G524" s="39"/>
      <c r="H524" s="467" t="s">
        <v>322</v>
      </c>
    </row>
    <row r="525" spans="1:8" ht="18" x14ac:dyDescent="0.35">
      <c r="A525" s="471"/>
      <c r="B525" s="36"/>
      <c r="C525" s="37"/>
      <c r="D525" s="37"/>
      <c r="E525" s="37"/>
      <c r="F525" s="37"/>
    </row>
    <row r="526" spans="1:8" x14ac:dyDescent="0.3">
      <c r="A526" s="230"/>
      <c r="B526" s="36"/>
      <c r="C526" s="37"/>
      <c r="D526" s="37"/>
      <c r="E526" s="37"/>
      <c r="F526" s="37"/>
    </row>
    <row r="527" spans="1:8" x14ac:dyDescent="0.3">
      <c r="A527" s="230"/>
      <c r="B527" s="36"/>
      <c r="C527" s="37"/>
      <c r="D527" s="37"/>
      <c r="E527" s="37"/>
      <c r="F527" s="37"/>
    </row>
    <row r="528" spans="1:8" ht="17.399999999999999" x14ac:dyDescent="0.3">
      <c r="A528" s="230"/>
      <c r="B528" s="36"/>
      <c r="C528" s="37"/>
      <c r="D528" s="37"/>
      <c r="E528" s="37"/>
      <c r="F528" s="37"/>
      <c r="G528" s="38"/>
    </row>
    <row r="529" spans="1:8" hidden="1" x14ac:dyDescent="0.3">
      <c r="A529" s="228">
        <v>1</v>
      </c>
      <c r="B529" s="282" t="s">
        <v>201</v>
      </c>
      <c r="H529" s="229">
        <f>H14+H143+H201+H242+H269+H300+H324+H360+H405+H414+H420+H430+H436+H442+H395+H498</f>
        <v>2294015.8020299999</v>
      </c>
    </row>
    <row r="530" spans="1:8" hidden="1" x14ac:dyDescent="0.3"/>
    <row r="531" spans="1:8" hidden="1" x14ac:dyDescent="0.3">
      <c r="H531" s="229">
        <f>(H529/H13)*100</f>
        <v>98.780695492464318</v>
      </c>
    </row>
    <row r="532" spans="1:8" hidden="1" x14ac:dyDescent="0.3"/>
    <row r="533" spans="1:8" hidden="1" x14ac:dyDescent="0.3">
      <c r="A533" s="228">
        <v>1</v>
      </c>
      <c r="B533" s="282" t="s">
        <v>202</v>
      </c>
      <c r="H533" s="229">
        <f>H504+H515</f>
        <v>28316.299999999992</v>
      </c>
    </row>
    <row r="534" spans="1:8" hidden="1" x14ac:dyDescent="0.3">
      <c r="H534" s="229">
        <f>(H533/H535)*100</f>
        <v>1.2193045075356841</v>
      </c>
    </row>
    <row r="535" spans="1:8" hidden="1" x14ac:dyDescent="0.3">
      <c r="H535" s="229">
        <f>H529+H533</f>
        <v>2322332.1020299997</v>
      </c>
    </row>
    <row r="536" spans="1:8" hidden="1" x14ac:dyDescent="0.3"/>
  </sheetData>
  <autoFilter ref="A4:H535"/>
  <mergeCells count="3">
    <mergeCell ref="A8:H8"/>
    <mergeCell ref="C11:F11"/>
    <mergeCell ref="C12:F12"/>
  </mergeCells>
  <printOptions horizontalCentered="1"/>
  <pageMargins left="1.1811023622047245" right="0.39370078740157483" top="0.78740157480314965" bottom="0.39370078740157483" header="0" footer="0"/>
  <pageSetup paperSize="9" scale="76" fitToHeight="0" orientation="portrait" blackAndWhite="1" r:id="rId1"/>
  <headerFooter differentFirst="1" alignWithMargins="0">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P823"/>
  <sheetViews>
    <sheetView zoomScale="80" zoomScaleNormal="80" zoomScaleSheetLayoutView="70" workbookViewId="0">
      <selection activeCell="T13" sqref="T13"/>
    </sheetView>
  </sheetViews>
  <sheetFormatPr defaultColWidth="8.88671875" defaultRowHeight="14.4" x14ac:dyDescent="0.3"/>
  <cols>
    <col min="1" max="1" width="4.6640625" style="1" customWidth="1"/>
    <col min="2" max="2" width="54.44140625" style="360" customWidth="1"/>
    <col min="3" max="3" width="10" style="1" customWidth="1"/>
    <col min="4" max="5" width="4.109375" style="1" customWidth="1"/>
    <col min="6" max="6" width="3.33203125" style="1" customWidth="1"/>
    <col min="7" max="7" width="2.44140625" style="1" customWidth="1"/>
    <col min="8" max="8" width="3.33203125" style="1" customWidth="1"/>
    <col min="9" max="9" width="7.6640625" style="1" customWidth="1"/>
    <col min="10" max="10" width="6.5546875" style="1" customWidth="1"/>
    <col min="11" max="11" width="17.6640625" style="30" hidden="1" customWidth="1"/>
    <col min="12" max="12" width="14.77734375" style="30"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K1" s="105"/>
      <c r="L1" s="105"/>
      <c r="M1" s="105" t="s">
        <v>371</v>
      </c>
    </row>
    <row r="2" spans="1:14" ht="18" customHeight="1" x14ac:dyDescent="0.35">
      <c r="K2" s="105"/>
      <c r="L2" s="105"/>
      <c r="M2" s="105" t="s">
        <v>480</v>
      </c>
    </row>
    <row r="4" spans="1:14" ht="18" x14ac:dyDescent="0.35">
      <c r="K4" s="105"/>
      <c r="L4" s="105"/>
      <c r="M4" s="105" t="s">
        <v>374</v>
      </c>
    </row>
    <row r="5" spans="1:14" ht="18" customHeight="1" x14ac:dyDescent="0.35">
      <c r="K5" s="105"/>
      <c r="L5" s="105"/>
      <c r="M5" s="105" t="s">
        <v>476</v>
      </c>
    </row>
    <row r="6" spans="1:14" ht="14.4" customHeight="1" x14ac:dyDescent="0.3"/>
    <row r="7" spans="1:14" ht="14.4" customHeight="1" x14ac:dyDescent="0.3"/>
    <row r="8" spans="1:14" ht="17.399999999999999" customHeight="1" x14ac:dyDescent="0.3">
      <c r="A8" s="516" t="s">
        <v>436</v>
      </c>
      <c r="B8" s="516"/>
      <c r="C8" s="516"/>
      <c r="D8" s="516"/>
      <c r="E8" s="516"/>
      <c r="F8" s="516"/>
      <c r="G8" s="516"/>
      <c r="H8" s="516"/>
      <c r="I8" s="516"/>
      <c r="J8" s="516"/>
      <c r="K8" s="516"/>
      <c r="L8" s="516"/>
      <c r="M8" s="516"/>
    </row>
    <row r="9" spans="1:14" ht="17.399999999999999" customHeight="1" x14ac:dyDescent="0.3">
      <c r="A9" s="497"/>
      <c r="B9" s="361"/>
      <c r="C9" s="497"/>
      <c r="D9" s="497"/>
      <c r="E9" s="497"/>
      <c r="F9" s="497"/>
      <c r="G9" s="497"/>
      <c r="H9" s="497"/>
      <c r="I9" s="497"/>
      <c r="J9" s="497"/>
    </row>
    <row r="10" spans="1:14" ht="18" customHeight="1" x14ac:dyDescent="0.35">
      <c r="A10" s="2"/>
      <c r="B10" s="3"/>
      <c r="C10" s="4"/>
      <c r="D10" s="4"/>
      <c r="E10" s="4"/>
      <c r="F10" s="4"/>
      <c r="G10" s="2"/>
      <c r="H10" s="5"/>
      <c r="I10" s="6"/>
      <c r="J10" s="7"/>
      <c r="K10" s="340"/>
      <c r="L10" s="340"/>
      <c r="M10" s="340" t="s">
        <v>13</v>
      </c>
    </row>
    <row r="11" spans="1:14" ht="18" customHeight="1" x14ac:dyDescent="0.3">
      <c r="A11" s="520" t="s">
        <v>14</v>
      </c>
      <c r="B11" s="522" t="s">
        <v>15</v>
      </c>
      <c r="C11" s="524" t="s">
        <v>16</v>
      </c>
      <c r="D11" s="524" t="s">
        <v>17</v>
      </c>
      <c r="E11" s="524" t="s">
        <v>18</v>
      </c>
      <c r="F11" s="526" t="s">
        <v>19</v>
      </c>
      <c r="G11" s="527"/>
      <c r="H11" s="527"/>
      <c r="I11" s="528"/>
      <c r="J11" s="524" t="s">
        <v>20</v>
      </c>
      <c r="K11" s="532" t="s">
        <v>460</v>
      </c>
      <c r="L11" s="534" t="s">
        <v>368</v>
      </c>
      <c r="M11" s="535"/>
    </row>
    <row r="12" spans="1:14" ht="36.6" customHeight="1" x14ac:dyDescent="0.35">
      <c r="A12" s="521"/>
      <c r="B12" s="523"/>
      <c r="C12" s="525"/>
      <c r="D12" s="525"/>
      <c r="E12" s="525"/>
      <c r="F12" s="529"/>
      <c r="G12" s="530"/>
      <c r="H12" s="530"/>
      <c r="I12" s="531"/>
      <c r="J12" s="525"/>
      <c r="K12" s="533"/>
      <c r="L12" s="491" t="s">
        <v>461</v>
      </c>
      <c r="M12" s="492" t="s">
        <v>475</v>
      </c>
    </row>
    <row r="13" spans="1:14" ht="18" customHeight="1" x14ac:dyDescent="0.35">
      <c r="A13" s="8">
        <v>1</v>
      </c>
      <c r="B13" s="9">
        <v>2</v>
      </c>
      <c r="C13" s="10" t="s">
        <v>21</v>
      </c>
      <c r="D13" s="10" t="s">
        <v>22</v>
      </c>
      <c r="E13" s="10" t="s">
        <v>23</v>
      </c>
      <c r="F13" s="517" t="s">
        <v>24</v>
      </c>
      <c r="G13" s="518"/>
      <c r="H13" s="518"/>
      <c r="I13" s="519"/>
      <c r="J13" s="10" t="s">
        <v>25</v>
      </c>
      <c r="K13" s="31"/>
      <c r="L13" s="31">
        <v>8</v>
      </c>
      <c r="M13" s="31">
        <v>9</v>
      </c>
    </row>
    <row r="14" spans="1:14" ht="18" customHeight="1" x14ac:dyDescent="0.3">
      <c r="A14" s="11">
        <v>1</v>
      </c>
      <c r="B14" s="12" t="s">
        <v>167</v>
      </c>
      <c r="C14" s="13"/>
      <c r="D14" s="14"/>
      <c r="E14" s="14"/>
      <c r="F14" s="15"/>
      <c r="G14" s="16"/>
      <c r="H14" s="16"/>
      <c r="I14" s="17"/>
      <c r="J14" s="14"/>
      <c r="K14" s="183">
        <f>K15+K187+K227+K245+K504+K583+K639+K676+K338</f>
        <v>2274004.3000000003</v>
      </c>
      <c r="L14" s="183">
        <f>L15+L187+L227+L245+L504+L583+L639+L676+L338</f>
        <v>48327.802029999984</v>
      </c>
      <c r="M14" s="183">
        <f>M15+M187+M227+M245+M504+M583+M639+M676+M338</f>
        <v>2322332.1020299997</v>
      </c>
      <c r="N14" s="142"/>
    </row>
    <row r="15" spans="1:14" s="75" customFormat="1" ht="34.950000000000003" customHeight="1" x14ac:dyDescent="0.3">
      <c r="A15" s="73">
        <v>1</v>
      </c>
      <c r="B15" s="404" t="s">
        <v>0</v>
      </c>
      <c r="C15" s="18" t="s">
        <v>1</v>
      </c>
      <c r="D15" s="19"/>
      <c r="E15" s="19"/>
      <c r="F15" s="20"/>
      <c r="G15" s="21"/>
      <c r="H15" s="21"/>
      <c r="I15" s="22"/>
      <c r="J15" s="19"/>
      <c r="K15" s="32">
        <f>K16+K82+K116+K152+K166+K159+K179</f>
        <v>233859.5</v>
      </c>
      <c r="L15" s="32">
        <f>L16+L82+L116+L152+L166+L159+L179</f>
        <v>11251.396529999998</v>
      </c>
      <c r="M15" s="32">
        <f>M16+M82+M116+M152+M166+M159+M179</f>
        <v>245110.89653</v>
      </c>
    </row>
    <row r="16" spans="1:14" s="76" customFormat="1" ht="18" customHeight="1" x14ac:dyDescent="0.35">
      <c r="A16" s="11"/>
      <c r="B16" s="368" t="s">
        <v>27</v>
      </c>
      <c r="C16" s="23" t="s">
        <v>1</v>
      </c>
      <c r="D16" s="10" t="s">
        <v>28</v>
      </c>
      <c r="E16" s="10"/>
      <c r="F16" s="498"/>
      <c r="G16" s="499"/>
      <c r="H16" s="499"/>
      <c r="I16" s="500"/>
      <c r="J16" s="10"/>
      <c r="K16" s="24">
        <f>K17+K23+K47+K52+K41</f>
        <v>166073.60000000001</v>
      </c>
      <c r="L16" s="24">
        <f t="shared" ref="L16" si="0">L17+L23+L47+L52+L41</f>
        <v>9216.0573999999979</v>
      </c>
      <c r="M16" s="24">
        <f>M17+M23+M47+M52+M41</f>
        <v>175289.6574</v>
      </c>
    </row>
    <row r="17" spans="1:15" s="74" customFormat="1" ht="54" customHeight="1" x14ac:dyDescent="0.35">
      <c r="A17" s="11"/>
      <c r="B17" s="368" t="s">
        <v>29</v>
      </c>
      <c r="C17" s="23" t="s">
        <v>1</v>
      </c>
      <c r="D17" s="10" t="s">
        <v>28</v>
      </c>
      <c r="E17" s="10" t="s">
        <v>30</v>
      </c>
      <c r="F17" s="498"/>
      <c r="G17" s="499"/>
      <c r="H17" s="499"/>
      <c r="I17" s="500"/>
      <c r="J17" s="10"/>
      <c r="K17" s="24">
        <f>K18</f>
        <v>2638.4</v>
      </c>
      <c r="L17" s="24">
        <f t="shared" ref="L17" si="1">L18</f>
        <v>0</v>
      </c>
      <c r="M17" s="24">
        <f>M18</f>
        <v>2638.4</v>
      </c>
      <c r="O17" s="74" t="s">
        <v>340</v>
      </c>
    </row>
    <row r="18" spans="1:15" s="74" customFormat="1" ht="54" customHeight="1" x14ac:dyDescent="0.35">
      <c r="A18" s="11"/>
      <c r="B18" s="368" t="s">
        <v>31</v>
      </c>
      <c r="C18" s="23" t="s">
        <v>1</v>
      </c>
      <c r="D18" s="10" t="s">
        <v>28</v>
      </c>
      <c r="E18" s="10" t="s">
        <v>30</v>
      </c>
      <c r="F18" s="498" t="s">
        <v>32</v>
      </c>
      <c r="G18" s="499" t="s">
        <v>33</v>
      </c>
      <c r="H18" s="499" t="s">
        <v>34</v>
      </c>
      <c r="I18" s="500" t="s">
        <v>35</v>
      </c>
      <c r="J18" s="10"/>
      <c r="K18" s="24">
        <f t="shared" ref="K18:M20" si="2">K19</f>
        <v>2638.4</v>
      </c>
      <c r="L18" s="24">
        <f t="shared" si="2"/>
        <v>0</v>
      </c>
      <c r="M18" s="24">
        <f t="shared" si="2"/>
        <v>2638.4</v>
      </c>
    </row>
    <row r="19" spans="1:15" s="74" customFormat="1" ht="36" customHeight="1" x14ac:dyDescent="0.35">
      <c r="A19" s="11"/>
      <c r="B19" s="368" t="s">
        <v>287</v>
      </c>
      <c r="C19" s="23" t="s">
        <v>1</v>
      </c>
      <c r="D19" s="10" t="s">
        <v>28</v>
      </c>
      <c r="E19" s="10" t="s">
        <v>30</v>
      </c>
      <c r="F19" s="498" t="s">
        <v>32</v>
      </c>
      <c r="G19" s="499" t="s">
        <v>36</v>
      </c>
      <c r="H19" s="499" t="s">
        <v>34</v>
      </c>
      <c r="I19" s="500" t="s">
        <v>35</v>
      </c>
      <c r="J19" s="10"/>
      <c r="K19" s="24">
        <f t="shared" si="2"/>
        <v>2638.4</v>
      </c>
      <c r="L19" s="24">
        <f t="shared" si="2"/>
        <v>0</v>
      </c>
      <c r="M19" s="24">
        <f t="shared" si="2"/>
        <v>2638.4</v>
      </c>
    </row>
    <row r="20" spans="1:15" s="74" customFormat="1" ht="54" customHeight="1" x14ac:dyDescent="0.35">
      <c r="A20" s="11"/>
      <c r="B20" s="368" t="s">
        <v>37</v>
      </c>
      <c r="C20" s="23" t="s">
        <v>1</v>
      </c>
      <c r="D20" s="10" t="s">
        <v>28</v>
      </c>
      <c r="E20" s="10" t="s">
        <v>30</v>
      </c>
      <c r="F20" s="498" t="s">
        <v>32</v>
      </c>
      <c r="G20" s="499" t="s">
        <v>36</v>
      </c>
      <c r="H20" s="499" t="s">
        <v>28</v>
      </c>
      <c r="I20" s="500" t="s">
        <v>35</v>
      </c>
      <c r="J20" s="10"/>
      <c r="K20" s="24">
        <f>K21</f>
        <v>2638.4</v>
      </c>
      <c r="L20" s="24">
        <f t="shared" si="2"/>
        <v>0</v>
      </c>
      <c r="M20" s="24">
        <f>M21</f>
        <v>2638.4</v>
      </c>
    </row>
    <row r="21" spans="1:15" s="74" customFormat="1" ht="36" customHeight="1" x14ac:dyDescent="0.35">
      <c r="A21" s="11"/>
      <c r="B21" s="368" t="s">
        <v>38</v>
      </c>
      <c r="C21" s="23" t="s">
        <v>1</v>
      </c>
      <c r="D21" s="10" t="s">
        <v>28</v>
      </c>
      <c r="E21" s="10" t="s">
        <v>30</v>
      </c>
      <c r="F21" s="498" t="s">
        <v>32</v>
      </c>
      <c r="G21" s="499" t="s">
        <v>36</v>
      </c>
      <c r="H21" s="499" t="s">
        <v>28</v>
      </c>
      <c r="I21" s="500" t="s">
        <v>39</v>
      </c>
      <c r="J21" s="10"/>
      <c r="K21" s="24">
        <f>K22</f>
        <v>2638.4</v>
      </c>
      <c r="L21" s="24">
        <f>L22</f>
        <v>0</v>
      </c>
      <c r="M21" s="24">
        <f>M22</f>
        <v>2638.4</v>
      </c>
    </row>
    <row r="22" spans="1:15" s="74" customFormat="1" ht="108" customHeight="1" x14ac:dyDescent="0.35">
      <c r="A22" s="11"/>
      <c r="B22" s="368" t="s">
        <v>40</v>
      </c>
      <c r="C22" s="23" t="s">
        <v>1</v>
      </c>
      <c r="D22" s="10" t="s">
        <v>28</v>
      </c>
      <c r="E22" s="10" t="s">
        <v>30</v>
      </c>
      <c r="F22" s="498" t="s">
        <v>32</v>
      </c>
      <c r="G22" s="499" t="s">
        <v>36</v>
      </c>
      <c r="H22" s="499" t="s">
        <v>28</v>
      </c>
      <c r="I22" s="500" t="s">
        <v>39</v>
      </c>
      <c r="J22" s="10" t="s">
        <v>41</v>
      </c>
      <c r="K22" s="24">
        <v>2638.4</v>
      </c>
      <c r="L22" s="24">
        <f>M22-K22</f>
        <v>0</v>
      </c>
      <c r="M22" s="24">
        <v>2638.4</v>
      </c>
    </row>
    <row r="23" spans="1:15" s="76" customFormat="1" ht="72" x14ac:dyDescent="0.35">
      <c r="A23" s="11"/>
      <c r="B23" s="368" t="s">
        <v>462</v>
      </c>
      <c r="C23" s="23" t="s">
        <v>1</v>
      </c>
      <c r="D23" s="10" t="s">
        <v>28</v>
      </c>
      <c r="E23" s="10" t="s">
        <v>42</v>
      </c>
      <c r="F23" s="498"/>
      <c r="G23" s="499"/>
      <c r="H23" s="499"/>
      <c r="I23" s="500"/>
      <c r="J23" s="10"/>
      <c r="K23" s="24">
        <f t="shared" ref="K23:M25" si="3">K24</f>
        <v>84995.700000000012</v>
      </c>
      <c r="L23" s="24">
        <f t="shared" si="3"/>
        <v>68.174000000000049</v>
      </c>
      <c r="M23" s="24">
        <f t="shared" si="3"/>
        <v>85063.873999999996</v>
      </c>
    </row>
    <row r="24" spans="1:15" s="76" customFormat="1" ht="54" customHeight="1" x14ac:dyDescent="0.35">
      <c r="A24" s="11"/>
      <c r="B24" s="368" t="s">
        <v>43</v>
      </c>
      <c r="C24" s="23" t="s">
        <v>1</v>
      </c>
      <c r="D24" s="10" t="s">
        <v>28</v>
      </c>
      <c r="E24" s="10" t="s">
        <v>42</v>
      </c>
      <c r="F24" s="498" t="s">
        <v>32</v>
      </c>
      <c r="G24" s="499" t="s">
        <v>33</v>
      </c>
      <c r="H24" s="499" t="s">
        <v>34</v>
      </c>
      <c r="I24" s="500" t="s">
        <v>35</v>
      </c>
      <c r="J24" s="10"/>
      <c r="K24" s="24">
        <f t="shared" si="3"/>
        <v>84995.700000000012</v>
      </c>
      <c r="L24" s="24">
        <f t="shared" si="3"/>
        <v>68.174000000000049</v>
      </c>
      <c r="M24" s="24">
        <f t="shared" si="3"/>
        <v>85063.873999999996</v>
      </c>
    </row>
    <row r="25" spans="1:15" s="7" customFormat="1" ht="36" customHeight="1" x14ac:dyDescent="0.35">
      <c r="A25" s="11"/>
      <c r="B25" s="368" t="s">
        <v>287</v>
      </c>
      <c r="C25" s="23" t="s">
        <v>1</v>
      </c>
      <c r="D25" s="10" t="s">
        <v>28</v>
      </c>
      <c r="E25" s="10" t="s">
        <v>42</v>
      </c>
      <c r="F25" s="498" t="s">
        <v>32</v>
      </c>
      <c r="G25" s="499" t="s">
        <v>36</v>
      </c>
      <c r="H25" s="499" t="s">
        <v>34</v>
      </c>
      <c r="I25" s="500" t="s">
        <v>35</v>
      </c>
      <c r="J25" s="10"/>
      <c r="K25" s="24">
        <f>K26</f>
        <v>84995.700000000012</v>
      </c>
      <c r="L25" s="24">
        <f t="shared" si="3"/>
        <v>68.174000000000049</v>
      </c>
      <c r="M25" s="24">
        <f>M26</f>
        <v>85063.873999999996</v>
      </c>
    </row>
    <row r="26" spans="1:15" s="7" customFormat="1" ht="36" customHeight="1" x14ac:dyDescent="0.35">
      <c r="A26" s="11"/>
      <c r="B26" s="368" t="s">
        <v>44</v>
      </c>
      <c r="C26" s="23" t="s">
        <v>1</v>
      </c>
      <c r="D26" s="10" t="s">
        <v>28</v>
      </c>
      <c r="E26" s="10" t="s">
        <v>42</v>
      </c>
      <c r="F26" s="498" t="s">
        <v>32</v>
      </c>
      <c r="G26" s="499" t="s">
        <v>36</v>
      </c>
      <c r="H26" s="499" t="s">
        <v>30</v>
      </c>
      <c r="I26" s="500" t="s">
        <v>35</v>
      </c>
      <c r="J26" s="10"/>
      <c r="K26" s="24">
        <f>K27+K33+K35+K31+K38</f>
        <v>84995.700000000012</v>
      </c>
      <c r="L26" s="24">
        <f t="shared" ref="L26" si="4">L27+L33+L35+L31+L38</f>
        <v>68.174000000000049</v>
      </c>
      <c r="M26" s="24">
        <f>M27+M33+M35+M31+M38</f>
        <v>85063.873999999996</v>
      </c>
    </row>
    <row r="27" spans="1:15" s="74" customFormat="1" ht="36" customHeight="1" x14ac:dyDescent="0.35">
      <c r="A27" s="11"/>
      <c r="B27" s="368" t="s">
        <v>38</v>
      </c>
      <c r="C27" s="23" t="s">
        <v>1</v>
      </c>
      <c r="D27" s="10" t="s">
        <v>28</v>
      </c>
      <c r="E27" s="10" t="s">
        <v>42</v>
      </c>
      <c r="F27" s="498" t="s">
        <v>32</v>
      </c>
      <c r="G27" s="499" t="s">
        <v>36</v>
      </c>
      <c r="H27" s="499" t="s">
        <v>30</v>
      </c>
      <c r="I27" s="500" t="s">
        <v>39</v>
      </c>
      <c r="J27" s="10"/>
      <c r="K27" s="24">
        <f>K28+K29+K30</f>
        <v>79316.100000000006</v>
      </c>
      <c r="L27" s="24">
        <f t="shared" ref="L27" si="5">L28+L29+L30</f>
        <v>68.174000000000049</v>
      </c>
      <c r="M27" s="24">
        <f>M28+M29+M30</f>
        <v>79384.27399999999</v>
      </c>
    </row>
    <row r="28" spans="1:15" s="74" customFormat="1" ht="108" customHeight="1" x14ac:dyDescent="0.35">
      <c r="A28" s="11"/>
      <c r="B28" s="368" t="s">
        <v>40</v>
      </c>
      <c r="C28" s="23" t="s">
        <v>1</v>
      </c>
      <c r="D28" s="10" t="s">
        <v>28</v>
      </c>
      <c r="E28" s="10" t="s">
        <v>42</v>
      </c>
      <c r="F28" s="498" t="s">
        <v>32</v>
      </c>
      <c r="G28" s="499" t="s">
        <v>36</v>
      </c>
      <c r="H28" s="499" t="s">
        <v>30</v>
      </c>
      <c r="I28" s="500" t="s">
        <v>39</v>
      </c>
      <c r="J28" s="10" t="s">
        <v>41</v>
      </c>
      <c r="K28" s="24">
        <v>78713.2</v>
      </c>
      <c r="L28" s="24">
        <f>M28-K28</f>
        <v>0</v>
      </c>
      <c r="M28" s="24">
        <v>78713.2</v>
      </c>
      <c r="N28" s="76"/>
    </row>
    <row r="29" spans="1:15" s="7" customFormat="1" ht="54" customHeight="1" x14ac:dyDescent="0.35">
      <c r="A29" s="11"/>
      <c r="B29" s="368" t="s">
        <v>45</v>
      </c>
      <c r="C29" s="23" t="s">
        <v>1</v>
      </c>
      <c r="D29" s="10" t="s">
        <v>28</v>
      </c>
      <c r="E29" s="10" t="s">
        <v>42</v>
      </c>
      <c r="F29" s="498" t="s">
        <v>32</v>
      </c>
      <c r="G29" s="499" t="s">
        <v>36</v>
      </c>
      <c r="H29" s="499" t="s">
        <v>30</v>
      </c>
      <c r="I29" s="500" t="s">
        <v>39</v>
      </c>
      <c r="J29" s="10" t="s">
        <v>46</v>
      </c>
      <c r="K29" s="24">
        <v>542.6</v>
      </c>
      <c r="L29" s="24">
        <f>M29-K29</f>
        <v>3.4740000000000464</v>
      </c>
      <c r="M29" s="24">
        <f>542.6+3.474</f>
        <v>546.07400000000007</v>
      </c>
    </row>
    <row r="30" spans="1:15" s="74" customFormat="1" ht="18" customHeight="1" x14ac:dyDescent="0.35">
      <c r="A30" s="11"/>
      <c r="B30" s="368" t="s">
        <v>47</v>
      </c>
      <c r="C30" s="23" t="s">
        <v>1</v>
      </c>
      <c r="D30" s="10" t="s">
        <v>28</v>
      </c>
      <c r="E30" s="10" t="s">
        <v>42</v>
      </c>
      <c r="F30" s="498" t="s">
        <v>32</v>
      </c>
      <c r="G30" s="499" t="s">
        <v>36</v>
      </c>
      <c r="H30" s="499" t="s">
        <v>30</v>
      </c>
      <c r="I30" s="500" t="s">
        <v>39</v>
      </c>
      <c r="J30" s="10" t="s">
        <v>48</v>
      </c>
      <c r="K30" s="24">
        <v>60.3</v>
      </c>
      <c r="L30" s="24">
        <f>M30-K30</f>
        <v>64.7</v>
      </c>
      <c r="M30" s="24">
        <f>60.3+64.7</f>
        <v>125</v>
      </c>
      <c r="N30" s="7"/>
    </row>
    <row r="31" spans="1:15" s="7" customFormat="1" ht="210.75" customHeight="1" x14ac:dyDescent="0.35">
      <c r="A31" s="11"/>
      <c r="B31" s="368" t="s">
        <v>450</v>
      </c>
      <c r="C31" s="23" t="s">
        <v>1</v>
      </c>
      <c r="D31" s="10" t="s">
        <v>28</v>
      </c>
      <c r="E31" s="10" t="s">
        <v>42</v>
      </c>
      <c r="F31" s="498" t="s">
        <v>32</v>
      </c>
      <c r="G31" s="499" t="s">
        <v>36</v>
      </c>
      <c r="H31" s="499" t="s">
        <v>30</v>
      </c>
      <c r="I31" s="500" t="s">
        <v>222</v>
      </c>
      <c r="J31" s="10"/>
      <c r="K31" s="24">
        <f>K32</f>
        <v>63</v>
      </c>
      <c r="L31" s="24">
        <f t="shared" ref="L31" si="6">L32</f>
        <v>0</v>
      </c>
      <c r="M31" s="24">
        <f>M32</f>
        <v>63</v>
      </c>
    </row>
    <row r="32" spans="1:15" s="76" customFormat="1" ht="54" customHeight="1" x14ac:dyDescent="0.35">
      <c r="A32" s="11"/>
      <c r="B32" s="368" t="s">
        <v>45</v>
      </c>
      <c r="C32" s="23" t="s">
        <v>1</v>
      </c>
      <c r="D32" s="10" t="s">
        <v>28</v>
      </c>
      <c r="E32" s="10" t="s">
        <v>42</v>
      </c>
      <c r="F32" s="498" t="s">
        <v>32</v>
      </c>
      <c r="G32" s="499" t="s">
        <v>36</v>
      </c>
      <c r="H32" s="499" t="s">
        <v>30</v>
      </c>
      <c r="I32" s="500" t="s">
        <v>222</v>
      </c>
      <c r="J32" s="10" t="s">
        <v>46</v>
      </c>
      <c r="K32" s="24">
        <v>63</v>
      </c>
      <c r="L32" s="24">
        <f>M32-K32</f>
        <v>0</v>
      </c>
      <c r="M32" s="24">
        <v>63</v>
      </c>
    </row>
    <row r="33" spans="1:13" s="76" customFormat="1" ht="198" customHeight="1" x14ac:dyDescent="0.35">
      <c r="A33" s="11"/>
      <c r="B33" s="405" t="s">
        <v>347</v>
      </c>
      <c r="C33" s="23" t="s">
        <v>1</v>
      </c>
      <c r="D33" s="10" t="s">
        <v>28</v>
      </c>
      <c r="E33" s="10" t="s">
        <v>42</v>
      </c>
      <c r="F33" s="498" t="s">
        <v>32</v>
      </c>
      <c r="G33" s="499" t="s">
        <v>36</v>
      </c>
      <c r="H33" s="499" t="s">
        <v>30</v>
      </c>
      <c r="I33" s="500" t="s">
        <v>49</v>
      </c>
      <c r="J33" s="10"/>
      <c r="K33" s="24">
        <f>K34</f>
        <v>755.8</v>
      </c>
      <c r="L33" s="24">
        <f t="shared" ref="L33" si="7">L34</f>
        <v>0</v>
      </c>
      <c r="M33" s="24">
        <f>M34</f>
        <v>755.8</v>
      </c>
    </row>
    <row r="34" spans="1:13" s="76" customFormat="1" ht="108" customHeight="1" x14ac:dyDescent="0.35">
      <c r="A34" s="11"/>
      <c r="B34" s="368" t="s">
        <v>40</v>
      </c>
      <c r="C34" s="23" t="s">
        <v>1</v>
      </c>
      <c r="D34" s="10" t="s">
        <v>28</v>
      </c>
      <c r="E34" s="10" t="s">
        <v>42</v>
      </c>
      <c r="F34" s="498" t="s">
        <v>32</v>
      </c>
      <c r="G34" s="499" t="s">
        <v>36</v>
      </c>
      <c r="H34" s="499" t="s">
        <v>30</v>
      </c>
      <c r="I34" s="500" t="s">
        <v>49</v>
      </c>
      <c r="J34" s="10" t="s">
        <v>41</v>
      </c>
      <c r="K34" s="24">
        <v>755.8</v>
      </c>
      <c r="L34" s="24">
        <f>M34-K34</f>
        <v>0</v>
      </c>
      <c r="M34" s="24">
        <v>755.8</v>
      </c>
    </row>
    <row r="35" spans="1:13" s="76" customFormat="1" ht="72" customHeight="1" x14ac:dyDescent="0.35">
      <c r="A35" s="11"/>
      <c r="B35" s="368" t="s">
        <v>326</v>
      </c>
      <c r="C35" s="23" t="s">
        <v>1</v>
      </c>
      <c r="D35" s="10" t="s">
        <v>28</v>
      </c>
      <c r="E35" s="10" t="s">
        <v>42</v>
      </c>
      <c r="F35" s="498" t="s">
        <v>32</v>
      </c>
      <c r="G35" s="499" t="s">
        <v>36</v>
      </c>
      <c r="H35" s="499" t="s">
        <v>30</v>
      </c>
      <c r="I35" s="500" t="s">
        <v>51</v>
      </c>
      <c r="J35" s="10"/>
      <c r="K35" s="24">
        <f>K36+K37</f>
        <v>756</v>
      </c>
      <c r="L35" s="24">
        <f t="shared" ref="L35" si="8">L36+L37</f>
        <v>0</v>
      </c>
      <c r="M35" s="24">
        <f>M36+M37</f>
        <v>756</v>
      </c>
    </row>
    <row r="36" spans="1:13" s="76" customFormat="1" ht="108" customHeight="1" x14ac:dyDescent="0.35">
      <c r="A36" s="11"/>
      <c r="B36" s="368" t="s">
        <v>40</v>
      </c>
      <c r="C36" s="23" t="s">
        <v>1</v>
      </c>
      <c r="D36" s="10" t="s">
        <v>28</v>
      </c>
      <c r="E36" s="10" t="s">
        <v>42</v>
      </c>
      <c r="F36" s="498" t="s">
        <v>32</v>
      </c>
      <c r="G36" s="499" t="s">
        <v>36</v>
      </c>
      <c r="H36" s="499" t="s">
        <v>30</v>
      </c>
      <c r="I36" s="500" t="s">
        <v>51</v>
      </c>
      <c r="J36" s="10" t="s">
        <v>41</v>
      </c>
      <c r="K36" s="24">
        <v>751.8</v>
      </c>
      <c r="L36" s="24">
        <f>M36-K36</f>
        <v>0</v>
      </c>
      <c r="M36" s="24">
        <v>751.8</v>
      </c>
    </row>
    <row r="37" spans="1:13" s="76" customFormat="1" ht="54" customHeight="1" x14ac:dyDescent="0.35">
      <c r="A37" s="11"/>
      <c r="B37" s="368" t="s">
        <v>45</v>
      </c>
      <c r="C37" s="23" t="s">
        <v>1</v>
      </c>
      <c r="D37" s="10" t="s">
        <v>28</v>
      </c>
      <c r="E37" s="10" t="s">
        <v>42</v>
      </c>
      <c r="F37" s="498" t="s">
        <v>32</v>
      </c>
      <c r="G37" s="499" t="s">
        <v>36</v>
      </c>
      <c r="H37" s="499" t="s">
        <v>30</v>
      </c>
      <c r="I37" s="500" t="s">
        <v>51</v>
      </c>
      <c r="J37" s="10" t="s">
        <v>46</v>
      </c>
      <c r="K37" s="24">
        <v>4.2</v>
      </c>
      <c r="L37" s="24">
        <f>M37-K37</f>
        <v>0</v>
      </c>
      <c r="M37" s="24">
        <v>4.2</v>
      </c>
    </row>
    <row r="38" spans="1:13" s="76" customFormat="1" ht="72" customHeight="1" x14ac:dyDescent="0.35">
      <c r="A38" s="11"/>
      <c r="B38" s="368" t="s">
        <v>50</v>
      </c>
      <c r="C38" s="23" t="s">
        <v>1</v>
      </c>
      <c r="D38" s="10" t="s">
        <v>28</v>
      </c>
      <c r="E38" s="10" t="s">
        <v>42</v>
      </c>
      <c r="F38" s="498" t="s">
        <v>32</v>
      </c>
      <c r="G38" s="499" t="s">
        <v>36</v>
      </c>
      <c r="H38" s="499" t="s">
        <v>30</v>
      </c>
      <c r="I38" s="500" t="s">
        <v>382</v>
      </c>
      <c r="J38" s="10"/>
      <c r="K38" s="24">
        <f>SUM(K39:K40)</f>
        <v>4104.8</v>
      </c>
      <c r="L38" s="24">
        <f t="shared" ref="L38" si="9">SUM(L39:L40)</f>
        <v>0</v>
      </c>
      <c r="M38" s="24">
        <f>SUM(M39:M40)</f>
        <v>4104.8</v>
      </c>
    </row>
    <row r="39" spans="1:13" s="76" customFormat="1" ht="108" customHeight="1" x14ac:dyDescent="0.35">
      <c r="A39" s="11"/>
      <c r="B39" s="368" t="s">
        <v>40</v>
      </c>
      <c r="C39" s="23" t="s">
        <v>1</v>
      </c>
      <c r="D39" s="10" t="s">
        <v>28</v>
      </c>
      <c r="E39" s="10" t="s">
        <v>42</v>
      </c>
      <c r="F39" s="498" t="s">
        <v>32</v>
      </c>
      <c r="G39" s="499" t="s">
        <v>36</v>
      </c>
      <c r="H39" s="499" t="s">
        <v>30</v>
      </c>
      <c r="I39" s="500" t="s">
        <v>382</v>
      </c>
      <c r="J39" s="10" t="s">
        <v>41</v>
      </c>
      <c r="K39" s="24">
        <v>4029.8</v>
      </c>
      <c r="L39" s="24">
        <f>M39-K39</f>
        <v>0</v>
      </c>
      <c r="M39" s="24">
        <v>4029.8</v>
      </c>
    </row>
    <row r="40" spans="1:13" s="76" customFormat="1" ht="54" customHeight="1" x14ac:dyDescent="0.35">
      <c r="A40" s="11"/>
      <c r="B40" s="368" t="s">
        <v>45</v>
      </c>
      <c r="C40" s="23" t="s">
        <v>1</v>
      </c>
      <c r="D40" s="10" t="s">
        <v>28</v>
      </c>
      <c r="E40" s="10" t="s">
        <v>42</v>
      </c>
      <c r="F40" s="498" t="s">
        <v>32</v>
      </c>
      <c r="G40" s="499" t="s">
        <v>36</v>
      </c>
      <c r="H40" s="499" t="s">
        <v>30</v>
      </c>
      <c r="I40" s="500" t="s">
        <v>382</v>
      </c>
      <c r="J40" s="10" t="s">
        <v>46</v>
      </c>
      <c r="K40" s="24">
        <v>75</v>
      </c>
      <c r="L40" s="24">
        <f>M40-K40</f>
        <v>0</v>
      </c>
      <c r="M40" s="24">
        <v>75</v>
      </c>
    </row>
    <row r="41" spans="1:13" s="7" customFormat="1" ht="18" customHeight="1" x14ac:dyDescent="0.35">
      <c r="A41" s="11"/>
      <c r="B41" s="368" t="s">
        <v>319</v>
      </c>
      <c r="C41" s="23" t="s">
        <v>1</v>
      </c>
      <c r="D41" s="10" t="s">
        <v>28</v>
      </c>
      <c r="E41" s="10" t="s">
        <v>55</v>
      </c>
      <c r="F41" s="498"/>
      <c r="G41" s="499"/>
      <c r="H41" s="499"/>
      <c r="I41" s="500"/>
      <c r="J41" s="10"/>
      <c r="K41" s="24">
        <f t="shared" ref="K41:M45" si="10">K42</f>
        <v>8.6</v>
      </c>
      <c r="L41" s="24">
        <f t="shared" si="10"/>
        <v>0</v>
      </c>
      <c r="M41" s="24">
        <f t="shared" si="10"/>
        <v>8.6</v>
      </c>
    </row>
    <row r="42" spans="1:13" s="7" customFormat="1" ht="54" customHeight="1" x14ac:dyDescent="0.35">
      <c r="A42" s="11"/>
      <c r="B42" s="368" t="s">
        <v>43</v>
      </c>
      <c r="C42" s="23" t="s">
        <v>1</v>
      </c>
      <c r="D42" s="10" t="s">
        <v>28</v>
      </c>
      <c r="E42" s="10" t="s">
        <v>55</v>
      </c>
      <c r="F42" s="498" t="s">
        <v>32</v>
      </c>
      <c r="G42" s="499" t="s">
        <v>33</v>
      </c>
      <c r="H42" s="499" t="s">
        <v>34</v>
      </c>
      <c r="I42" s="500" t="s">
        <v>35</v>
      </c>
      <c r="J42" s="10"/>
      <c r="K42" s="24">
        <f t="shared" si="10"/>
        <v>8.6</v>
      </c>
      <c r="L42" s="24">
        <f t="shared" si="10"/>
        <v>0</v>
      </c>
      <c r="M42" s="24">
        <f t="shared" si="10"/>
        <v>8.6</v>
      </c>
    </row>
    <row r="43" spans="1:13" s="7" customFormat="1" ht="36" customHeight="1" x14ac:dyDescent="0.35">
      <c r="A43" s="11"/>
      <c r="B43" s="368" t="s">
        <v>287</v>
      </c>
      <c r="C43" s="23" t="s">
        <v>1</v>
      </c>
      <c r="D43" s="10" t="s">
        <v>28</v>
      </c>
      <c r="E43" s="10" t="s">
        <v>55</v>
      </c>
      <c r="F43" s="498" t="s">
        <v>32</v>
      </c>
      <c r="G43" s="499" t="s">
        <v>36</v>
      </c>
      <c r="H43" s="499" t="s">
        <v>34</v>
      </c>
      <c r="I43" s="500" t="s">
        <v>35</v>
      </c>
      <c r="J43" s="10"/>
      <c r="K43" s="24">
        <f t="shared" si="10"/>
        <v>8.6</v>
      </c>
      <c r="L43" s="24">
        <f t="shared" si="10"/>
        <v>0</v>
      </c>
      <c r="M43" s="24">
        <f t="shared" si="10"/>
        <v>8.6</v>
      </c>
    </row>
    <row r="44" spans="1:13" s="7" customFormat="1" ht="36" customHeight="1" x14ac:dyDescent="0.35">
      <c r="A44" s="11"/>
      <c r="B44" s="368" t="s">
        <v>44</v>
      </c>
      <c r="C44" s="23" t="s">
        <v>1</v>
      </c>
      <c r="D44" s="10" t="s">
        <v>28</v>
      </c>
      <c r="E44" s="10" t="s">
        <v>55</v>
      </c>
      <c r="F44" s="498" t="s">
        <v>32</v>
      </c>
      <c r="G44" s="499" t="s">
        <v>36</v>
      </c>
      <c r="H44" s="499" t="s">
        <v>30</v>
      </c>
      <c r="I44" s="500" t="s">
        <v>35</v>
      </c>
      <c r="J44" s="10"/>
      <c r="K44" s="24">
        <f t="shared" si="10"/>
        <v>8.6</v>
      </c>
      <c r="L44" s="24">
        <f t="shared" si="10"/>
        <v>0</v>
      </c>
      <c r="M44" s="24">
        <f t="shared" si="10"/>
        <v>8.6</v>
      </c>
    </row>
    <row r="45" spans="1:13" s="7" customFormat="1" ht="72" customHeight="1" x14ac:dyDescent="0.35">
      <c r="A45" s="11"/>
      <c r="B45" s="368" t="s">
        <v>321</v>
      </c>
      <c r="C45" s="23" t="s">
        <v>1</v>
      </c>
      <c r="D45" s="10" t="s">
        <v>28</v>
      </c>
      <c r="E45" s="10" t="s">
        <v>55</v>
      </c>
      <c r="F45" s="498" t="s">
        <v>32</v>
      </c>
      <c r="G45" s="499" t="s">
        <v>36</v>
      </c>
      <c r="H45" s="499" t="s">
        <v>30</v>
      </c>
      <c r="I45" s="500" t="s">
        <v>320</v>
      </c>
      <c r="J45" s="10"/>
      <c r="K45" s="24">
        <f>K46</f>
        <v>8.6</v>
      </c>
      <c r="L45" s="24">
        <f t="shared" si="10"/>
        <v>0</v>
      </c>
      <c r="M45" s="24">
        <f>M46</f>
        <v>8.6</v>
      </c>
    </row>
    <row r="46" spans="1:13" s="7" customFormat="1" ht="54" customHeight="1" x14ac:dyDescent="0.35">
      <c r="A46" s="11"/>
      <c r="B46" s="368" t="s">
        <v>45</v>
      </c>
      <c r="C46" s="23" t="s">
        <v>1</v>
      </c>
      <c r="D46" s="10" t="s">
        <v>28</v>
      </c>
      <c r="E46" s="10" t="s">
        <v>55</v>
      </c>
      <c r="F46" s="498" t="s">
        <v>32</v>
      </c>
      <c r="G46" s="499" t="s">
        <v>36</v>
      </c>
      <c r="H46" s="499" t="s">
        <v>30</v>
      </c>
      <c r="I46" s="500" t="s">
        <v>320</v>
      </c>
      <c r="J46" s="10" t="s">
        <v>46</v>
      </c>
      <c r="K46" s="24">
        <v>8.6</v>
      </c>
      <c r="L46" s="24">
        <f>M46-K46</f>
        <v>0</v>
      </c>
      <c r="M46" s="24">
        <v>8.6</v>
      </c>
    </row>
    <row r="47" spans="1:13" s="74" customFormat="1" ht="18" customHeight="1" x14ac:dyDescent="0.35">
      <c r="A47" s="11"/>
      <c r="B47" s="368" t="s">
        <v>56</v>
      </c>
      <c r="C47" s="23" t="s">
        <v>1</v>
      </c>
      <c r="D47" s="10" t="s">
        <v>28</v>
      </c>
      <c r="E47" s="10" t="s">
        <v>57</v>
      </c>
      <c r="F47" s="498"/>
      <c r="G47" s="499"/>
      <c r="H47" s="499"/>
      <c r="I47" s="500"/>
      <c r="J47" s="10"/>
      <c r="K47" s="24">
        <f t="shared" ref="K47:M48" si="11">K48</f>
        <v>16726.999999999996</v>
      </c>
      <c r="L47" s="24">
        <f t="shared" si="11"/>
        <v>4595.3999999999978</v>
      </c>
      <c r="M47" s="24">
        <f t="shared" si="11"/>
        <v>21322.399999999994</v>
      </c>
    </row>
    <row r="48" spans="1:13" s="74" customFormat="1" ht="36" customHeight="1" x14ac:dyDescent="0.35">
      <c r="A48" s="11"/>
      <c r="B48" s="368" t="s">
        <v>343</v>
      </c>
      <c r="C48" s="23" t="s">
        <v>1</v>
      </c>
      <c r="D48" s="10" t="s">
        <v>28</v>
      </c>
      <c r="E48" s="10" t="s">
        <v>57</v>
      </c>
      <c r="F48" s="498" t="s">
        <v>58</v>
      </c>
      <c r="G48" s="499" t="s">
        <v>33</v>
      </c>
      <c r="H48" s="499" t="s">
        <v>34</v>
      </c>
      <c r="I48" s="500" t="s">
        <v>35</v>
      </c>
      <c r="J48" s="10"/>
      <c r="K48" s="24">
        <f t="shared" si="11"/>
        <v>16726.999999999996</v>
      </c>
      <c r="L48" s="24">
        <f t="shared" si="11"/>
        <v>4595.3999999999978</v>
      </c>
      <c r="M48" s="24">
        <f t="shared" si="11"/>
        <v>21322.399999999994</v>
      </c>
    </row>
    <row r="49" spans="1:13" s="74" customFormat="1" ht="18" customHeight="1" x14ac:dyDescent="0.35">
      <c r="A49" s="11"/>
      <c r="B49" s="400" t="s">
        <v>344</v>
      </c>
      <c r="C49" s="23" t="s">
        <v>1</v>
      </c>
      <c r="D49" s="10" t="s">
        <v>28</v>
      </c>
      <c r="E49" s="10" t="s">
        <v>57</v>
      </c>
      <c r="F49" s="498" t="s">
        <v>58</v>
      </c>
      <c r="G49" s="499" t="s">
        <v>36</v>
      </c>
      <c r="H49" s="499" t="s">
        <v>34</v>
      </c>
      <c r="I49" s="500" t="s">
        <v>35</v>
      </c>
      <c r="J49" s="10"/>
      <c r="K49" s="24">
        <f t="shared" ref="K49:M50" si="12">K50</f>
        <v>16726.999999999996</v>
      </c>
      <c r="L49" s="24">
        <f t="shared" si="12"/>
        <v>4595.3999999999978</v>
      </c>
      <c r="M49" s="24">
        <f t="shared" si="12"/>
        <v>21322.399999999994</v>
      </c>
    </row>
    <row r="50" spans="1:13" s="74" customFormat="1" ht="36" customHeight="1" x14ac:dyDescent="0.35">
      <c r="A50" s="11"/>
      <c r="B50" s="368" t="s">
        <v>342</v>
      </c>
      <c r="C50" s="23" t="s">
        <v>1</v>
      </c>
      <c r="D50" s="10" t="s">
        <v>28</v>
      </c>
      <c r="E50" s="10" t="s">
        <v>57</v>
      </c>
      <c r="F50" s="498" t="s">
        <v>58</v>
      </c>
      <c r="G50" s="499" t="s">
        <v>36</v>
      </c>
      <c r="H50" s="499" t="s">
        <v>34</v>
      </c>
      <c r="I50" s="500" t="s">
        <v>59</v>
      </c>
      <c r="J50" s="10"/>
      <c r="K50" s="24">
        <f t="shared" si="12"/>
        <v>16726.999999999996</v>
      </c>
      <c r="L50" s="24">
        <f t="shared" si="12"/>
        <v>4595.3999999999978</v>
      </c>
      <c r="M50" s="24">
        <f t="shared" si="12"/>
        <v>21322.399999999994</v>
      </c>
    </row>
    <row r="51" spans="1:13" s="74" customFormat="1" ht="18" customHeight="1" x14ac:dyDescent="0.35">
      <c r="A51" s="11"/>
      <c r="B51" s="368" t="s">
        <v>47</v>
      </c>
      <c r="C51" s="23" t="s">
        <v>1</v>
      </c>
      <c r="D51" s="10" t="s">
        <v>28</v>
      </c>
      <c r="E51" s="10" t="s">
        <v>57</v>
      </c>
      <c r="F51" s="498" t="s">
        <v>58</v>
      </c>
      <c r="G51" s="499" t="s">
        <v>36</v>
      </c>
      <c r="H51" s="499" t="s">
        <v>34</v>
      </c>
      <c r="I51" s="500" t="s">
        <v>59</v>
      </c>
      <c r="J51" s="10" t="s">
        <v>48</v>
      </c>
      <c r="K51" s="24">
        <f>36721.5+549+494.7-36-21002.2</f>
        <v>16726.999999999996</v>
      </c>
      <c r="L51" s="24">
        <f>M51-K51</f>
        <v>4595.3999999999978</v>
      </c>
      <c r="M51" s="24">
        <f>36721.5+549+494.7-36-21002.2+4595.4</f>
        <v>21322.399999999994</v>
      </c>
    </row>
    <row r="52" spans="1:13" s="74" customFormat="1" ht="18" customHeight="1" x14ac:dyDescent="0.35">
      <c r="A52" s="11"/>
      <c r="B52" s="368" t="s">
        <v>60</v>
      </c>
      <c r="C52" s="23" t="s">
        <v>1</v>
      </c>
      <c r="D52" s="10" t="s">
        <v>28</v>
      </c>
      <c r="E52" s="10" t="s">
        <v>61</v>
      </c>
      <c r="F52" s="498"/>
      <c r="G52" s="499"/>
      <c r="H52" s="499"/>
      <c r="I52" s="500"/>
      <c r="J52" s="10"/>
      <c r="K52" s="24">
        <f>K58+K53</f>
        <v>61703.9</v>
      </c>
      <c r="L52" s="24">
        <f t="shared" ref="L52" si="13">L58+L53</f>
        <v>4552.4833999999992</v>
      </c>
      <c r="M52" s="24">
        <f>M58+M53</f>
        <v>66256.383399999992</v>
      </c>
    </row>
    <row r="53" spans="1:13" s="74" customFormat="1" ht="72" customHeight="1" x14ac:dyDescent="0.35">
      <c r="A53" s="11"/>
      <c r="B53" s="368" t="s">
        <v>62</v>
      </c>
      <c r="C53" s="23" t="s">
        <v>1</v>
      </c>
      <c r="D53" s="10" t="s">
        <v>28</v>
      </c>
      <c r="E53" s="10" t="s">
        <v>61</v>
      </c>
      <c r="F53" s="498" t="s">
        <v>63</v>
      </c>
      <c r="G53" s="499" t="s">
        <v>33</v>
      </c>
      <c r="H53" s="499" t="s">
        <v>34</v>
      </c>
      <c r="I53" s="500" t="s">
        <v>35</v>
      </c>
      <c r="J53" s="10"/>
      <c r="K53" s="24">
        <f t="shared" ref="K53:M56" si="14">K54</f>
        <v>422.4</v>
      </c>
      <c r="L53" s="24">
        <f t="shared" si="14"/>
        <v>0</v>
      </c>
      <c r="M53" s="24">
        <f t="shared" si="14"/>
        <v>422.4</v>
      </c>
    </row>
    <row r="54" spans="1:13" s="74" customFormat="1" ht="36" customHeight="1" x14ac:dyDescent="0.35">
      <c r="A54" s="11"/>
      <c r="B54" s="368" t="s">
        <v>287</v>
      </c>
      <c r="C54" s="23" t="s">
        <v>1</v>
      </c>
      <c r="D54" s="10" t="s">
        <v>28</v>
      </c>
      <c r="E54" s="10" t="s">
        <v>61</v>
      </c>
      <c r="F54" s="498" t="s">
        <v>63</v>
      </c>
      <c r="G54" s="499" t="s">
        <v>36</v>
      </c>
      <c r="H54" s="499" t="s">
        <v>34</v>
      </c>
      <c r="I54" s="500" t="s">
        <v>35</v>
      </c>
      <c r="J54" s="10"/>
      <c r="K54" s="24">
        <f t="shared" si="14"/>
        <v>422.4</v>
      </c>
      <c r="L54" s="24">
        <f t="shared" si="14"/>
        <v>0</v>
      </c>
      <c r="M54" s="24">
        <f t="shared" si="14"/>
        <v>422.4</v>
      </c>
    </row>
    <row r="55" spans="1:13" s="74" customFormat="1" ht="54" customHeight="1" x14ac:dyDescent="0.35">
      <c r="A55" s="11"/>
      <c r="B55" s="400" t="s">
        <v>223</v>
      </c>
      <c r="C55" s="23" t="s">
        <v>1</v>
      </c>
      <c r="D55" s="10" t="s">
        <v>28</v>
      </c>
      <c r="E55" s="10" t="s">
        <v>61</v>
      </c>
      <c r="F55" s="498" t="s">
        <v>63</v>
      </c>
      <c r="G55" s="499" t="s">
        <v>36</v>
      </c>
      <c r="H55" s="499" t="s">
        <v>28</v>
      </c>
      <c r="I55" s="500" t="s">
        <v>35</v>
      </c>
      <c r="J55" s="10"/>
      <c r="K55" s="24">
        <f t="shared" si="14"/>
        <v>422.4</v>
      </c>
      <c r="L55" s="24">
        <f t="shared" si="14"/>
        <v>0</v>
      </c>
      <c r="M55" s="24">
        <f t="shared" si="14"/>
        <v>422.4</v>
      </c>
    </row>
    <row r="56" spans="1:13" s="74" customFormat="1" ht="54" customHeight="1" x14ac:dyDescent="0.35">
      <c r="A56" s="11"/>
      <c r="B56" s="400" t="s">
        <v>64</v>
      </c>
      <c r="C56" s="23" t="s">
        <v>1</v>
      </c>
      <c r="D56" s="10" t="s">
        <v>28</v>
      </c>
      <c r="E56" s="10" t="s">
        <v>61</v>
      </c>
      <c r="F56" s="498" t="s">
        <v>63</v>
      </c>
      <c r="G56" s="499" t="s">
        <v>36</v>
      </c>
      <c r="H56" s="499" t="s">
        <v>28</v>
      </c>
      <c r="I56" s="500" t="s">
        <v>65</v>
      </c>
      <c r="J56" s="10"/>
      <c r="K56" s="24">
        <f>K57</f>
        <v>422.4</v>
      </c>
      <c r="L56" s="24">
        <f t="shared" si="14"/>
        <v>0</v>
      </c>
      <c r="M56" s="24">
        <f>M57</f>
        <v>422.4</v>
      </c>
    </row>
    <row r="57" spans="1:13" s="74" customFormat="1" ht="54" customHeight="1" x14ac:dyDescent="0.35">
      <c r="A57" s="11"/>
      <c r="B57" s="375" t="s">
        <v>66</v>
      </c>
      <c r="C57" s="23" t="s">
        <v>1</v>
      </c>
      <c r="D57" s="10" t="s">
        <v>28</v>
      </c>
      <c r="E57" s="10" t="s">
        <v>61</v>
      </c>
      <c r="F57" s="498" t="s">
        <v>63</v>
      </c>
      <c r="G57" s="499" t="s">
        <v>36</v>
      </c>
      <c r="H57" s="499" t="s">
        <v>28</v>
      </c>
      <c r="I57" s="500" t="s">
        <v>65</v>
      </c>
      <c r="J57" s="10" t="s">
        <v>67</v>
      </c>
      <c r="K57" s="24">
        <v>422.4</v>
      </c>
      <c r="L57" s="24">
        <f>M57-K57</f>
        <v>0</v>
      </c>
      <c r="M57" s="24">
        <v>422.4</v>
      </c>
    </row>
    <row r="58" spans="1:13" s="74" customFormat="1" ht="54" customHeight="1" x14ac:dyDescent="0.35">
      <c r="A58" s="11"/>
      <c r="B58" s="368" t="s">
        <v>31</v>
      </c>
      <c r="C58" s="23" t="s">
        <v>1</v>
      </c>
      <c r="D58" s="10" t="s">
        <v>28</v>
      </c>
      <c r="E58" s="10" t="s">
        <v>61</v>
      </c>
      <c r="F58" s="498" t="s">
        <v>32</v>
      </c>
      <c r="G58" s="499" t="s">
        <v>33</v>
      </c>
      <c r="H58" s="499" t="s">
        <v>34</v>
      </c>
      <c r="I58" s="500" t="s">
        <v>35</v>
      </c>
      <c r="J58" s="10"/>
      <c r="K58" s="24">
        <f>K59</f>
        <v>61281.5</v>
      </c>
      <c r="L58" s="24">
        <f t="shared" ref="L58" si="15">L59</f>
        <v>4552.4833999999992</v>
      </c>
      <c r="M58" s="24">
        <f>M59</f>
        <v>65833.983399999997</v>
      </c>
    </row>
    <row r="59" spans="1:13" s="74" customFormat="1" ht="36" customHeight="1" x14ac:dyDescent="0.35">
      <c r="A59" s="11"/>
      <c r="B59" s="368" t="s">
        <v>287</v>
      </c>
      <c r="C59" s="23" t="s">
        <v>1</v>
      </c>
      <c r="D59" s="10" t="s">
        <v>28</v>
      </c>
      <c r="E59" s="10" t="s">
        <v>61</v>
      </c>
      <c r="F59" s="498" t="s">
        <v>32</v>
      </c>
      <c r="G59" s="499" t="s">
        <v>36</v>
      </c>
      <c r="H59" s="499" t="s">
        <v>34</v>
      </c>
      <c r="I59" s="500" t="s">
        <v>35</v>
      </c>
      <c r="J59" s="10"/>
      <c r="K59" s="24">
        <f>K60+K67+K63+K75</f>
        <v>61281.5</v>
      </c>
      <c r="L59" s="24">
        <f>L60+L67+L63+L75+L72</f>
        <v>4552.4833999999992</v>
      </c>
      <c r="M59" s="24">
        <f>M60+M67+M63+M75+M72</f>
        <v>65833.983399999997</v>
      </c>
    </row>
    <row r="60" spans="1:13" s="74" customFormat="1" ht="36" customHeight="1" x14ac:dyDescent="0.35">
      <c r="A60" s="11"/>
      <c r="B60" s="368" t="s">
        <v>44</v>
      </c>
      <c r="C60" s="23" t="s">
        <v>1</v>
      </c>
      <c r="D60" s="10" t="s">
        <v>28</v>
      </c>
      <c r="E60" s="10" t="s">
        <v>61</v>
      </c>
      <c r="F60" s="498" t="s">
        <v>32</v>
      </c>
      <c r="G60" s="499" t="s">
        <v>36</v>
      </c>
      <c r="H60" s="499" t="s">
        <v>30</v>
      </c>
      <c r="I60" s="500" t="s">
        <v>35</v>
      </c>
      <c r="J60" s="10"/>
      <c r="K60" s="24">
        <f>K61</f>
        <v>63.4</v>
      </c>
      <c r="L60" s="24">
        <f t="shared" ref="L60:L61" si="16">L61</f>
        <v>0</v>
      </c>
      <c r="M60" s="24">
        <f>M61</f>
        <v>63.4</v>
      </c>
    </row>
    <row r="61" spans="1:13" s="74" customFormat="1" ht="18" x14ac:dyDescent="0.35">
      <c r="A61" s="11"/>
      <c r="B61" s="368" t="s">
        <v>438</v>
      </c>
      <c r="C61" s="23" t="s">
        <v>1</v>
      </c>
      <c r="D61" s="10" t="s">
        <v>28</v>
      </c>
      <c r="E61" s="10" t="s">
        <v>61</v>
      </c>
      <c r="F61" s="498" t="s">
        <v>32</v>
      </c>
      <c r="G61" s="499" t="s">
        <v>36</v>
      </c>
      <c r="H61" s="499" t="s">
        <v>30</v>
      </c>
      <c r="I61" s="500" t="s">
        <v>439</v>
      </c>
      <c r="J61" s="10"/>
      <c r="K61" s="24">
        <f>K62</f>
        <v>63.4</v>
      </c>
      <c r="L61" s="24">
        <f t="shared" si="16"/>
        <v>0</v>
      </c>
      <c r="M61" s="24">
        <f>M62</f>
        <v>63.4</v>
      </c>
    </row>
    <row r="62" spans="1:13" s="74" customFormat="1" ht="61.2" customHeight="1" x14ac:dyDescent="0.35">
      <c r="A62" s="11"/>
      <c r="B62" s="368" t="s">
        <v>45</v>
      </c>
      <c r="C62" s="23" t="s">
        <v>1</v>
      </c>
      <c r="D62" s="10" t="s">
        <v>28</v>
      </c>
      <c r="E62" s="10" t="s">
        <v>61</v>
      </c>
      <c r="F62" s="498" t="s">
        <v>32</v>
      </c>
      <c r="G62" s="499" t="s">
        <v>36</v>
      </c>
      <c r="H62" s="499" t="s">
        <v>30</v>
      </c>
      <c r="I62" s="500" t="s">
        <v>439</v>
      </c>
      <c r="J62" s="10" t="s">
        <v>46</v>
      </c>
      <c r="K62" s="24">
        <v>63.4</v>
      </c>
      <c r="L62" s="24">
        <f>M62-K62</f>
        <v>0</v>
      </c>
      <c r="M62" s="24">
        <v>63.4</v>
      </c>
    </row>
    <row r="63" spans="1:13" s="74" customFormat="1" ht="18" customHeight="1" x14ac:dyDescent="0.35">
      <c r="A63" s="11"/>
      <c r="B63" s="375" t="s">
        <v>52</v>
      </c>
      <c r="C63" s="23" t="s">
        <v>1</v>
      </c>
      <c r="D63" s="10" t="s">
        <v>28</v>
      </c>
      <c r="E63" s="10" t="s">
        <v>61</v>
      </c>
      <c r="F63" s="498" t="s">
        <v>32</v>
      </c>
      <c r="G63" s="499" t="s">
        <v>36</v>
      </c>
      <c r="H63" s="499" t="s">
        <v>53</v>
      </c>
      <c r="I63" s="500" t="s">
        <v>35</v>
      </c>
      <c r="J63" s="10"/>
      <c r="K63" s="24">
        <f>K64</f>
        <v>3171.5</v>
      </c>
      <c r="L63" s="24">
        <f t="shared" ref="L63" si="17">L64</f>
        <v>312.59999999999991</v>
      </c>
      <c r="M63" s="24">
        <f>M64</f>
        <v>3484.1</v>
      </c>
    </row>
    <row r="64" spans="1:13" s="74" customFormat="1" ht="67.5" customHeight="1" x14ac:dyDescent="0.35">
      <c r="A64" s="11"/>
      <c r="B64" s="375" t="s">
        <v>317</v>
      </c>
      <c r="C64" s="23" t="s">
        <v>1</v>
      </c>
      <c r="D64" s="10" t="s">
        <v>28</v>
      </c>
      <c r="E64" s="10" t="s">
        <v>61</v>
      </c>
      <c r="F64" s="498" t="s">
        <v>32</v>
      </c>
      <c r="G64" s="499" t="s">
        <v>36</v>
      </c>
      <c r="H64" s="499" t="s">
        <v>53</v>
      </c>
      <c r="I64" s="500" t="s">
        <v>316</v>
      </c>
      <c r="J64" s="10"/>
      <c r="K64" s="24">
        <f>K65+K66</f>
        <v>3171.5</v>
      </c>
      <c r="L64" s="24">
        <f t="shared" ref="L64" si="18">L65+L66</f>
        <v>312.59999999999991</v>
      </c>
      <c r="M64" s="24">
        <f>M65+M66</f>
        <v>3484.1</v>
      </c>
    </row>
    <row r="65" spans="1:13" s="74" customFormat="1" ht="54" customHeight="1" x14ac:dyDescent="0.35">
      <c r="A65" s="11"/>
      <c r="B65" s="368" t="s">
        <v>45</v>
      </c>
      <c r="C65" s="23" t="s">
        <v>1</v>
      </c>
      <c r="D65" s="10" t="s">
        <v>28</v>
      </c>
      <c r="E65" s="10" t="s">
        <v>61</v>
      </c>
      <c r="F65" s="498" t="s">
        <v>32</v>
      </c>
      <c r="G65" s="499" t="s">
        <v>36</v>
      </c>
      <c r="H65" s="499" t="s">
        <v>53</v>
      </c>
      <c r="I65" s="500" t="s">
        <v>316</v>
      </c>
      <c r="J65" s="10" t="s">
        <v>46</v>
      </c>
      <c r="K65" s="24">
        <f>2587.7+360</f>
        <v>2947.7</v>
      </c>
      <c r="L65" s="24">
        <f>M65-K65</f>
        <v>312.59999999999991</v>
      </c>
      <c r="M65" s="24">
        <f>2587.7+360+312.6</f>
        <v>3260.2999999999997</v>
      </c>
    </row>
    <row r="66" spans="1:13" s="74" customFormat="1" ht="18" customHeight="1" x14ac:dyDescent="0.35">
      <c r="A66" s="11"/>
      <c r="B66" s="368" t="s">
        <v>47</v>
      </c>
      <c r="C66" s="23" t="s">
        <v>1</v>
      </c>
      <c r="D66" s="10" t="s">
        <v>28</v>
      </c>
      <c r="E66" s="10" t="s">
        <v>61</v>
      </c>
      <c r="F66" s="498" t="s">
        <v>32</v>
      </c>
      <c r="G66" s="499" t="s">
        <v>36</v>
      </c>
      <c r="H66" s="499" t="s">
        <v>53</v>
      </c>
      <c r="I66" s="500" t="s">
        <v>316</v>
      </c>
      <c r="J66" s="10" t="s">
        <v>48</v>
      </c>
      <c r="K66" s="24">
        <v>223.8</v>
      </c>
      <c r="L66" s="24">
        <f>M66-K66</f>
        <v>0</v>
      </c>
      <c r="M66" s="24">
        <v>223.8</v>
      </c>
    </row>
    <row r="67" spans="1:13" s="74" customFormat="1" ht="18" customHeight="1" x14ac:dyDescent="0.35">
      <c r="A67" s="11"/>
      <c r="B67" s="368" t="s">
        <v>54</v>
      </c>
      <c r="C67" s="23" t="s">
        <v>1</v>
      </c>
      <c r="D67" s="10" t="s">
        <v>28</v>
      </c>
      <c r="E67" s="10" t="s">
        <v>61</v>
      </c>
      <c r="F67" s="498" t="s">
        <v>32</v>
      </c>
      <c r="G67" s="499" t="s">
        <v>36</v>
      </c>
      <c r="H67" s="499" t="s">
        <v>42</v>
      </c>
      <c r="I67" s="500" t="s">
        <v>35</v>
      </c>
      <c r="J67" s="10"/>
      <c r="K67" s="24">
        <f>K68+K70</f>
        <v>6824.4</v>
      </c>
      <c r="L67" s="24">
        <f t="shared" ref="L67" si="19">L68+L70</f>
        <v>95.100000000000364</v>
      </c>
      <c r="M67" s="24">
        <f>M68+M70</f>
        <v>6919.5</v>
      </c>
    </row>
    <row r="68" spans="1:13" s="74" customFormat="1" ht="69" customHeight="1" x14ac:dyDescent="0.35">
      <c r="A68" s="11"/>
      <c r="B68" s="406" t="s">
        <v>294</v>
      </c>
      <c r="C68" s="23" t="s">
        <v>1</v>
      </c>
      <c r="D68" s="10" t="s">
        <v>28</v>
      </c>
      <c r="E68" s="10" t="s">
        <v>61</v>
      </c>
      <c r="F68" s="498" t="s">
        <v>32</v>
      </c>
      <c r="G68" s="499" t="s">
        <v>36</v>
      </c>
      <c r="H68" s="499" t="s">
        <v>42</v>
      </c>
      <c r="I68" s="500" t="s">
        <v>95</v>
      </c>
      <c r="J68" s="10"/>
      <c r="K68" s="24">
        <f>K69</f>
        <v>4735.3999999999996</v>
      </c>
      <c r="L68" s="24">
        <f t="shared" ref="L68" si="20">L69</f>
        <v>95.100000000000364</v>
      </c>
      <c r="M68" s="24">
        <f>M69</f>
        <v>4830.5</v>
      </c>
    </row>
    <row r="69" spans="1:13" s="74" customFormat="1" ht="54" customHeight="1" x14ac:dyDescent="0.35">
      <c r="A69" s="11"/>
      <c r="B69" s="368" t="s">
        <v>45</v>
      </c>
      <c r="C69" s="23" t="s">
        <v>1</v>
      </c>
      <c r="D69" s="10" t="s">
        <v>28</v>
      </c>
      <c r="E69" s="10" t="s">
        <v>61</v>
      </c>
      <c r="F69" s="498" t="s">
        <v>32</v>
      </c>
      <c r="G69" s="499" t="s">
        <v>36</v>
      </c>
      <c r="H69" s="499" t="s">
        <v>42</v>
      </c>
      <c r="I69" s="500" t="s">
        <v>95</v>
      </c>
      <c r="J69" s="10" t="s">
        <v>46</v>
      </c>
      <c r="K69" s="24">
        <f>4415.4+320</f>
        <v>4735.3999999999996</v>
      </c>
      <c r="L69" s="24">
        <f>M69-K69</f>
        <v>95.100000000000364</v>
      </c>
      <c r="M69" s="24">
        <f>4415.4+320+95.1</f>
        <v>4830.5</v>
      </c>
    </row>
    <row r="70" spans="1:13" s="74" customFormat="1" ht="54" customHeight="1" x14ac:dyDescent="0.35">
      <c r="A70" s="11"/>
      <c r="B70" s="368" t="s">
        <v>296</v>
      </c>
      <c r="C70" s="23" t="s">
        <v>1</v>
      </c>
      <c r="D70" s="10" t="s">
        <v>28</v>
      </c>
      <c r="E70" s="10" t="s">
        <v>61</v>
      </c>
      <c r="F70" s="498" t="s">
        <v>32</v>
      </c>
      <c r="G70" s="499" t="s">
        <v>36</v>
      </c>
      <c r="H70" s="499" t="s">
        <v>42</v>
      </c>
      <c r="I70" s="500" t="s">
        <v>295</v>
      </c>
      <c r="J70" s="10"/>
      <c r="K70" s="24">
        <f>K71</f>
        <v>2089</v>
      </c>
      <c r="L70" s="24">
        <f t="shared" ref="L70" si="21">L71</f>
        <v>0</v>
      </c>
      <c r="M70" s="24">
        <f>M71</f>
        <v>2089</v>
      </c>
    </row>
    <row r="71" spans="1:13" s="74" customFormat="1" ht="54" customHeight="1" x14ac:dyDescent="0.35">
      <c r="A71" s="11"/>
      <c r="B71" s="368" t="s">
        <v>45</v>
      </c>
      <c r="C71" s="23" t="s">
        <v>1</v>
      </c>
      <c r="D71" s="10" t="s">
        <v>28</v>
      </c>
      <c r="E71" s="10" t="s">
        <v>61</v>
      </c>
      <c r="F71" s="498" t="s">
        <v>32</v>
      </c>
      <c r="G71" s="499" t="s">
        <v>36</v>
      </c>
      <c r="H71" s="499" t="s">
        <v>42</v>
      </c>
      <c r="I71" s="500" t="s">
        <v>295</v>
      </c>
      <c r="J71" s="10" t="s">
        <v>46</v>
      </c>
      <c r="K71" s="24">
        <f>2089</f>
        <v>2089</v>
      </c>
      <c r="L71" s="24">
        <f>M71-K71</f>
        <v>0</v>
      </c>
      <c r="M71" s="24">
        <f>2089</f>
        <v>2089</v>
      </c>
    </row>
    <row r="72" spans="1:13" s="74" customFormat="1" ht="36" x14ac:dyDescent="0.35">
      <c r="A72" s="11"/>
      <c r="B72" s="435" t="s">
        <v>312</v>
      </c>
      <c r="C72" s="23" t="s">
        <v>1</v>
      </c>
      <c r="D72" s="10" t="s">
        <v>28</v>
      </c>
      <c r="E72" s="10" t="s">
        <v>61</v>
      </c>
      <c r="F72" s="498" t="s">
        <v>32</v>
      </c>
      <c r="G72" s="499" t="s">
        <v>36</v>
      </c>
      <c r="H72" s="499" t="s">
        <v>478</v>
      </c>
      <c r="I72" s="500" t="s">
        <v>35</v>
      </c>
      <c r="J72" s="10"/>
      <c r="K72" s="24"/>
      <c r="L72" s="24">
        <f>L73</f>
        <v>1921.9</v>
      </c>
      <c r="M72" s="24">
        <f>M73</f>
        <v>1921.9</v>
      </c>
    </row>
    <row r="73" spans="1:13" s="74" customFormat="1" ht="36" x14ac:dyDescent="0.35">
      <c r="A73" s="11"/>
      <c r="B73" s="435" t="s">
        <v>285</v>
      </c>
      <c r="C73" s="23" t="s">
        <v>1</v>
      </c>
      <c r="D73" s="10" t="s">
        <v>28</v>
      </c>
      <c r="E73" s="10" t="s">
        <v>61</v>
      </c>
      <c r="F73" s="498" t="s">
        <v>32</v>
      </c>
      <c r="G73" s="499" t="s">
        <v>36</v>
      </c>
      <c r="H73" s="499" t="s">
        <v>478</v>
      </c>
      <c r="I73" s="500" t="s">
        <v>284</v>
      </c>
      <c r="J73" s="10"/>
      <c r="K73" s="24"/>
      <c r="L73" s="24">
        <f>L74</f>
        <v>1921.9</v>
      </c>
      <c r="M73" s="24">
        <f>M74</f>
        <v>1921.9</v>
      </c>
    </row>
    <row r="74" spans="1:13" s="74" customFormat="1" ht="18" x14ac:dyDescent="0.35">
      <c r="A74" s="11"/>
      <c r="B74" s="368" t="s">
        <v>47</v>
      </c>
      <c r="C74" s="23" t="s">
        <v>1</v>
      </c>
      <c r="D74" s="10" t="s">
        <v>28</v>
      </c>
      <c r="E74" s="10" t="s">
        <v>61</v>
      </c>
      <c r="F74" s="498" t="s">
        <v>32</v>
      </c>
      <c r="G74" s="499" t="s">
        <v>36</v>
      </c>
      <c r="H74" s="499" t="s">
        <v>478</v>
      </c>
      <c r="I74" s="500" t="s">
        <v>284</v>
      </c>
      <c r="J74" s="10" t="s">
        <v>48</v>
      </c>
      <c r="K74" s="24"/>
      <c r="L74" s="24">
        <f>M74-K74</f>
        <v>1921.9</v>
      </c>
      <c r="M74" s="24">
        <v>1921.9</v>
      </c>
    </row>
    <row r="75" spans="1:13" s="74" customFormat="1" ht="100.5" customHeight="1" x14ac:dyDescent="0.35">
      <c r="A75" s="11"/>
      <c r="B75" s="368" t="s">
        <v>400</v>
      </c>
      <c r="C75" s="23" t="s">
        <v>1</v>
      </c>
      <c r="D75" s="10" t="s">
        <v>28</v>
      </c>
      <c r="E75" s="10" t="s">
        <v>61</v>
      </c>
      <c r="F75" s="498" t="s">
        <v>32</v>
      </c>
      <c r="G75" s="499" t="s">
        <v>36</v>
      </c>
      <c r="H75" s="499" t="s">
        <v>398</v>
      </c>
      <c r="I75" s="500" t="s">
        <v>35</v>
      </c>
      <c r="J75" s="10"/>
      <c r="K75" s="24">
        <f>K76+K80</f>
        <v>51222.2</v>
      </c>
      <c r="L75" s="24">
        <f>L76+L80</f>
        <v>2222.8833999999988</v>
      </c>
      <c r="M75" s="24">
        <f>M76+M80</f>
        <v>53445.083399999996</v>
      </c>
    </row>
    <row r="76" spans="1:13" s="74" customFormat="1" ht="36" customHeight="1" x14ac:dyDescent="0.35">
      <c r="A76" s="11"/>
      <c r="B76" s="400" t="s">
        <v>353</v>
      </c>
      <c r="C76" s="23" t="s">
        <v>1</v>
      </c>
      <c r="D76" s="10" t="s">
        <v>28</v>
      </c>
      <c r="E76" s="10" t="s">
        <v>61</v>
      </c>
      <c r="F76" s="498" t="s">
        <v>32</v>
      </c>
      <c r="G76" s="499" t="s">
        <v>36</v>
      </c>
      <c r="H76" s="499" t="s">
        <v>398</v>
      </c>
      <c r="I76" s="500" t="s">
        <v>81</v>
      </c>
      <c r="J76" s="10"/>
      <c r="K76" s="24">
        <f>SUM(K77:K79)</f>
        <v>46222.2</v>
      </c>
      <c r="L76" s="24">
        <f>SUM(L77:L79)</f>
        <v>2222.8833999999988</v>
      </c>
      <c r="M76" s="24">
        <f>SUM(M77:M79)</f>
        <v>48445.083399999996</v>
      </c>
    </row>
    <row r="77" spans="1:13" s="74" customFormat="1" ht="108" customHeight="1" x14ac:dyDescent="0.35">
      <c r="A77" s="11"/>
      <c r="B77" s="368" t="s">
        <v>40</v>
      </c>
      <c r="C77" s="23" t="s">
        <v>1</v>
      </c>
      <c r="D77" s="10" t="s">
        <v>28</v>
      </c>
      <c r="E77" s="10" t="s">
        <v>61</v>
      </c>
      <c r="F77" s="498" t="s">
        <v>32</v>
      </c>
      <c r="G77" s="499" t="s">
        <v>36</v>
      </c>
      <c r="H77" s="499" t="s">
        <v>398</v>
      </c>
      <c r="I77" s="500" t="s">
        <v>81</v>
      </c>
      <c r="J77" s="10" t="s">
        <v>41</v>
      </c>
      <c r="K77" s="24">
        <f>34656.6+209.2+286.4</f>
        <v>35152.199999999997</v>
      </c>
      <c r="L77" s="24">
        <f>M77-K77</f>
        <v>1782.5999999999985</v>
      </c>
      <c r="M77" s="24">
        <f>34656.6+209.2+286.4+1782.6</f>
        <v>36934.799999999996</v>
      </c>
    </row>
    <row r="78" spans="1:13" s="74" customFormat="1" ht="54" customHeight="1" x14ac:dyDescent="0.35">
      <c r="A78" s="11"/>
      <c r="B78" s="368" t="s">
        <v>45</v>
      </c>
      <c r="C78" s="23" t="s">
        <v>1</v>
      </c>
      <c r="D78" s="10" t="s">
        <v>28</v>
      </c>
      <c r="E78" s="10" t="s">
        <v>61</v>
      </c>
      <c r="F78" s="498" t="s">
        <v>32</v>
      </c>
      <c r="G78" s="499" t="s">
        <v>36</v>
      </c>
      <c r="H78" s="499" t="s">
        <v>398</v>
      </c>
      <c r="I78" s="500" t="s">
        <v>81</v>
      </c>
      <c r="J78" s="10" t="s">
        <v>46</v>
      </c>
      <c r="K78" s="24">
        <f>8362.6+115.5+504+2000</f>
        <v>10982.1</v>
      </c>
      <c r="L78" s="24">
        <f>M78-K78</f>
        <v>440.28340000000026</v>
      </c>
      <c r="M78" s="24">
        <f>8362.6+115.5+504+2000+0.1834+440.1</f>
        <v>11422.383400000001</v>
      </c>
    </row>
    <row r="79" spans="1:13" s="74" customFormat="1" ht="18" customHeight="1" x14ac:dyDescent="0.35">
      <c r="A79" s="11"/>
      <c r="B79" s="368" t="s">
        <v>47</v>
      </c>
      <c r="C79" s="23" t="s">
        <v>1</v>
      </c>
      <c r="D79" s="10" t="s">
        <v>28</v>
      </c>
      <c r="E79" s="10" t="s">
        <v>61</v>
      </c>
      <c r="F79" s="498" t="s">
        <v>32</v>
      </c>
      <c r="G79" s="499" t="s">
        <v>36</v>
      </c>
      <c r="H79" s="499" t="s">
        <v>398</v>
      </c>
      <c r="I79" s="500" t="s">
        <v>81</v>
      </c>
      <c r="J79" s="10" t="s">
        <v>48</v>
      </c>
      <c r="K79" s="24">
        <v>87.9</v>
      </c>
      <c r="L79" s="24">
        <f>M79-K79</f>
        <v>0</v>
      </c>
      <c r="M79" s="24">
        <v>87.9</v>
      </c>
    </row>
    <row r="80" spans="1:13" s="74" customFormat="1" ht="18" customHeight="1" x14ac:dyDescent="0.35">
      <c r="A80" s="11"/>
      <c r="B80" s="368" t="s">
        <v>354</v>
      </c>
      <c r="C80" s="23" t="s">
        <v>1</v>
      </c>
      <c r="D80" s="10" t="s">
        <v>28</v>
      </c>
      <c r="E80" s="10" t="s">
        <v>61</v>
      </c>
      <c r="F80" s="498" t="s">
        <v>32</v>
      </c>
      <c r="G80" s="499" t="s">
        <v>36</v>
      </c>
      <c r="H80" s="499" t="s">
        <v>398</v>
      </c>
      <c r="I80" s="500" t="s">
        <v>318</v>
      </c>
      <c r="J80" s="10"/>
      <c r="K80" s="24">
        <f>K81</f>
        <v>5000</v>
      </c>
      <c r="L80" s="24">
        <f>L81</f>
        <v>0</v>
      </c>
      <c r="M80" s="24">
        <f>M81</f>
        <v>5000</v>
      </c>
    </row>
    <row r="81" spans="1:13" s="74" customFormat="1" ht="54" x14ac:dyDescent="0.35">
      <c r="A81" s="11"/>
      <c r="B81" s="368" t="s">
        <v>45</v>
      </c>
      <c r="C81" s="23" t="s">
        <v>1</v>
      </c>
      <c r="D81" s="10" t="s">
        <v>28</v>
      </c>
      <c r="E81" s="10" t="s">
        <v>61</v>
      </c>
      <c r="F81" s="498" t="s">
        <v>32</v>
      </c>
      <c r="G81" s="499" t="s">
        <v>36</v>
      </c>
      <c r="H81" s="499" t="s">
        <v>398</v>
      </c>
      <c r="I81" s="500" t="s">
        <v>318</v>
      </c>
      <c r="J81" s="10" t="s">
        <v>46</v>
      </c>
      <c r="K81" s="24">
        <v>5000</v>
      </c>
      <c r="L81" s="24">
        <f>M81-K81</f>
        <v>0</v>
      </c>
      <c r="M81" s="24">
        <v>5000</v>
      </c>
    </row>
    <row r="82" spans="1:13" s="74" customFormat="1" ht="36" customHeight="1" x14ac:dyDescent="0.35">
      <c r="A82" s="11"/>
      <c r="B82" s="368" t="s">
        <v>68</v>
      </c>
      <c r="C82" s="23" t="s">
        <v>1</v>
      </c>
      <c r="D82" s="10" t="s">
        <v>53</v>
      </c>
      <c r="E82" s="10"/>
      <c r="F82" s="498"/>
      <c r="G82" s="499"/>
      <c r="H82" s="499"/>
      <c r="I82" s="500"/>
      <c r="J82" s="10"/>
      <c r="K82" s="24">
        <f>K83+K95</f>
        <v>25222.5</v>
      </c>
      <c r="L82" s="24">
        <f t="shared" ref="L82" si="22">L83+L95</f>
        <v>35.339130000000118</v>
      </c>
      <c r="M82" s="24">
        <f>M83+M95</f>
        <v>25257.83913</v>
      </c>
    </row>
    <row r="83" spans="1:13" s="74" customFormat="1" ht="72" customHeight="1" x14ac:dyDescent="0.35">
      <c r="A83" s="11"/>
      <c r="B83" s="368" t="s">
        <v>352</v>
      </c>
      <c r="C83" s="23" t="s">
        <v>1</v>
      </c>
      <c r="D83" s="10" t="s">
        <v>53</v>
      </c>
      <c r="E83" s="10" t="s">
        <v>94</v>
      </c>
      <c r="F83" s="498"/>
      <c r="G83" s="499"/>
      <c r="H83" s="499"/>
      <c r="I83" s="500"/>
      <c r="J83" s="10"/>
      <c r="K83" s="24">
        <f t="shared" ref="K83:M85" si="23">K84</f>
        <v>11528.300000000001</v>
      </c>
      <c r="L83" s="24">
        <f t="shared" si="23"/>
        <v>3.3000000000000043</v>
      </c>
      <c r="M83" s="24">
        <f t="shared" si="23"/>
        <v>11531.6</v>
      </c>
    </row>
    <row r="84" spans="1:13" s="74" customFormat="1" ht="54" customHeight="1" x14ac:dyDescent="0.35">
      <c r="A84" s="11"/>
      <c r="B84" s="368" t="s">
        <v>70</v>
      </c>
      <c r="C84" s="23" t="s">
        <v>1</v>
      </c>
      <c r="D84" s="10" t="s">
        <v>53</v>
      </c>
      <c r="E84" s="10" t="s">
        <v>94</v>
      </c>
      <c r="F84" s="498" t="s">
        <v>71</v>
      </c>
      <c r="G84" s="499" t="s">
        <v>33</v>
      </c>
      <c r="H84" s="499" t="s">
        <v>34</v>
      </c>
      <c r="I84" s="500" t="s">
        <v>35</v>
      </c>
      <c r="J84" s="10"/>
      <c r="K84" s="24">
        <f t="shared" si="23"/>
        <v>11528.300000000001</v>
      </c>
      <c r="L84" s="24">
        <f t="shared" si="23"/>
        <v>3.3000000000000043</v>
      </c>
      <c r="M84" s="24">
        <f t="shared" si="23"/>
        <v>11531.6</v>
      </c>
    </row>
    <row r="85" spans="1:13" s="74" customFormat="1" ht="54" customHeight="1" x14ac:dyDescent="0.35">
      <c r="A85" s="11"/>
      <c r="B85" s="407" t="s">
        <v>72</v>
      </c>
      <c r="C85" s="23" t="s">
        <v>1</v>
      </c>
      <c r="D85" s="10" t="s">
        <v>53</v>
      </c>
      <c r="E85" s="10" t="s">
        <v>94</v>
      </c>
      <c r="F85" s="498" t="s">
        <v>71</v>
      </c>
      <c r="G85" s="499" t="s">
        <v>36</v>
      </c>
      <c r="H85" s="499" t="s">
        <v>34</v>
      </c>
      <c r="I85" s="500" t="s">
        <v>35</v>
      </c>
      <c r="J85" s="10"/>
      <c r="K85" s="24">
        <f t="shared" si="23"/>
        <v>11528.300000000001</v>
      </c>
      <c r="L85" s="24">
        <f t="shared" si="23"/>
        <v>3.3000000000000043</v>
      </c>
      <c r="M85" s="24">
        <f t="shared" si="23"/>
        <v>11531.6</v>
      </c>
    </row>
    <row r="86" spans="1:13" s="74" customFormat="1" ht="72" customHeight="1" x14ac:dyDescent="0.35">
      <c r="A86" s="11"/>
      <c r="B86" s="368" t="s">
        <v>73</v>
      </c>
      <c r="C86" s="23" t="s">
        <v>1</v>
      </c>
      <c r="D86" s="10" t="s">
        <v>53</v>
      </c>
      <c r="E86" s="10" t="s">
        <v>94</v>
      </c>
      <c r="F86" s="498" t="s">
        <v>71</v>
      </c>
      <c r="G86" s="499" t="s">
        <v>36</v>
      </c>
      <c r="H86" s="499" t="s">
        <v>28</v>
      </c>
      <c r="I86" s="500" t="s">
        <v>35</v>
      </c>
      <c r="J86" s="10"/>
      <c r="K86" s="24">
        <f>K87+K89+K91+K94</f>
        <v>11528.300000000001</v>
      </c>
      <c r="L86" s="24">
        <f t="shared" ref="L86" si="24">L87+L89+L91+L94</f>
        <v>3.3000000000000043</v>
      </c>
      <c r="M86" s="24">
        <f>M87+M89+M91+M94</f>
        <v>11531.6</v>
      </c>
    </row>
    <row r="87" spans="1:13" s="74" customFormat="1" ht="36" customHeight="1" x14ac:dyDescent="0.35">
      <c r="A87" s="11"/>
      <c r="B87" s="407" t="s">
        <v>346</v>
      </c>
      <c r="C87" s="23" t="s">
        <v>1</v>
      </c>
      <c r="D87" s="10" t="s">
        <v>53</v>
      </c>
      <c r="E87" s="10" t="s">
        <v>94</v>
      </c>
      <c r="F87" s="498" t="s">
        <v>71</v>
      </c>
      <c r="G87" s="499" t="s">
        <v>36</v>
      </c>
      <c r="H87" s="499" t="s">
        <v>28</v>
      </c>
      <c r="I87" s="500" t="s">
        <v>74</v>
      </c>
      <c r="J87" s="10"/>
      <c r="K87" s="24">
        <f>K88</f>
        <v>1926.4</v>
      </c>
      <c r="L87" s="24">
        <f t="shared" ref="L87" si="25">L88</f>
        <v>0</v>
      </c>
      <c r="M87" s="24">
        <f>M88</f>
        <v>1926.4</v>
      </c>
    </row>
    <row r="88" spans="1:13" s="74" customFormat="1" ht="54" customHeight="1" x14ac:dyDescent="0.35">
      <c r="A88" s="11"/>
      <c r="B88" s="368" t="s">
        <v>45</v>
      </c>
      <c r="C88" s="23" t="s">
        <v>1</v>
      </c>
      <c r="D88" s="10" t="s">
        <v>53</v>
      </c>
      <c r="E88" s="10" t="s">
        <v>94</v>
      </c>
      <c r="F88" s="498" t="s">
        <v>71</v>
      </c>
      <c r="G88" s="499" t="s">
        <v>36</v>
      </c>
      <c r="H88" s="499" t="s">
        <v>28</v>
      </c>
      <c r="I88" s="500" t="s">
        <v>74</v>
      </c>
      <c r="J88" s="10" t="s">
        <v>46</v>
      </c>
      <c r="K88" s="24">
        <f>298.4+1628</f>
        <v>1926.4</v>
      </c>
      <c r="L88" s="24">
        <f>M88-K88</f>
        <v>0</v>
      </c>
      <c r="M88" s="24">
        <f>298.4+1628</f>
        <v>1926.4</v>
      </c>
    </row>
    <row r="89" spans="1:13" s="74" customFormat="1" ht="54" customHeight="1" x14ac:dyDescent="0.35">
      <c r="A89" s="11"/>
      <c r="B89" s="368" t="s">
        <v>75</v>
      </c>
      <c r="C89" s="23" t="s">
        <v>1</v>
      </c>
      <c r="D89" s="10" t="s">
        <v>53</v>
      </c>
      <c r="E89" s="10" t="s">
        <v>94</v>
      </c>
      <c r="F89" s="498" t="s">
        <v>71</v>
      </c>
      <c r="G89" s="499" t="s">
        <v>36</v>
      </c>
      <c r="H89" s="499" t="s">
        <v>28</v>
      </c>
      <c r="I89" s="500" t="s">
        <v>76</v>
      </c>
      <c r="J89" s="10"/>
      <c r="K89" s="24">
        <f>K90</f>
        <v>63.9</v>
      </c>
      <c r="L89" s="24">
        <f t="shared" ref="L89" si="26">L90</f>
        <v>3.3000000000000043</v>
      </c>
      <c r="M89" s="24">
        <f>M90</f>
        <v>67.2</v>
      </c>
    </row>
    <row r="90" spans="1:13" s="74" customFormat="1" ht="54" customHeight="1" x14ac:dyDescent="0.35">
      <c r="A90" s="11"/>
      <c r="B90" s="368" t="s">
        <v>45</v>
      </c>
      <c r="C90" s="23" t="s">
        <v>1</v>
      </c>
      <c r="D90" s="10" t="s">
        <v>53</v>
      </c>
      <c r="E90" s="10" t="s">
        <v>94</v>
      </c>
      <c r="F90" s="498" t="s">
        <v>71</v>
      </c>
      <c r="G90" s="499" t="s">
        <v>36</v>
      </c>
      <c r="H90" s="499" t="s">
        <v>28</v>
      </c>
      <c r="I90" s="500" t="s">
        <v>76</v>
      </c>
      <c r="J90" s="10" t="s">
        <v>46</v>
      </c>
      <c r="K90" s="24">
        <v>63.9</v>
      </c>
      <c r="L90" s="24">
        <f>M90-K90</f>
        <v>3.3000000000000043</v>
      </c>
      <c r="M90" s="24">
        <f>63.9+3.3</f>
        <v>67.2</v>
      </c>
    </row>
    <row r="91" spans="1:13" s="74" customFormat="1" ht="144" customHeight="1" x14ac:dyDescent="0.35">
      <c r="A91" s="11"/>
      <c r="B91" s="368" t="s">
        <v>425</v>
      </c>
      <c r="C91" s="23" t="s">
        <v>1</v>
      </c>
      <c r="D91" s="10" t="s">
        <v>53</v>
      </c>
      <c r="E91" s="10" t="s">
        <v>94</v>
      </c>
      <c r="F91" s="498" t="s">
        <v>71</v>
      </c>
      <c r="G91" s="499" t="s">
        <v>36</v>
      </c>
      <c r="H91" s="499" t="s">
        <v>28</v>
      </c>
      <c r="I91" s="500" t="s">
        <v>277</v>
      </c>
      <c r="J91" s="10"/>
      <c r="K91" s="24">
        <f>K92</f>
        <v>9483.9</v>
      </c>
      <c r="L91" s="24">
        <f t="shared" ref="L91" si="27">L92</f>
        <v>0</v>
      </c>
      <c r="M91" s="24">
        <f>M92</f>
        <v>9483.9</v>
      </c>
    </row>
    <row r="92" spans="1:13" s="74" customFormat="1" ht="18" customHeight="1" x14ac:dyDescent="0.35">
      <c r="A92" s="11"/>
      <c r="B92" s="368" t="s">
        <v>113</v>
      </c>
      <c r="C92" s="23" t="s">
        <v>1</v>
      </c>
      <c r="D92" s="10" t="s">
        <v>53</v>
      </c>
      <c r="E92" s="10" t="s">
        <v>94</v>
      </c>
      <c r="F92" s="498" t="s">
        <v>71</v>
      </c>
      <c r="G92" s="499" t="s">
        <v>36</v>
      </c>
      <c r="H92" s="499" t="s">
        <v>28</v>
      </c>
      <c r="I92" s="500" t="s">
        <v>277</v>
      </c>
      <c r="J92" s="10" t="s">
        <v>114</v>
      </c>
      <c r="K92" s="24">
        <v>9483.9</v>
      </c>
      <c r="L92" s="24">
        <f>M92-K92</f>
        <v>0</v>
      </c>
      <c r="M92" s="24">
        <v>9483.9</v>
      </c>
    </row>
    <row r="93" spans="1:13" s="74" customFormat="1" ht="90" customHeight="1" x14ac:dyDescent="0.35">
      <c r="A93" s="11"/>
      <c r="B93" s="365" t="s">
        <v>424</v>
      </c>
      <c r="C93" s="23" t="s">
        <v>1</v>
      </c>
      <c r="D93" s="10" t="s">
        <v>53</v>
      </c>
      <c r="E93" s="10" t="s">
        <v>94</v>
      </c>
      <c r="F93" s="498" t="s">
        <v>71</v>
      </c>
      <c r="G93" s="499" t="s">
        <v>36</v>
      </c>
      <c r="H93" s="499" t="s">
        <v>28</v>
      </c>
      <c r="I93" s="500" t="s">
        <v>278</v>
      </c>
      <c r="J93" s="10"/>
      <c r="K93" s="24">
        <f>K94</f>
        <v>54.1</v>
      </c>
      <c r="L93" s="24">
        <f t="shared" ref="L93" si="28">L94</f>
        <v>0</v>
      </c>
      <c r="M93" s="24">
        <f>M94</f>
        <v>54.1</v>
      </c>
    </row>
    <row r="94" spans="1:13" s="74" customFormat="1" ht="18" customHeight="1" x14ac:dyDescent="0.35">
      <c r="A94" s="11"/>
      <c r="B94" s="368" t="s">
        <v>113</v>
      </c>
      <c r="C94" s="23" t="s">
        <v>1</v>
      </c>
      <c r="D94" s="10" t="s">
        <v>53</v>
      </c>
      <c r="E94" s="10" t="s">
        <v>94</v>
      </c>
      <c r="F94" s="498" t="s">
        <v>71</v>
      </c>
      <c r="G94" s="499" t="s">
        <v>36</v>
      </c>
      <c r="H94" s="499" t="s">
        <v>28</v>
      </c>
      <c r="I94" s="500" t="s">
        <v>278</v>
      </c>
      <c r="J94" s="10" t="s">
        <v>114</v>
      </c>
      <c r="K94" s="24">
        <v>54.1</v>
      </c>
      <c r="L94" s="24">
        <f>M94-K94</f>
        <v>0</v>
      </c>
      <c r="M94" s="24">
        <v>54.1</v>
      </c>
    </row>
    <row r="95" spans="1:13" s="74" customFormat="1" ht="54" customHeight="1" x14ac:dyDescent="0.35">
      <c r="A95" s="11"/>
      <c r="B95" s="406" t="s">
        <v>77</v>
      </c>
      <c r="C95" s="23" t="s">
        <v>1</v>
      </c>
      <c r="D95" s="10" t="s">
        <v>53</v>
      </c>
      <c r="E95" s="10" t="s">
        <v>78</v>
      </c>
      <c r="F95" s="498"/>
      <c r="G95" s="499"/>
      <c r="H95" s="499"/>
      <c r="I95" s="500"/>
      <c r="J95" s="10"/>
      <c r="K95" s="24">
        <f>K96</f>
        <v>13694.2</v>
      </c>
      <c r="L95" s="24">
        <f t="shared" ref="L95" si="29">L96</f>
        <v>32.039130000000114</v>
      </c>
      <c r="M95" s="24">
        <f>M96</f>
        <v>13726.23913</v>
      </c>
    </row>
    <row r="96" spans="1:13" s="74" customFormat="1" ht="54" customHeight="1" x14ac:dyDescent="0.35">
      <c r="A96" s="11"/>
      <c r="B96" s="368" t="s">
        <v>70</v>
      </c>
      <c r="C96" s="23" t="s">
        <v>1</v>
      </c>
      <c r="D96" s="10" t="s">
        <v>53</v>
      </c>
      <c r="E96" s="10" t="s">
        <v>78</v>
      </c>
      <c r="F96" s="498" t="s">
        <v>71</v>
      </c>
      <c r="G96" s="499" t="s">
        <v>33</v>
      </c>
      <c r="H96" s="499" t="s">
        <v>34</v>
      </c>
      <c r="I96" s="500" t="s">
        <v>35</v>
      </c>
      <c r="J96" s="10"/>
      <c r="K96" s="24">
        <f>K97+K106+K112</f>
        <v>13694.2</v>
      </c>
      <c r="L96" s="24">
        <f t="shared" ref="L96" si="30">L97+L106+L112</f>
        <v>32.039130000000114</v>
      </c>
      <c r="M96" s="24">
        <f>M97+M106+M112</f>
        <v>13726.23913</v>
      </c>
    </row>
    <row r="97" spans="1:13" s="74" customFormat="1" ht="36" customHeight="1" x14ac:dyDescent="0.35">
      <c r="A97" s="11"/>
      <c r="B97" s="406" t="s">
        <v>115</v>
      </c>
      <c r="C97" s="23" t="s">
        <v>1</v>
      </c>
      <c r="D97" s="10" t="s">
        <v>53</v>
      </c>
      <c r="E97" s="10" t="s">
        <v>78</v>
      </c>
      <c r="F97" s="498" t="s">
        <v>71</v>
      </c>
      <c r="G97" s="499" t="s">
        <v>79</v>
      </c>
      <c r="H97" s="499" t="s">
        <v>34</v>
      </c>
      <c r="I97" s="500" t="s">
        <v>35</v>
      </c>
      <c r="J97" s="10"/>
      <c r="K97" s="24">
        <f>K103+K98</f>
        <v>1805.1999999999998</v>
      </c>
      <c r="L97" s="24">
        <f t="shared" ref="L97" si="31">L103+L98</f>
        <v>21.999119999999948</v>
      </c>
      <c r="M97" s="24">
        <f>M103+M98</f>
        <v>1827.1991199999998</v>
      </c>
    </row>
    <row r="98" spans="1:13" s="74" customFormat="1" ht="36" customHeight="1" x14ac:dyDescent="0.35">
      <c r="A98" s="11"/>
      <c r="B98" s="406" t="s">
        <v>228</v>
      </c>
      <c r="C98" s="23" t="s">
        <v>1</v>
      </c>
      <c r="D98" s="10" t="s">
        <v>53</v>
      </c>
      <c r="E98" s="10" t="s">
        <v>78</v>
      </c>
      <c r="F98" s="498" t="s">
        <v>71</v>
      </c>
      <c r="G98" s="499" t="s">
        <v>79</v>
      </c>
      <c r="H98" s="499" t="s">
        <v>28</v>
      </c>
      <c r="I98" s="500" t="s">
        <v>35</v>
      </c>
      <c r="J98" s="10"/>
      <c r="K98" s="24">
        <f>K101+K99</f>
        <v>342.6</v>
      </c>
      <c r="L98" s="24">
        <f t="shared" ref="L98" si="32">L101+L99</f>
        <v>0</v>
      </c>
      <c r="M98" s="24">
        <f>M101+M99</f>
        <v>342.6</v>
      </c>
    </row>
    <row r="99" spans="1:13" s="74" customFormat="1" ht="36" customHeight="1" x14ac:dyDescent="0.35">
      <c r="A99" s="11"/>
      <c r="B99" s="400" t="s">
        <v>117</v>
      </c>
      <c r="C99" s="23" t="s">
        <v>1</v>
      </c>
      <c r="D99" s="10" t="s">
        <v>53</v>
      </c>
      <c r="E99" s="10" t="s">
        <v>78</v>
      </c>
      <c r="F99" s="498" t="s">
        <v>71</v>
      </c>
      <c r="G99" s="499" t="s">
        <v>79</v>
      </c>
      <c r="H99" s="499" t="s">
        <v>28</v>
      </c>
      <c r="I99" s="500" t="s">
        <v>80</v>
      </c>
      <c r="J99" s="10"/>
      <c r="K99" s="24">
        <f>K100</f>
        <v>218.7</v>
      </c>
      <c r="L99" s="24">
        <f t="shared" ref="L99" si="33">L100</f>
        <v>0</v>
      </c>
      <c r="M99" s="24">
        <f>M100</f>
        <v>218.7</v>
      </c>
    </row>
    <row r="100" spans="1:13" s="74" customFormat="1" ht="54" customHeight="1" x14ac:dyDescent="0.35">
      <c r="A100" s="11"/>
      <c r="B100" s="368" t="s">
        <v>45</v>
      </c>
      <c r="C100" s="23" t="s">
        <v>1</v>
      </c>
      <c r="D100" s="10" t="s">
        <v>53</v>
      </c>
      <c r="E100" s="10" t="s">
        <v>78</v>
      </c>
      <c r="F100" s="498" t="s">
        <v>71</v>
      </c>
      <c r="G100" s="499" t="s">
        <v>79</v>
      </c>
      <c r="H100" s="499" t="s">
        <v>28</v>
      </c>
      <c r="I100" s="500" t="s">
        <v>80</v>
      </c>
      <c r="J100" s="10" t="s">
        <v>46</v>
      </c>
      <c r="K100" s="24">
        <f>28.7+190</f>
        <v>218.7</v>
      </c>
      <c r="L100" s="24">
        <f>M100-K100</f>
        <v>0</v>
      </c>
      <c r="M100" s="24">
        <f>28.7+190</f>
        <v>218.7</v>
      </c>
    </row>
    <row r="101" spans="1:13" s="74" customFormat="1" ht="90" customHeight="1" x14ac:dyDescent="0.35">
      <c r="A101" s="11"/>
      <c r="B101" s="379" t="s">
        <v>424</v>
      </c>
      <c r="C101" s="23" t="s">
        <v>1</v>
      </c>
      <c r="D101" s="10" t="s">
        <v>53</v>
      </c>
      <c r="E101" s="10" t="s">
        <v>78</v>
      </c>
      <c r="F101" s="498" t="s">
        <v>71</v>
      </c>
      <c r="G101" s="499" t="s">
        <v>79</v>
      </c>
      <c r="H101" s="499" t="s">
        <v>28</v>
      </c>
      <c r="I101" s="500" t="s">
        <v>278</v>
      </c>
      <c r="J101" s="10"/>
      <c r="K101" s="24">
        <f>K102</f>
        <v>123.9</v>
      </c>
      <c r="L101" s="24">
        <f t="shared" ref="L101" si="34">L102</f>
        <v>0</v>
      </c>
      <c r="M101" s="24">
        <f>M102</f>
        <v>123.9</v>
      </c>
    </row>
    <row r="102" spans="1:13" s="74" customFormat="1" ht="18" customHeight="1" x14ac:dyDescent="0.35">
      <c r="A102" s="11"/>
      <c r="B102" s="406" t="s">
        <v>113</v>
      </c>
      <c r="C102" s="23" t="s">
        <v>1</v>
      </c>
      <c r="D102" s="10" t="s">
        <v>53</v>
      </c>
      <c r="E102" s="10" t="s">
        <v>78</v>
      </c>
      <c r="F102" s="498" t="s">
        <v>71</v>
      </c>
      <c r="G102" s="499" t="s">
        <v>79</v>
      </c>
      <c r="H102" s="499" t="s">
        <v>28</v>
      </c>
      <c r="I102" s="500" t="s">
        <v>278</v>
      </c>
      <c r="J102" s="10" t="s">
        <v>114</v>
      </c>
      <c r="K102" s="24">
        <v>123.9</v>
      </c>
      <c r="L102" s="24">
        <f>M102-K102</f>
        <v>0</v>
      </c>
      <c r="M102" s="24">
        <v>123.9</v>
      </c>
    </row>
    <row r="103" spans="1:13" s="74" customFormat="1" ht="54" customHeight="1" x14ac:dyDescent="0.35">
      <c r="A103" s="11"/>
      <c r="B103" s="400" t="s">
        <v>116</v>
      </c>
      <c r="C103" s="23" t="s">
        <v>1</v>
      </c>
      <c r="D103" s="10" t="s">
        <v>53</v>
      </c>
      <c r="E103" s="10" t="s">
        <v>78</v>
      </c>
      <c r="F103" s="498" t="s">
        <v>71</v>
      </c>
      <c r="G103" s="499" t="s">
        <v>79</v>
      </c>
      <c r="H103" s="499" t="s">
        <v>30</v>
      </c>
      <c r="I103" s="500" t="s">
        <v>35</v>
      </c>
      <c r="J103" s="10"/>
      <c r="K103" s="24">
        <f t="shared" ref="K103:M104" si="35">K104</f>
        <v>1462.6</v>
      </c>
      <c r="L103" s="24">
        <f t="shared" si="35"/>
        <v>21.999119999999948</v>
      </c>
      <c r="M103" s="24">
        <f t="shared" si="35"/>
        <v>1484.5991199999999</v>
      </c>
    </row>
    <row r="104" spans="1:13" s="74" customFormat="1" ht="36" customHeight="1" x14ac:dyDescent="0.35">
      <c r="A104" s="11"/>
      <c r="B104" s="400" t="s">
        <v>117</v>
      </c>
      <c r="C104" s="23" t="s">
        <v>1</v>
      </c>
      <c r="D104" s="10" t="s">
        <v>53</v>
      </c>
      <c r="E104" s="10" t="s">
        <v>78</v>
      </c>
      <c r="F104" s="498" t="s">
        <v>71</v>
      </c>
      <c r="G104" s="499" t="s">
        <v>79</v>
      </c>
      <c r="H104" s="499" t="s">
        <v>30</v>
      </c>
      <c r="I104" s="500" t="s">
        <v>80</v>
      </c>
      <c r="J104" s="10"/>
      <c r="K104" s="24">
        <f t="shared" si="35"/>
        <v>1462.6</v>
      </c>
      <c r="L104" s="24">
        <f t="shared" si="35"/>
        <v>21.999119999999948</v>
      </c>
      <c r="M104" s="24">
        <f t="shared" si="35"/>
        <v>1484.5991199999999</v>
      </c>
    </row>
    <row r="105" spans="1:13" s="74" customFormat="1" ht="54" customHeight="1" x14ac:dyDescent="0.35">
      <c r="A105" s="11"/>
      <c r="B105" s="368" t="s">
        <v>45</v>
      </c>
      <c r="C105" s="23" t="s">
        <v>1</v>
      </c>
      <c r="D105" s="10" t="s">
        <v>53</v>
      </c>
      <c r="E105" s="10" t="s">
        <v>78</v>
      </c>
      <c r="F105" s="498" t="s">
        <v>71</v>
      </c>
      <c r="G105" s="499" t="s">
        <v>79</v>
      </c>
      <c r="H105" s="499" t="s">
        <v>30</v>
      </c>
      <c r="I105" s="500" t="s">
        <v>80</v>
      </c>
      <c r="J105" s="10" t="s">
        <v>46</v>
      </c>
      <c r="K105" s="24">
        <f>810+652.6</f>
        <v>1462.6</v>
      </c>
      <c r="L105" s="24">
        <f>M105-K105</f>
        <v>21.999119999999948</v>
      </c>
      <c r="M105" s="24">
        <f>810+652.6+21.99912</f>
        <v>1484.5991199999999</v>
      </c>
    </row>
    <row r="106" spans="1:13" s="74" customFormat="1" ht="72" customHeight="1" x14ac:dyDescent="0.35">
      <c r="A106" s="11"/>
      <c r="B106" s="406" t="s">
        <v>308</v>
      </c>
      <c r="C106" s="23" t="s">
        <v>1</v>
      </c>
      <c r="D106" s="10" t="s">
        <v>53</v>
      </c>
      <c r="E106" s="10" t="s">
        <v>78</v>
      </c>
      <c r="F106" s="498" t="s">
        <v>71</v>
      </c>
      <c r="G106" s="499" t="s">
        <v>21</v>
      </c>
      <c r="H106" s="499" t="s">
        <v>34</v>
      </c>
      <c r="I106" s="500" t="s">
        <v>35</v>
      </c>
      <c r="J106" s="10"/>
      <c r="K106" s="24">
        <f>K107</f>
        <v>11860.3</v>
      </c>
      <c r="L106" s="24">
        <f t="shared" ref="L106:L107" si="36">L107</f>
        <v>10.040010000000166</v>
      </c>
      <c r="M106" s="24">
        <f>M107</f>
        <v>11870.34001</v>
      </c>
    </row>
    <row r="107" spans="1:13" s="74" customFormat="1" ht="72" customHeight="1" x14ac:dyDescent="0.35">
      <c r="A107" s="11"/>
      <c r="B107" s="400" t="s">
        <v>272</v>
      </c>
      <c r="C107" s="23" t="s">
        <v>1</v>
      </c>
      <c r="D107" s="10" t="s">
        <v>53</v>
      </c>
      <c r="E107" s="10" t="s">
        <v>78</v>
      </c>
      <c r="F107" s="498" t="s">
        <v>71</v>
      </c>
      <c r="G107" s="499" t="s">
        <v>21</v>
      </c>
      <c r="H107" s="499" t="s">
        <v>28</v>
      </c>
      <c r="I107" s="500" t="s">
        <v>35</v>
      </c>
      <c r="J107" s="10"/>
      <c r="K107" s="24">
        <f>K108</f>
        <v>11860.3</v>
      </c>
      <c r="L107" s="24">
        <f t="shared" si="36"/>
        <v>10.040010000000166</v>
      </c>
      <c r="M107" s="24">
        <f>M108</f>
        <v>11870.34001</v>
      </c>
    </row>
    <row r="108" spans="1:13" s="74" customFormat="1" ht="36" customHeight="1" x14ac:dyDescent="0.35">
      <c r="A108" s="11"/>
      <c r="B108" s="400" t="s">
        <v>353</v>
      </c>
      <c r="C108" s="23" t="s">
        <v>1</v>
      </c>
      <c r="D108" s="10" t="s">
        <v>53</v>
      </c>
      <c r="E108" s="10" t="s">
        <v>78</v>
      </c>
      <c r="F108" s="498" t="s">
        <v>71</v>
      </c>
      <c r="G108" s="499" t="s">
        <v>21</v>
      </c>
      <c r="H108" s="499" t="s">
        <v>28</v>
      </c>
      <c r="I108" s="500" t="s">
        <v>81</v>
      </c>
      <c r="J108" s="10"/>
      <c r="K108" s="24">
        <f>K109+K110+K111</f>
        <v>11860.3</v>
      </c>
      <c r="L108" s="24">
        <f t="shared" ref="L108" si="37">L109+L110+L111</f>
        <v>10.040010000000166</v>
      </c>
      <c r="M108" s="24">
        <f>M109+M110+M111</f>
        <v>11870.34001</v>
      </c>
    </row>
    <row r="109" spans="1:13" s="74" customFormat="1" ht="108" customHeight="1" x14ac:dyDescent="0.35">
      <c r="A109" s="11"/>
      <c r="B109" s="368" t="s">
        <v>40</v>
      </c>
      <c r="C109" s="23" t="s">
        <v>1</v>
      </c>
      <c r="D109" s="10" t="s">
        <v>53</v>
      </c>
      <c r="E109" s="10" t="s">
        <v>78</v>
      </c>
      <c r="F109" s="498" t="s">
        <v>71</v>
      </c>
      <c r="G109" s="499" t="s">
        <v>21</v>
      </c>
      <c r="H109" s="499" t="s">
        <v>28</v>
      </c>
      <c r="I109" s="500" t="s">
        <v>81</v>
      </c>
      <c r="J109" s="10" t="s">
        <v>41</v>
      </c>
      <c r="K109" s="24">
        <v>9058.7999999999993</v>
      </c>
      <c r="L109" s="24">
        <f>M109-K109</f>
        <v>0</v>
      </c>
      <c r="M109" s="24">
        <v>9058.7999999999993</v>
      </c>
    </row>
    <row r="110" spans="1:13" s="74" customFormat="1" ht="54" x14ac:dyDescent="0.35">
      <c r="A110" s="11"/>
      <c r="B110" s="368" t="s">
        <v>45</v>
      </c>
      <c r="C110" s="23" t="s">
        <v>1</v>
      </c>
      <c r="D110" s="10" t="s">
        <v>53</v>
      </c>
      <c r="E110" s="10" t="s">
        <v>78</v>
      </c>
      <c r="F110" s="498" t="s">
        <v>71</v>
      </c>
      <c r="G110" s="499" t="s">
        <v>21</v>
      </c>
      <c r="H110" s="499" t="s">
        <v>28</v>
      </c>
      <c r="I110" s="500" t="s">
        <v>81</v>
      </c>
      <c r="J110" s="10" t="s">
        <v>46</v>
      </c>
      <c r="K110" s="24">
        <f>2445.4+352.8</f>
        <v>2798.2000000000003</v>
      </c>
      <c r="L110" s="24">
        <f>M110-K110</f>
        <v>10.040010000000166</v>
      </c>
      <c r="M110" s="24">
        <f>2445.4+352.8+10.04001</f>
        <v>2808.2400100000004</v>
      </c>
    </row>
    <row r="111" spans="1:13" s="74" customFormat="1" ht="18" customHeight="1" x14ac:dyDescent="0.35">
      <c r="A111" s="11"/>
      <c r="B111" s="368" t="s">
        <v>47</v>
      </c>
      <c r="C111" s="23" t="s">
        <v>1</v>
      </c>
      <c r="D111" s="10" t="s">
        <v>53</v>
      </c>
      <c r="E111" s="10" t="s">
        <v>78</v>
      </c>
      <c r="F111" s="498" t="s">
        <v>71</v>
      </c>
      <c r="G111" s="499" t="s">
        <v>21</v>
      </c>
      <c r="H111" s="499" t="s">
        <v>28</v>
      </c>
      <c r="I111" s="500" t="s">
        <v>81</v>
      </c>
      <c r="J111" s="10" t="s">
        <v>48</v>
      </c>
      <c r="K111" s="24">
        <v>3.3</v>
      </c>
      <c r="L111" s="24">
        <f>M111-K111</f>
        <v>0</v>
      </c>
      <c r="M111" s="24">
        <v>3.3</v>
      </c>
    </row>
    <row r="112" spans="1:13" s="74" customFormat="1" ht="69" customHeight="1" x14ac:dyDescent="0.35">
      <c r="A112" s="11"/>
      <c r="B112" s="382" t="s">
        <v>364</v>
      </c>
      <c r="C112" s="23" t="s">
        <v>1</v>
      </c>
      <c r="D112" s="10" t="s">
        <v>53</v>
      </c>
      <c r="E112" s="10" t="s">
        <v>78</v>
      </c>
      <c r="F112" s="498" t="s">
        <v>71</v>
      </c>
      <c r="G112" s="499" t="s">
        <v>22</v>
      </c>
      <c r="H112" s="499" t="s">
        <v>34</v>
      </c>
      <c r="I112" s="500" t="s">
        <v>35</v>
      </c>
      <c r="J112" s="10"/>
      <c r="K112" s="24">
        <f>K113</f>
        <v>28.7</v>
      </c>
      <c r="L112" s="24">
        <f t="shared" ref="L112" si="38">L113</f>
        <v>0</v>
      </c>
      <c r="M112" s="24">
        <f>M113</f>
        <v>28.7</v>
      </c>
    </row>
    <row r="113" spans="1:13" s="74" customFormat="1" ht="72" customHeight="1" x14ac:dyDescent="0.35">
      <c r="A113" s="11"/>
      <c r="B113" s="383" t="s">
        <v>365</v>
      </c>
      <c r="C113" s="23" t="s">
        <v>1</v>
      </c>
      <c r="D113" s="10" t="s">
        <v>53</v>
      </c>
      <c r="E113" s="10" t="s">
        <v>78</v>
      </c>
      <c r="F113" s="498" t="s">
        <v>71</v>
      </c>
      <c r="G113" s="499" t="s">
        <v>22</v>
      </c>
      <c r="H113" s="499" t="s">
        <v>28</v>
      </c>
      <c r="I113" s="500" t="s">
        <v>35</v>
      </c>
      <c r="J113" s="10"/>
      <c r="K113" s="24">
        <f t="shared" ref="K113:M114" si="39">K114</f>
        <v>28.7</v>
      </c>
      <c r="L113" s="24">
        <f t="shared" si="39"/>
        <v>0</v>
      </c>
      <c r="M113" s="24">
        <f t="shared" si="39"/>
        <v>28.7</v>
      </c>
    </row>
    <row r="114" spans="1:13" s="74" customFormat="1" ht="54" customHeight="1" x14ac:dyDescent="0.35">
      <c r="A114" s="11"/>
      <c r="B114" s="384" t="s">
        <v>75</v>
      </c>
      <c r="C114" s="23" t="s">
        <v>1</v>
      </c>
      <c r="D114" s="10" t="s">
        <v>53</v>
      </c>
      <c r="E114" s="10" t="s">
        <v>78</v>
      </c>
      <c r="F114" s="498" t="s">
        <v>71</v>
      </c>
      <c r="G114" s="499" t="s">
        <v>22</v>
      </c>
      <c r="H114" s="499" t="s">
        <v>28</v>
      </c>
      <c r="I114" s="500" t="s">
        <v>76</v>
      </c>
      <c r="J114" s="10"/>
      <c r="K114" s="24">
        <f t="shared" si="39"/>
        <v>28.7</v>
      </c>
      <c r="L114" s="24">
        <f t="shared" si="39"/>
        <v>0</v>
      </c>
      <c r="M114" s="24">
        <f t="shared" si="39"/>
        <v>28.7</v>
      </c>
    </row>
    <row r="115" spans="1:13" s="74" customFormat="1" ht="54" customHeight="1" x14ac:dyDescent="0.35">
      <c r="A115" s="11"/>
      <c r="B115" s="385" t="s">
        <v>45</v>
      </c>
      <c r="C115" s="23" t="s">
        <v>1</v>
      </c>
      <c r="D115" s="10" t="s">
        <v>53</v>
      </c>
      <c r="E115" s="10" t="s">
        <v>78</v>
      </c>
      <c r="F115" s="498" t="s">
        <v>71</v>
      </c>
      <c r="G115" s="499" t="s">
        <v>22</v>
      </c>
      <c r="H115" s="499" t="s">
        <v>28</v>
      </c>
      <c r="I115" s="500" t="s">
        <v>76</v>
      </c>
      <c r="J115" s="10" t="s">
        <v>46</v>
      </c>
      <c r="K115" s="24">
        <v>28.7</v>
      </c>
      <c r="L115" s="24">
        <f>M115-K115</f>
        <v>0</v>
      </c>
      <c r="M115" s="24">
        <v>28.7</v>
      </c>
    </row>
    <row r="116" spans="1:13" s="74" customFormat="1" ht="18" customHeight="1" x14ac:dyDescent="0.35">
      <c r="A116" s="11"/>
      <c r="B116" s="368" t="s">
        <v>82</v>
      </c>
      <c r="C116" s="23" t="s">
        <v>1</v>
      </c>
      <c r="D116" s="10" t="s">
        <v>42</v>
      </c>
      <c r="E116" s="10"/>
      <c r="F116" s="498"/>
      <c r="G116" s="499"/>
      <c r="H116" s="499"/>
      <c r="I116" s="500"/>
      <c r="J116" s="10"/>
      <c r="K116" s="24">
        <f>K117+K126+K132</f>
        <v>33209.799999999996</v>
      </c>
      <c r="L116" s="24">
        <f t="shared" ref="L116" si="40">L117+L126+L132</f>
        <v>0</v>
      </c>
      <c r="M116" s="24">
        <f>M117+M126+M132</f>
        <v>33209.799999999996</v>
      </c>
    </row>
    <row r="117" spans="1:13" s="7" customFormat="1" ht="18" customHeight="1" x14ac:dyDescent="0.35">
      <c r="A117" s="11"/>
      <c r="B117" s="368" t="s">
        <v>83</v>
      </c>
      <c r="C117" s="23" t="s">
        <v>1</v>
      </c>
      <c r="D117" s="10" t="s">
        <v>42</v>
      </c>
      <c r="E117" s="10" t="s">
        <v>55</v>
      </c>
      <c r="F117" s="498"/>
      <c r="G117" s="499"/>
      <c r="H117" s="499"/>
      <c r="I117" s="500"/>
      <c r="J117" s="10"/>
      <c r="K117" s="24">
        <f t="shared" ref="K117:M118" si="41">K118</f>
        <v>24038.799999999999</v>
      </c>
      <c r="L117" s="24">
        <f t="shared" si="41"/>
        <v>0</v>
      </c>
      <c r="M117" s="24">
        <f t="shared" si="41"/>
        <v>24038.799999999999</v>
      </c>
    </row>
    <row r="118" spans="1:13" s="74" customFormat="1" ht="54" customHeight="1" x14ac:dyDescent="0.35">
      <c r="A118" s="11"/>
      <c r="B118" s="368" t="s">
        <v>84</v>
      </c>
      <c r="C118" s="23" t="s">
        <v>1</v>
      </c>
      <c r="D118" s="10" t="s">
        <v>42</v>
      </c>
      <c r="E118" s="10" t="s">
        <v>55</v>
      </c>
      <c r="F118" s="498" t="s">
        <v>57</v>
      </c>
      <c r="G118" s="499" t="s">
        <v>33</v>
      </c>
      <c r="H118" s="499" t="s">
        <v>34</v>
      </c>
      <c r="I118" s="500" t="s">
        <v>35</v>
      </c>
      <c r="J118" s="10"/>
      <c r="K118" s="24">
        <f t="shared" si="41"/>
        <v>24038.799999999999</v>
      </c>
      <c r="L118" s="24">
        <f t="shared" si="41"/>
        <v>0</v>
      </c>
      <c r="M118" s="24">
        <f t="shared" si="41"/>
        <v>24038.799999999999</v>
      </c>
    </row>
    <row r="119" spans="1:13" s="7" customFormat="1" ht="36" customHeight="1" x14ac:dyDescent="0.35">
      <c r="A119" s="11"/>
      <c r="B119" s="368" t="s">
        <v>287</v>
      </c>
      <c r="C119" s="23" t="s">
        <v>1</v>
      </c>
      <c r="D119" s="10" t="s">
        <v>42</v>
      </c>
      <c r="E119" s="10" t="s">
        <v>55</v>
      </c>
      <c r="F119" s="498" t="s">
        <v>57</v>
      </c>
      <c r="G119" s="499" t="s">
        <v>36</v>
      </c>
      <c r="H119" s="499" t="s">
        <v>34</v>
      </c>
      <c r="I119" s="500" t="s">
        <v>35</v>
      </c>
      <c r="J119" s="10"/>
      <c r="K119" s="24">
        <f>K120+K123</f>
        <v>24038.799999999999</v>
      </c>
      <c r="L119" s="24">
        <f t="shared" ref="L119" si="42">L120+L123</f>
        <v>0</v>
      </c>
      <c r="M119" s="24">
        <f>M120+M123</f>
        <v>24038.799999999999</v>
      </c>
    </row>
    <row r="120" spans="1:13" s="7" customFormat="1" ht="54" customHeight="1" x14ac:dyDescent="0.35">
      <c r="A120" s="11"/>
      <c r="B120" s="368" t="s">
        <v>85</v>
      </c>
      <c r="C120" s="23" t="s">
        <v>1</v>
      </c>
      <c r="D120" s="10" t="s">
        <v>42</v>
      </c>
      <c r="E120" s="10" t="s">
        <v>55</v>
      </c>
      <c r="F120" s="498" t="s">
        <v>57</v>
      </c>
      <c r="G120" s="499" t="s">
        <v>36</v>
      </c>
      <c r="H120" s="499" t="s">
        <v>28</v>
      </c>
      <c r="I120" s="500" t="s">
        <v>35</v>
      </c>
      <c r="J120" s="10"/>
      <c r="K120" s="24">
        <f t="shared" ref="K120:M121" si="43">K121</f>
        <v>20740</v>
      </c>
      <c r="L120" s="24">
        <f t="shared" si="43"/>
        <v>0</v>
      </c>
      <c r="M120" s="24">
        <f t="shared" si="43"/>
        <v>20740</v>
      </c>
    </row>
    <row r="121" spans="1:13" s="7" customFormat="1" ht="72" customHeight="1" x14ac:dyDescent="0.35">
      <c r="A121" s="11"/>
      <c r="B121" s="405" t="s">
        <v>326</v>
      </c>
      <c r="C121" s="23" t="s">
        <v>1</v>
      </c>
      <c r="D121" s="10" t="s">
        <v>42</v>
      </c>
      <c r="E121" s="10" t="s">
        <v>55</v>
      </c>
      <c r="F121" s="498" t="s">
        <v>57</v>
      </c>
      <c r="G121" s="499" t="s">
        <v>36</v>
      </c>
      <c r="H121" s="499" t="s">
        <v>28</v>
      </c>
      <c r="I121" s="500" t="s">
        <v>51</v>
      </c>
      <c r="J121" s="10"/>
      <c r="K121" s="24">
        <f t="shared" si="43"/>
        <v>20740</v>
      </c>
      <c r="L121" s="24">
        <f t="shared" si="43"/>
        <v>0</v>
      </c>
      <c r="M121" s="24">
        <f t="shared" si="43"/>
        <v>20740</v>
      </c>
    </row>
    <row r="122" spans="1:13" s="74" customFormat="1" ht="18" customHeight="1" x14ac:dyDescent="0.35">
      <c r="A122" s="11"/>
      <c r="B122" s="368" t="s">
        <v>47</v>
      </c>
      <c r="C122" s="23" t="s">
        <v>1</v>
      </c>
      <c r="D122" s="10" t="s">
        <v>42</v>
      </c>
      <c r="E122" s="10" t="s">
        <v>55</v>
      </c>
      <c r="F122" s="498" t="s">
        <v>57</v>
      </c>
      <c r="G122" s="499" t="s">
        <v>36</v>
      </c>
      <c r="H122" s="499" t="s">
        <v>28</v>
      </c>
      <c r="I122" s="500" t="s">
        <v>51</v>
      </c>
      <c r="J122" s="10" t="s">
        <v>48</v>
      </c>
      <c r="K122" s="24">
        <v>20740</v>
      </c>
      <c r="L122" s="24">
        <f>M122-K122</f>
        <v>0</v>
      </c>
      <c r="M122" s="24">
        <v>20740</v>
      </c>
    </row>
    <row r="123" spans="1:13" s="7" customFormat="1" ht="54" customHeight="1" x14ac:dyDescent="0.35">
      <c r="A123" s="11"/>
      <c r="B123" s="368" t="s">
        <v>86</v>
      </c>
      <c r="C123" s="23" t="s">
        <v>1</v>
      </c>
      <c r="D123" s="10" t="s">
        <v>42</v>
      </c>
      <c r="E123" s="10" t="s">
        <v>55</v>
      </c>
      <c r="F123" s="498" t="s">
        <v>57</v>
      </c>
      <c r="G123" s="499" t="s">
        <v>36</v>
      </c>
      <c r="H123" s="499" t="s">
        <v>30</v>
      </c>
      <c r="I123" s="500" t="s">
        <v>35</v>
      </c>
      <c r="J123" s="10"/>
      <c r="K123" s="24">
        <f t="shared" ref="K123:M124" si="44">K124</f>
        <v>3298.8</v>
      </c>
      <c r="L123" s="24">
        <f t="shared" si="44"/>
        <v>0</v>
      </c>
      <c r="M123" s="24">
        <f t="shared" si="44"/>
        <v>3298.8</v>
      </c>
    </row>
    <row r="124" spans="1:13" s="7" customFormat="1" ht="180" customHeight="1" x14ac:dyDescent="0.35">
      <c r="A124" s="11"/>
      <c r="B124" s="368" t="s">
        <v>377</v>
      </c>
      <c r="C124" s="23" t="s">
        <v>1</v>
      </c>
      <c r="D124" s="10" t="s">
        <v>42</v>
      </c>
      <c r="E124" s="10" t="s">
        <v>55</v>
      </c>
      <c r="F124" s="498" t="s">
        <v>57</v>
      </c>
      <c r="G124" s="499" t="s">
        <v>36</v>
      </c>
      <c r="H124" s="499" t="s">
        <v>30</v>
      </c>
      <c r="I124" s="500" t="s">
        <v>87</v>
      </c>
      <c r="J124" s="10"/>
      <c r="K124" s="24">
        <f t="shared" si="44"/>
        <v>3298.8</v>
      </c>
      <c r="L124" s="24">
        <f t="shared" si="44"/>
        <v>0</v>
      </c>
      <c r="M124" s="24">
        <f t="shared" si="44"/>
        <v>3298.8</v>
      </c>
    </row>
    <row r="125" spans="1:13" s="74" customFormat="1" ht="54" customHeight="1" x14ac:dyDescent="0.35">
      <c r="A125" s="11"/>
      <c r="B125" s="368" t="s">
        <v>45</v>
      </c>
      <c r="C125" s="23" t="s">
        <v>1</v>
      </c>
      <c r="D125" s="10" t="s">
        <v>42</v>
      </c>
      <c r="E125" s="10" t="s">
        <v>55</v>
      </c>
      <c r="F125" s="498" t="s">
        <v>57</v>
      </c>
      <c r="G125" s="499" t="s">
        <v>36</v>
      </c>
      <c r="H125" s="499" t="s">
        <v>30</v>
      </c>
      <c r="I125" s="500" t="s">
        <v>87</v>
      </c>
      <c r="J125" s="10" t="s">
        <v>46</v>
      </c>
      <c r="K125" s="24">
        <v>3298.8</v>
      </c>
      <c r="L125" s="24">
        <f>M125-K125</f>
        <v>0</v>
      </c>
      <c r="M125" s="24">
        <v>3298.8</v>
      </c>
    </row>
    <row r="126" spans="1:13" s="7" customFormat="1" ht="18" customHeight="1" x14ac:dyDescent="0.35">
      <c r="A126" s="11"/>
      <c r="B126" s="406" t="s">
        <v>88</v>
      </c>
      <c r="C126" s="23" t="s">
        <v>1</v>
      </c>
      <c r="D126" s="10" t="s">
        <v>42</v>
      </c>
      <c r="E126" s="10" t="s">
        <v>69</v>
      </c>
      <c r="F126" s="498"/>
      <c r="G126" s="499"/>
      <c r="H126" s="499"/>
      <c r="I126" s="500"/>
      <c r="J126" s="10"/>
      <c r="K126" s="24">
        <f t="shared" ref="K126:M130" si="45">K127</f>
        <v>6844.9</v>
      </c>
      <c r="L126" s="24">
        <f t="shared" si="45"/>
        <v>0</v>
      </c>
      <c r="M126" s="24">
        <f t="shared" si="45"/>
        <v>6844.9</v>
      </c>
    </row>
    <row r="127" spans="1:13" s="74" customFormat="1" ht="54" customHeight="1" x14ac:dyDescent="0.35">
      <c r="A127" s="11"/>
      <c r="B127" s="368" t="s">
        <v>89</v>
      </c>
      <c r="C127" s="23" t="s">
        <v>1</v>
      </c>
      <c r="D127" s="10" t="s">
        <v>42</v>
      </c>
      <c r="E127" s="10" t="s">
        <v>69</v>
      </c>
      <c r="F127" s="498" t="s">
        <v>90</v>
      </c>
      <c r="G127" s="499" t="s">
        <v>33</v>
      </c>
      <c r="H127" s="499" t="s">
        <v>34</v>
      </c>
      <c r="I127" s="500" t="s">
        <v>35</v>
      </c>
      <c r="J127" s="10"/>
      <c r="K127" s="24">
        <f t="shared" si="45"/>
        <v>6844.9</v>
      </c>
      <c r="L127" s="24">
        <f t="shared" si="45"/>
        <v>0</v>
      </c>
      <c r="M127" s="24">
        <f t="shared" si="45"/>
        <v>6844.9</v>
      </c>
    </row>
    <row r="128" spans="1:13" s="7" customFormat="1" ht="36" customHeight="1" x14ac:dyDescent="0.35">
      <c r="A128" s="11"/>
      <c r="B128" s="368" t="s">
        <v>287</v>
      </c>
      <c r="C128" s="23" t="s">
        <v>1</v>
      </c>
      <c r="D128" s="10" t="s">
        <v>42</v>
      </c>
      <c r="E128" s="10" t="s">
        <v>69</v>
      </c>
      <c r="F128" s="498" t="s">
        <v>90</v>
      </c>
      <c r="G128" s="499" t="s">
        <v>36</v>
      </c>
      <c r="H128" s="499" t="s">
        <v>34</v>
      </c>
      <c r="I128" s="500" t="s">
        <v>35</v>
      </c>
      <c r="J128" s="10"/>
      <c r="K128" s="24">
        <f t="shared" si="45"/>
        <v>6844.9</v>
      </c>
      <c r="L128" s="24">
        <f t="shared" si="45"/>
        <v>0</v>
      </c>
      <c r="M128" s="24">
        <f t="shared" si="45"/>
        <v>6844.9</v>
      </c>
    </row>
    <row r="129" spans="1:13" s="7" customFormat="1" ht="90" customHeight="1" x14ac:dyDescent="0.35">
      <c r="A129" s="11"/>
      <c r="B129" s="368" t="s">
        <v>91</v>
      </c>
      <c r="C129" s="23" t="s">
        <v>1</v>
      </c>
      <c r="D129" s="10" t="s">
        <v>42</v>
      </c>
      <c r="E129" s="10" t="s">
        <v>69</v>
      </c>
      <c r="F129" s="498" t="s">
        <v>90</v>
      </c>
      <c r="G129" s="499" t="s">
        <v>36</v>
      </c>
      <c r="H129" s="499" t="s">
        <v>28</v>
      </c>
      <c r="I129" s="500" t="s">
        <v>35</v>
      </c>
      <c r="J129" s="10"/>
      <c r="K129" s="24">
        <f>K130</f>
        <v>6844.9</v>
      </c>
      <c r="L129" s="24">
        <f t="shared" si="45"/>
        <v>0</v>
      </c>
      <c r="M129" s="24">
        <f>M130</f>
        <v>6844.9</v>
      </c>
    </row>
    <row r="130" spans="1:13" s="7" customFormat="1" ht="72" customHeight="1" x14ac:dyDescent="0.35">
      <c r="A130" s="11"/>
      <c r="B130" s="407" t="s">
        <v>92</v>
      </c>
      <c r="C130" s="23" t="s">
        <v>1</v>
      </c>
      <c r="D130" s="10" t="s">
        <v>42</v>
      </c>
      <c r="E130" s="10" t="s">
        <v>69</v>
      </c>
      <c r="F130" s="498" t="s">
        <v>90</v>
      </c>
      <c r="G130" s="499" t="s">
        <v>36</v>
      </c>
      <c r="H130" s="499" t="s">
        <v>28</v>
      </c>
      <c r="I130" s="500" t="s">
        <v>93</v>
      </c>
      <c r="J130" s="10"/>
      <c r="K130" s="24">
        <f t="shared" si="45"/>
        <v>6844.9</v>
      </c>
      <c r="L130" s="24">
        <f t="shared" si="45"/>
        <v>0</v>
      </c>
      <c r="M130" s="24">
        <f t="shared" si="45"/>
        <v>6844.9</v>
      </c>
    </row>
    <row r="131" spans="1:13" s="74" customFormat="1" ht="54" customHeight="1" x14ac:dyDescent="0.35">
      <c r="A131" s="11"/>
      <c r="B131" s="368" t="s">
        <v>45</v>
      </c>
      <c r="C131" s="23" t="s">
        <v>1</v>
      </c>
      <c r="D131" s="10" t="s">
        <v>42</v>
      </c>
      <c r="E131" s="10" t="s">
        <v>69</v>
      </c>
      <c r="F131" s="498" t="s">
        <v>90</v>
      </c>
      <c r="G131" s="499" t="s">
        <v>36</v>
      </c>
      <c r="H131" s="499" t="s">
        <v>28</v>
      </c>
      <c r="I131" s="500" t="s">
        <v>93</v>
      </c>
      <c r="J131" s="10" t="s">
        <v>46</v>
      </c>
      <c r="K131" s="24">
        <v>6844.9</v>
      </c>
      <c r="L131" s="24">
        <f>M131-K131</f>
        <v>0</v>
      </c>
      <c r="M131" s="24">
        <v>6844.9</v>
      </c>
    </row>
    <row r="132" spans="1:13" s="7" customFormat="1" ht="36" customHeight="1" x14ac:dyDescent="0.35">
      <c r="A132" s="11"/>
      <c r="B132" s="406" t="s">
        <v>96</v>
      </c>
      <c r="C132" s="23" t="s">
        <v>1</v>
      </c>
      <c r="D132" s="10" t="s">
        <v>42</v>
      </c>
      <c r="E132" s="10" t="s">
        <v>90</v>
      </c>
      <c r="F132" s="498"/>
      <c r="G132" s="499"/>
      <c r="H132" s="499"/>
      <c r="I132" s="500"/>
      <c r="J132" s="10"/>
      <c r="K132" s="24">
        <f>K133+K142+K147</f>
        <v>2326.1</v>
      </c>
      <c r="L132" s="24">
        <f t="shared" ref="L132" si="46">L133+L142+L147</f>
        <v>0</v>
      </c>
      <c r="M132" s="24">
        <f>M133+M142+M147</f>
        <v>2326.1</v>
      </c>
    </row>
    <row r="133" spans="1:13" s="74" customFormat="1" ht="72" customHeight="1" x14ac:dyDescent="0.35">
      <c r="A133" s="11"/>
      <c r="B133" s="368" t="s">
        <v>97</v>
      </c>
      <c r="C133" s="23" t="s">
        <v>1</v>
      </c>
      <c r="D133" s="10" t="s">
        <v>42</v>
      </c>
      <c r="E133" s="10" t="s">
        <v>90</v>
      </c>
      <c r="F133" s="498" t="s">
        <v>61</v>
      </c>
      <c r="G133" s="499" t="s">
        <v>33</v>
      </c>
      <c r="H133" s="499" t="s">
        <v>34</v>
      </c>
      <c r="I133" s="500" t="s">
        <v>35</v>
      </c>
      <c r="J133" s="10"/>
      <c r="K133" s="24">
        <f>K134+K138</f>
        <v>1076.0999999999999</v>
      </c>
      <c r="L133" s="24">
        <f t="shared" ref="L133" si="47">L134+L138</f>
        <v>0</v>
      </c>
      <c r="M133" s="24">
        <f>M134+M138</f>
        <v>1076.0999999999999</v>
      </c>
    </row>
    <row r="134" spans="1:13" s="74" customFormat="1" ht="54" customHeight="1" x14ac:dyDescent="0.35">
      <c r="A134" s="11"/>
      <c r="B134" s="406" t="s">
        <v>98</v>
      </c>
      <c r="C134" s="23" t="s">
        <v>1</v>
      </c>
      <c r="D134" s="10" t="s">
        <v>42</v>
      </c>
      <c r="E134" s="10" t="s">
        <v>90</v>
      </c>
      <c r="F134" s="498" t="s">
        <v>61</v>
      </c>
      <c r="G134" s="499" t="s">
        <v>36</v>
      </c>
      <c r="H134" s="499" t="s">
        <v>34</v>
      </c>
      <c r="I134" s="500" t="s">
        <v>35</v>
      </c>
      <c r="J134" s="10"/>
      <c r="K134" s="24">
        <f t="shared" ref="K134:M136" si="48">K135</f>
        <v>350</v>
      </c>
      <c r="L134" s="24">
        <f t="shared" si="48"/>
        <v>0</v>
      </c>
      <c r="M134" s="24">
        <f t="shared" si="48"/>
        <v>350</v>
      </c>
    </row>
    <row r="135" spans="1:13" s="7" customFormat="1" ht="36" customHeight="1" x14ac:dyDescent="0.35">
      <c r="A135" s="11"/>
      <c r="B135" s="368" t="s">
        <v>99</v>
      </c>
      <c r="C135" s="23" t="s">
        <v>1</v>
      </c>
      <c r="D135" s="10" t="s">
        <v>42</v>
      </c>
      <c r="E135" s="10" t="s">
        <v>90</v>
      </c>
      <c r="F135" s="498" t="s">
        <v>61</v>
      </c>
      <c r="G135" s="499" t="s">
        <v>36</v>
      </c>
      <c r="H135" s="499" t="s">
        <v>28</v>
      </c>
      <c r="I135" s="500" t="s">
        <v>35</v>
      </c>
      <c r="J135" s="10"/>
      <c r="K135" s="24">
        <f t="shared" si="48"/>
        <v>350</v>
      </c>
      <c r="L135" s="24">
        <f t="shared" si="48"/>
        <v>0</v>
      </c>
      <c r="M135" s="24">
        <f t="shared" si="48"/>
        <v>350</v>
      </c>
    </row>
    <row r="136" spans="1:13" s="74" customFormat="1" ht="36" customHeight="1" x14ac:dyDescent="0.35">
      <c r="A136" s="11"/>
      <c r="B136" s="406" t="s">
        <v>100</v>
      </c>
      <c r="C136" s="23" t="s">
        <v>1</v>
      </c>
      <c r="D136" s="10" t="s">
        <v>42</v>
      </c>
      <c r="E136" s="10" t="s">
        <v>90</v>
      </c>
      <c r="F136" s="498" t="s">
        <v>61</v>
      </c>
      <c r="G136" s="499" t="s">
        <v>36</v>
      </c>
      <c r="H136" s="499" t="s">
        <v>28</v>
      </c>
      <c r="I136" s="500" t="s">
        <v>101</v>
      </c>
      <c r="J136" s="10"/>
      <c r="K136" s="24">
        <f>K137</f>
        <v>350</v>
      </c>
      <c r="L136" s="24">
        <f t="shared" si="48"/>
        <v>0</v>
      </c>
      <c r="M136" s="24">
        <f>M137</f>
        <v>350</v>
      </c>
    </row>
    <row r="137" spans="1:13" s="7" customFormat="1" ht="54" customHeight="1" x14ac:dyDescent="0.35">
      <c r="A137" s="11"/>
      <c r="B137" s="368" t="s">
        <v>45</v>
      </c>
      <c r="C137" s="23" t="s">
        <v>1</v>
      </c>
      <c r="D137" s="10" t="s">
        <v>42</v>
      </c>
      <c r="E137" s="10" t="s">
        <v>90</v>
      </c>
      <c r="F137" s="498" t="s">
        <v>61</v>
      </c>
      <c r="G137" s="499" t="s">
        <v>36</v>
      </c>
      <c r="H137" s="499" t="s">
        <v>28</v>
      </c>
      <c r="I137" s="500" t="s">
        <v>101</v>
      </c>
      <c r="J137" s="10" t="s">
        <v>46</v>
      </c>
      <c r="K137" s="24">
        <v>350</v>
      </c>
      <c r="L137" s="24">
        <f>M137-K137</f>
        <v>0</v>
      </c>
      <c r="M137" s="24">
        <v>350</v>
      </c>
    </row>
    <row r="138" spans="1:13" s="74" customFormat="1" ht="36" customHeight="1" x14ac:dyDescent="0.35">
      <c r="A138" s="11"/>
      <c r="B138" s="406" t="s">
        <v>102</v>
      </c>
      <c r="C138" s="23" t="s">
        <v>1</v>
      </c>
      <c r="D138" s="10" t="s">
        <v>42</v>
      </c>
      <c r="E138" s="10" t="s">
        <v>90</v>
      </c>
      <c r="F138" s="498" t="s">
        <v>61</v>
      </c>
      <c r="G138" s="499" t="s">
        <v>79</v>
      </c>
      <c r="H138" s="499" t="s">
        <v>34</v>
      </c>
      <c r="I138" s="500" t="s">
        <v>35</v>
      </c>
      <c r="J138" s="10"/>
      <c r="K138" s="24">
        <f t="shared" ref="K138:M140" si="49">K139</f>
        <v>726.1</v>
      </c>
      <c r="L138" s="24">
        <f t="shared" si="49"/>
        <v>0</v>
      </c>
      <c r="M138" s="24">
        <f t="shared" si="49"/>
        <v>726.1</v>
      </c>
    </row>
    <row r="139" spans="1:13" s="7" customFormat="1" ht="54" customHeight="1" x14ac:dyDescent="0.35">
      <c r="A139" s="11"/>
      <c r="B139" s="406" t="s">
        <v>103</v>
      </c>
      <c r="C139" s="23" t="s">
        <v>1</v>
      </c>
      <c r="D139" s="10" t="s">
        <v>42</v>
      </c>
      <c r="E139" s="10" t="s">
        <v>90</v>
      </c>
      <c r="F139" s="498" t="s">
        <v>61</v>
      </c>
      <c r="G139" s="499" t="s">
        <v>79</v>
      </c>
      <c r="H139" s="499" t="s">
        <v>28</v>
      </c>
      <c r="I139" s="500" t="s">
        <v>35</v>
      </c>
      <c r="J139" s="10"/>
      <c r="K139" s="24">
        <f t="shared" si="49"/>
        <v>726.1</v>
      </c>
      <c r="L139" s="24">
        <f t="shared" si="49"/>
        <v>0</v>
      </c>
      <c r="M139" s="24">
        <f t="shared" si="49"/>
        <v>726.1</v>
      </c>
    </row>
    <row r="140" spans="1:13" s="74" customFormat="1" ht="87" customHeight="1" x14ac:dyDescent="0.35">
      <c r="A140" s="11"/>
      <c r="B140" s="406" t="s">
        <v>104</v>
      </c>
      <c r="C140" s="23" t="s">
        <v>1</v>
      </c>
      <c r="D140" s="10" t="s">
        <v>42</v>
      </c>
      <c r="E140" s="10" t="s">
        <v>90</v>
      </c>
      <c r="F140" s="498" t="s">
        <v>61</v>
      </c>
      <c r="G140" s="499" t="s">
        <v>79</v>
      </c>
      <c r="H140" s="499" t="s">
        <v>28</v>
      </c>
      <c r="I140" s="500" t="s">
        <v>105</v>
      </c>
      <c r="J140" s="10"/>
      <c r="K140" s="24">
        <f t="shared" si="49"/>
        <v>726.1</v>
      </c>
      <c r="L140" s="24">
        <f t="shared" si="49"/>
        <v>0</v>
      </c>
      <c r="M140" s="24">
        <f t="shared" si="49"/>
        <v>726.1</v>
      </c>
    </row>
    <row r="141" spans="1:13" s="7" customFormat="1" ht="54" customHeight="1" x14ac:dyDescent="0.35">
      <c r="A141" s="11"/>
      <c r="B141" s="368" t="s">
        <v>45</v>
      </c>
      <c r="C141" s="23" t="s">
        <v>1</v>
      </c>
      <c r="D141" s="10" t="s">
        <v>42</v>
      </c>
      <c r="E141" s="10" t="s">
        <v>90</v>
      </c>
      <c r="F141" s="498" t="s">
        <v>61</v>
      </c>
      <c r="G141" s="499" t="s">
        <v>79</v>
      </c>
      <c r="H141" s="499" t="s">
        <v>28</v>
      </c>
      <c r="I141" s="500" t="s">
        <v>105</v>
      </c>
      <c r="J141" s="10" t="s">
        <v>46</v>
      </c>
      <c r="K141" s="24">
        <v>726.1</v>
      </c>
      <c r="L141" s="24">
        <f>M141-K141</f>
        <v>0</v>
      </c>
      <c r="M141" s="24">
        <v>726.1</v>
      </c>
    </row>
    <row r="142" spans="1:13" s="74" customFormat="1" ht="72" customHeight="1" x14ac:dyDescent="0.35">
      <c r="A142" s="11"/>
      <c r="B142" s="368" t="s">
        <v>106</v>
      </c>
      <c r="C142" s="23" t="s">
        <v>1</v>
      </c>
      <c r="D142" s="10" t="s">
        <v>42</v>
      </c>
      <c r="E142" s="10" t="s">
        <v>90</v>
      </c>
      <c r="F142" s="498" t="s">
        <v>78</v>
      </c>
      <c r="G142" s="499" t="s">
        <v>33</v>
      </c>
      <c r="H142" s="499" t="s">
        <v>34</v>
      </c>
      <c r="I142" s="500" t="s">
        <v>35</v>
      </c>
      <c r="J142" s="10"/>
      <c r="K142" s="24">
        <f t="shared" ref="K142:M145" si="50">K143</f>
        <v>50</v>
      </c>
      <c r="L142" s="24">
        <f t="shared" si="50"/>
        <v>0</v>
      </c>
      <c r="M142" s="24">
        <f t="shared" si="50"/>
        <v>50</v>
      </c>
    </row>
    <row r="143" spans="1:13" s="74" customFormat="1" ht="36" customHeight="1" x14ac:dyDescent="0.35">
      <c r="A143" s="11"/>
      <c r="B143" s="368" t="s">
        <v>287</v>
      </c>
      <c r="C143" s="23" t="s">
        <v>1</v>
      </c>
      <c r="D143" s="10" t="s">
        <v>42</v>
      </c>
      <c r="E143" s="10" t="s">
        <v>90</v>
      </c>
      <c r="F143" s="498" t="s">
        <v>78</v>
      </c>
      <c r="G143" s="499" t="s">
        <v>36</v>
      </c>
      <c r="H143" s="499" t="s">
        <v>34</v>
      </c>
      <c r="I143" s="500" t="s">
        <v>35</v>
      </c>
      <c r="J143" s="10"/>
      <c r="K143" s="24">
        <f t="shared" si="50"/>
        <v>50</v>
      </c>
      <c r="L143" s="24">
        <f t="shared" si="50"/>
        <v>0</v>
      </c>
      <c r="M143" s="24">
        <f t="shared" si="50"/>
        <v>50</v>
      </c>
    </row>
    <row r="144" spans="1:13" s="7" customFormat="1" ht="72" customHeight="1" x14ac:dyDescent="0.35">
      <c r="A144" s="11"/>
      <c r="B144" s="406" t="s">
        <v>262</v>
      </c>
      <c r="C144" s="23" t="s">
        <v>1</v>
      </c>
      <c r="D144" s="10" t="s">
        <v>42</v>
      </c>
      <c r="E144" s="10" t="s">
        <v>90</v>
      </c>
      <c r="F144" s="498" t="s">
        <v>78</v>
      </c>
      <c r="G144" s="499" t="s">
        <v>36</v>
      </c>
      <c r="H144" s="499" t="s">
        <v>28</v>
      </c>
      <c r="I144" s="500" t="s">
        <v>35</v>
      </c>
      <c r="J144" s="10"/>
      <c r="K144" s="24">
        <f>K145</f>
        <v>50</v>
      </c>
      <c r="L144" s="24">
        <f t="shared" si="50"/>
        <v>0</v>
      </c>
      <c r="M144" s="24">
        <f>M145</f>
        <v>50</v>
      </c>
    </row>
    <row r="145" spans="1:13" s="74" customFormat="1" ht="54" customHeight="1" x14ac:dyDescent="0.35">
      <c r="A145" s="11"/>
      <c r="B145" s="406" t="s">
        <v>107</v>
      </c>
      <c r="C145" s="23" t="s">
        <v>1</v>
      </c>
      <c r="D145" s="10" t="s">
        <v>42</v>
      </c>
      <c r="E145" s="10" t="s">
        <v>90</v>
      </c>
      <c r="F145" s="498" t="s">
        <v>78</v>
      </c>
      <c r="G145" s="499" t="s">
        <v>36</v>
      </c>
      <c r="H145" s="499" t="s">
        <v>28</v>
      </c>
      <c r="I145" s="500" t="s">
        <v>108</v>
      </c>
      <c r="J145" s="10"/>
      <c r="K145" s="24">
        <f t="shared" si="50"/>
        <v>50</v>
      </c>
      <c r="L145" s="24">
        <f t="shared" si="50"/>
        <v>0</v>
      </c>
      <c r="M145" s="24">
        <f t="shared" si="50"/>
        <v>50</v>
      </c>
    </row>
    <row r="146" spans="1:13" s="7" customFormat="1" ht="54" customHeight="1" x14ac:dyDescent="0.35">
      <c r="A146" s="11"/>
      <c r="B146" s="368" t="s">
        <v>45</v>
      </c>
      <c r="C146" s="23" t="s">
        <v>1</v>
      </c>
      <c r="D146" s="10" t="s">
        <v>42</v>
      </c>
      <c r="E146" s="10" t="s">
        <v>90</v>
      </c>
      <c r="F146" s="498" t="s">
        <v>78</v>
      </c>
      <c r="G146" s="499" t="s">
        <v>36</v>
      </c>
      <c r="H146" s="499" t="s">
        <v>28</v>
      </c>
      <c r="I146" s="500" t="s">
        <v>108</v>
      </c>
      <c r="J146" s="10" t="s">
        <v>46</v>
      </c>
      <c r="K146" s="24">
        <v>50</v>
      </c>
      <c r="L146" s="24">
        <f>M146-K146</f>
        <v>0</v>
      </c>
      <c r="M146" s="24">
        <v>50</v>
      </c>
    </row>
    <row r="147" spans="1:13" s="7" customFormat="1" ht="54" customHeight="1" x14ac:dyDescent="0.35">
      <c r="A147" s="11"/>
      <c r="B147" s="368" t="s">
        <v>31</v>
      </c>
      <c r="C147" s="23" t="s">
        <v>1</v>
      </c>
      <c r="D147" s="10" t="s">
        <v>42</v>
      </c>
      <c r="E147" s="10" t="s">
        <v>90</v>
      </c>
      <c r="F147" s="498" t="s">
        <v>32</v>
      </c>
      <c r="G147" s="499" t="s">
        <v>33</v>
      </c>
      <c r="H147" s="499" t="s">
        <v>34</v>
      </c>
      <c r="I147" s="500" t="s">
        <v>35</v>
      </c>
      <c r="J147" s="10"/>
      <c r="K147" s="24">
        <f t="shared" ref="K147:M150" si="51">K148</f>
        <v>1200</v>
      </c>
      <c r="L147" s="24">
        <f t="shared" si="51"/>
        <v>0</v>
      </c>
      <c r="M147" s="24">
        <f t="shared" si="51"/>
        <v>1200</v>
      </c>
    </row>
    <row r="148" spans="1:13" s="7" customFormat="1" ht="36" customHeight="1" x14ac:dyDescent="0.35">
      <c r="A148" s="11"/>
      <c r="B148" s="368" t="s">
        <v>287</v>
      </c>
      <c r="C148" s="23" t="s">
        <v>1</v>
      </c>
      <c r="D148" s="10" t="s">
        <v>42</v>
      </c>
      <c r="E148" s="10" t="s">
        <v>90</v>
      </c>
      <c r="F148" s="498" t="s">
        <v>32</v>
      </c>
      <c r="G148" s="499" t="s">
        <v>36</v>
      </c>
      <c r="H148" s="499" t="s">
        <v>34</v>
      </c>
      <c r="I148" s="500" t="s">
        <v>35</v>
      </c>
      <c r="J148" s="10"/>
      <c r="K148" s="24">
        <f>K149</f>
        <v>1200</v>
      </c>
      <c r="L148" s="24">
        <f t="shared" si="51"/>
        <v>0</v>
      </c>
      <c r="M148" s="24">
        <f>M149</f>
        <v>1200</v>
      </c>
    </row>
    <row r="149" spans="1:13" s="7" customFormat="1" ht="54" customHeight="1" x14ac:dyDescent="0.35">
      <c r="A149" s="11"/>
      <c r="B149" s="368" t="s">
        <v>279</v>
      </c>
      <c r="C149" s="23" t="s">
        <v>1</v>
      </c>
      <c r="D149" s="10" t="s">
        <v>42</v>
      </c>
      <c r="E149" s="10" t="s">
        <v>90</v>
      </c>
      <c r="F149" s="498" t="s">
        <v>32</v>
      </c>
      <c r="G149" s="499" t="s">
        <v>36</v>
      </c>
      <c r="H149" s="499" t="s">
        <v>78</v>
      </c>
      <c r="I149" s="500" t="s">
        <v>35</v>
      </c>
      <c r="J149" s="10"/>
      <c r="K149" s="24">
        <f>K150</f>
        <v>1200</v>
      </c>
      <c r="L149" s="24">
        <f t="shared" si="51"/>
        <v>0</v>
      </c>
      <c r="M149" s="24">
        <f>M150</f>
        <v>1200</v>
      </c>
    </row>
    <row r="150" spans="1:13" s="7" customFormat="1" ht="54" customHeight="1" x14ac:dyDescent="0.35">
      <c r="A150" s="11"/>
      <c r="B150" s="368" t="s">
        <v>429</v>
      </c>
      <c r="C150" s="23" t="s">
        <v>1</v>
      </c>
      <c r="D150" s="10" t="s">
        <v>42</v>
      </c>
      <c r="E150" s="10" t="s">
        <v>90</v>
      </c>
      <c r="F150" s="498" t="s">
        <v>32</v>
      </c>
      <c r="G150" s="499" t="s">
        <v>36</v>
      </c>
      <c r="H150" s="499" t="s">
        <v>78</v>
      </c>
      <c r="I150" s="500" t="s">
        <v>428</v>
      </c>
      <c r="J150" s="10"/>
      <c r="K150" s="24">
        <f>K151</f>
        <v>1200</v>
      </c>
      <c r="L150" s="24">
        <f t="shared" si="51"/>
        <v>0</v>
      </c>
      <c r="M150" s="24">
        <f>M151</f>
        <v>1200</v>
      </c>
    </row>
    <row r="151" spans="1:13" s="7" customFormat="1" ht="54" customHeight="1" x14ac:dyDescent="0.35">
      <c r="A151" s="11"/>
      <c r="B151" s="368" t="s">
        <v>45</v>
      </c>
      <c r="C151" s="23" t="s">
        <v>1</v>
      </c>
      <c r="D151" s="10" t="s">
        <v>42</v>
      </c>
      <c r="E151" s="10" t="s">
        <v>90</v>
      </c>
      <c r="F151" s="498" t="s">
        <v>32</v>
      </c>
      <c r="G151" s="499" t="s">
        <v>36</v>
      </c>
      <c r="H151" s="499" t="s">
        <v>78</v>
      </c>
      <c r="I151" s="500" t="s">
        <v>428</v>
      </c>
      <c r="J151" s="10" t="s">
        <v>46</v>
      </c>
      <c r="K151" s="24">
        <f>1164+36</f>
        <v>1200</v>
      </c>
      <c r="L151" s="24">
        <f>M151-K151</f>
        <v>0</v>
      </c>
      <c r="M151" s="24">
        <f>1164+36</f>
        <v>1200</v>
      </c>
    </row>
    <row r="152" spans="1:13" s="7" customFormat="1" ht="18" customHeight="1" x14ac:dyDescent="0.35">
      <c r="A152" s="11"/>
      <c r="B152" s="368" t="s">
        <v>142</v>
      </c>
      <c r="C152" s="23" t="s">
        <v>1</v>
      </c>
      <c r="D152" s="10" t="s">
        <v>55</v>
      </c>
      <c r="E152" s="10"/>
      <c r="F152" s="498"/>
      <c r="G152" s="499"/>
      <c r="H152" s="499"/>
      <c r="I152" s="500"/>
      <c r="J152" s="10"/>
      <c r="K152" s="184">
        <f>K153</f>
        <v>6131.1</v>
      </c>
      <c r="L152" s="184">
        <f t="shared" ref="L152" si="52">L153</f>
        <v>0</v>
      </c>
      <c r="M152" s="184">
        <f>M153</f>
        <v>6131.1</v>
      </c>
    </row>
    <row r="153" spans="1:13" s="7" customFormat="1" ht="18" customHeight="1" x14ac:dyDescent="0.35">
      <c r="A153" s="11"/>
      <c r="B153" s="435" t="s">
        <v>408</v>
      </c>
      <c r="C153" s="23" t="s">
        <v>1</v>
      </c>
      <c r="D153" s="10" t="s">
        <v>55</v>
      </c>
      <c r="E153" s="10" t="s">
        <v>53</v>
      </c>
      <c r="F153" s="498"/>
      <c r="G153" s="499"/>
      <c r="H153" s="499"/>
      <c r="I153" s="500"/>
      <c r="J153" s="10"/>
      <c r="K153" s="24">
        <f t="shared" ref="K153:M157" si="53">K154</f>
        <v>6131.1</v>
      </c>
      <c r="L153" s="24">
        <f t="shared" si="53"/>
        <v>0</v>
      </c>
      <c r="M153" s="24">
        <f t="shared" si="53"/>
        <v>6131.1</v>
      </c>
    </row>
    <row r="154" spans="1:13" s="7" customFormat="1" ht="72" customHeight="1" x14ac:dyDescent="0.35">
      <c r="A154" s="11"/>
      <c r="B154" s="435" t="s">
        <v>409</v>
      </c>
      <c r="C154" s="23" t="s">
        <v>1</v>
      </c>
      <c r="D154" s="10" t="s">
        <v>55</v>
      </c>
      <c r="E154" s="10" t="s">
        <v>53</v>
      </c>
      <c r="F154" s="498" t="s">
        <v>94</v>
      </c>
      <c r="G154" s="499" t="s">
        <v>33</v>
      </c>
      <c r="H154" s="499" t="s">
        <v>34</v>
      </c>
      <c r="I154" s="500" t="s">
        <v>35</v>
      </c>
      <c r="J154" s="10"/>
      <c r="K154" s="24">
        <f t="shared" si="53"/>
        <v>6131.1</v>
      </c>
      <c r="L154" s="24">
        <f t="shared" si="53"/>
        <v>0</v>
      </c>
      <c r="M154" s="24">
        <f t="shared" si="53"/>
        <v>6131.1</v>
      </c>
    </row>
    <row r="155" spans="1:13" s="7" customFormat="1" ht="54" customHeight="1" x14ac:dyDescent="0.35">
      <c r="A155" s="11"/>
      <c r="B155" s="435" t="s">
        <v>404</v>
      </c>
      <c r="C155" s="23" t="s">
        <v>1</v>
      </c>
      <c r="D155" s="10" t="s">
        <v>55</v>
      </c>
      <c r="E155" s="10" t="s">
        <v>53</v>
      </c>
      <c r="F155" s="498" t="s">
        <v>94</v>
      </c>
      <c r="G155" s="499" t="s">
        <v>25</v>
      </c>
      <c r="H155" s="499" t="s">
        <v>34</v>
      </c>
      <c r="I155" s="500" t="s">
        <v>35</v>
      </c>
      <c r="J155" s="10"/>
      <c r="K155" s="24">
        <f t="shared" si="53"/>
        <v>6131.1</v>
      </c>
      <c r="L155" s="24">
        <f t="shared" si="53"/>
        <v>0</v>
      </c>
      <c r="M155" s="24">
        <f t="shared" si="53"/>
        <v>6131.1</v>
      </c>
    </row>
    <row r="156" spans="1:13" s="7" customFormat="1" ht="54" customHeight="1" x14ac:dyDescent="0.35">
      <c r="A156" s="11"/>
      <c r="B156" s="435" t="s">
        <v>405</v>
      </c>
      <c r="C156" s="23" t="s">
        <v>1</v>
      </c>
      <c r="D156" s="10" t="s">
        <v>55</v>
      </c>
      <c r="E156" s="10" t="s">
        <v>53</v>
      </c>
      <c r="F156" s="498" t="s">
        <v>94</v>
      </c>
      <c r="G156" s="499" t="s">
        <v>25</v>
      </c>
      <c r="H156" s="499" t="s">
        <v>28</v>
      </c>
      <c r="I156" s="500" t="s">
        <v>35</v>
      </c>
      <c r="J156" s="10"/>
      <c r="K156" s="24">
        <f t="shared" si="53"/>
        <v>6131.1</v>
      </c>
      <c r="L156" s="24">
        <f t="shared" si="53"/>
        <v>0</v>
      </c>
      <c r="M156" s="24">
        <f t="shared" si="53"/>
        <v>6131.1</v>
      </c>
    </row>
    <row r="157" spans="1:13" s="7" customFormat="1" ht="36" customHeight="1" x14ac:dyDescent="0.35">
      <c r="A157" s="11"/>
      <c r="B157" s="435" t="s">
        <v>406</v>
      </c>
      <c r="C157" s="23" t="s">
        <v>1</v>
      </c>
      <c r="D157" s="10" t="s">
        <v>55</v>
      </c>
      <c r="E157" s="10" t="s">
        <v>53</v>
      </c>
      <c r="F157" s="498" t="s">
        <v>94</v>
      </c>
      <c r="G157" s="499" t="s">
        <v>25</v>
      </c>
      <c r="H157" s="499" t="s">
        <v>28</v>
      </c>
      <c r="I157" s="500" t="s">
        <v>407</v>
      </c>
      <c r="J157" s="10"/>
      <c r="K157" s="24">
        <f t="shared" si="53"/>
        <v>6131.1</v>
      </c>
      <c r="L157" s="24">
        <f t="shared" si="53"/>
        <v>0</v>
      </c>
      <c r="M157" s="24">
        <f t="shared" si="53"/>
        <v>6131.1</v>
      </c>
    </row>
    <row r="158" spans="1:13" s="7" customFormat="1" ht="54" customHeight="1" x14ac:dyDescent="0.35">
      <c r="A158" s="11"/>
      <c r="B158" s="435" t="s">
        <v>45</v>
      </c>
      <c r="C158" s="23" t="s">
        <v>1</v>
      </c>
      <c r="D158" s="10" t="s">
        <v>55</v>
      </c>
      <c r="E158" s="10" t="s">
        <v>53</v>
      </c>
      <c r="F158" s="498" t="s">
        <v>94</v>
      </c>
      <c r="G158" s="499" t="s">
        <v>25</v>
      </c>
      <c r="H158" s="499" t="s">
        <v>28</v>
      </c>
      <c r="I158" s="500" t="s">
        <v>407</v>
      </c>
      <c r="J158" s="10" t="s">
        <v>46</v>
      </c>
      <c r="K158" s="24">
        <v>6131.1</v>
      </c>
      <c r="L158" s="24">
        <f>M158-K158</f>
        <v>0</v>
      </c>
      <c r="M158" s="24">
        <v>6131.1</v>
      </c>
    </row>
    <row r="159" spans="1:13" s="7" customFormat="1" ht="18" customHeight="1" x14ac:dyDescent="0.35">
      <c r="A159" s="11"/>
      <c r="B159" s="368" t="s">
        <v>144</v>
      </c>
      <c r="C159" s="23" t="s">
        <v>1</v>
      </c>
      <c r="D159" s="10" t="s">
        <v>188</v>
      </c>
      <c r="E159" s="10"/>
      <c r="F159" s="498"/>
      <c r="G159" s="499"/>
      <c r="H159" s="499"/>
      <c r="I159" s="500"/>
      <c r="J159" s="10"/>
      <c r="K159" s="24">
        <f>K160</f>
        <v>64.3</v>
      </c>
      <c r="L159" s="24">
        <f t="shared" ref="L159" si="54">L160</f>
        <v>0</v>
      </c>
      <c r="M159" s="24">
        <f>M160</f>
        <v>64.3</v>
      </c>
    </row>
    <row r="160" spans="1:13" s="7" customFormat="1" ht="36" customHeight="1" x14ac:dyDescent="0.35">
      <c r="A160" s="11"/>
      <c r="B160" s="368" t="s">
        <v>379</v>
      </c>
      <c r="C160" s="23" t="s">
        <v>1</v>
      </c>
      <c r="D160" s="10" t="s">
        <v>188</v>
      </c>
      <c r="E160" s="10" t="s">
        <v>55</v>
      </c>
      <c r="F160" s="498"/>
      <c r="G160" s="499"/>
      <c r="H160" s="499"/>
      <c r="I160" s="500"/>
      <c r="J160" s="10"/>
      <c r="K160" s="24">
        <f t="shared" ref="K160:M164" si="55">K161</f>
        <v>64.3</v>
      </c>
      <c r="L160" s="24">
        <f t="shared" si="55"/>
        <v>0</v>
      </c>
      <c r="M160" s="24">
        <f t="shared" si="55"/>
        <v>64.3</v>
      </c>
    </row>
    <row r="161" spans="1:13" s="7" customFormat="1" ht="54" customHeight="1" x14ac:dyDescent="0.35">
      <c r="A161" s="11"/>
      <c r="B161" s="368" t="s">
        <v>31</v>
      </c>
      <c r="C161" s="23" t="s">
        <v>1</v>
      </c>
      <c r="D161" s="10" t="s">
        <v>188</v>
      </c>
      <c r="E161" s="10" t="s">
        <v>55</v>
      </c>
      <c r="F161" s="498" t="s">
        <v>32</v>
      </c>
      <c r="G161" s="499" t="s">
        <v>33</v>
      </c>
      <c r="H161" s="499" t="s">
        <v>34</v>
      </c>
      <c r="I161" s="500" t="s">
        <v>35</v>
      </c>
      <c r="J161" s="10"/>
      <c r="K161" s="24">
        <f t="shared" si="55"/>
        <v>64.3</v>
      </c>
      <c r="L161" s="24">
        <f t="shared" si="55"/>
        <v>0</v>
      </c>
      <c r="M161" s="24">
        <f t="shared" si="55"/>
        <v>64.3</v>
      </c>
    </row>
    <row r="162" spans="1:13" s="7" customFormat="1" ht="36" customHeight="1" x14ac:dyDescent="0.35">
      <c r="A162" s="11"/>
      <c r="B162" s="368" t="s">
        <v>287</v>
      </c>
      <c r="C162" s="23" t="s">
        <v>1</v>
      </c>
      <c r="D162" s="10" t="s">
        <v>188</v>
      </c>
      <c r="E162" s="10" t="s">
        <v>55</v>
      </c>
      <c r="F162" s="498" t="s">
        <v>32</v>
      </c>
      <c r="G162" s="499" t="s">
        <v>36</v>
      </c>
      <c r="H162" s="499" t="s">
        <v>34</v>
      </c>
      <c r="I162" s="500" t="s">
        <v>35</v>
      </c>
      <c r="J162" s="10"/>
      <c r="K162" s="24">
        <f t="shared" si="55"/>
        <v>64.3</v>
      </c>
      <c r="L162" s="24">
        <f t="shared" si="55"/>
        <v>0</v>
      </c>
      <c r="M162" s="24">
        <f t="shared" si="55"/>
        <v>64.3</v>
      </c>
    </row>
    <row r="163" spans="1:13" s="7" customFormat="1" ht="18" customHeight="1" x14ac:dyDescent="0.35">
      <c r="A163" s="11"/>
      <c r="B163" s="368" t="s">
        <v>52</v>
      </c>
      <c r="C163" s="23" t="s">
        <v>1</v>
      </c>
      <c r="D163" s="10" t="s">
        <v>188</v>
      </c>
      <c r="E163" s="10" t="s">
        <v>55</v>
      </c>
      <c r="F163" s="498" t="s">
        <v>32</v>
      </c>
      <c r="G163" s="499" t="s">
        <v>36</v>
      </c>
      <c r="H163" s="499" t="s">
        <v>53</v>
      </c>
      <c r="I163" s="500" t="s">
        <v>35</v>
      </c>
      <c r="J163" s="10"/>
      <c r="K163" s="24">
        <f t="shared" si="55"/>
        <v>64.3</v>
      </c>
      <c r="L163" s="24">
        <f t="shared" si="55"/>
        <v>0</v>
      </c>
      <c r="M163" s="24">
        <f t="shared" si="55"/>
        <v>64.3</v>
      </c>
    </row>
    <row r="164" spans="1:13" s="7" customFormat="1" ht="36" customHeight="1" x14ac:dyDescent="0.35">
      <c r="A164" s="11"/>
      <c r="B164" s="368" t="s">
        <v>381</v>
      </c>
      <c r="C164" s="23" t="s">
        <v>1</v>
      </c>
      <c r="D164" s="10" t="s">
        <v>188</v>
      </c>
      <c r="E164" s="10" t="s">
        <v>55</v>
      </c>
      <c r="F164" s="498" t="s">
        <v>32</v>
      </c>
      <c r="G164" s="499" t="s">
        <v>36</v>
      </c>
      <c r="H164" s="499" t="s">
        <v>53</v>
      </c>
      <c r="I164" s="500" t="s">
        <v>380</v>
      </c>
      <c r="J164" s="10"/>
      <c r="K164" s="24">
        <f t="shared" si="55"/>
        <v>64.3</v>
      </c>
      <c r="L164" s="24">
        <f t="shared" si="55"/>
        <v>0</v>
      </c>
      <c r="M164" s="24">
        <f t="shared" si="55"/>
        <v>64.3</v>
      </c>
    </row>
    <row r="165" spans="1:13" s="7" customFormat="1" ht="54" customHeight="1" x14ac:dyDescent="0.35">
      <c r="A165" s="11"/>
      <c r="B165" s="368" t="s">
        <v>45</v>
      </c>
      <c r="C165" s="23" t="s">
        <v>1</v>
      </c>
      <c r="D165" s="10" t="s">
        <v>188</v>
      </c>
      <c r="E165" s="10" t="s">
        <v>55</v>
      </c>
      <c r="F165" s="498" t="s">
        <v>32</v>
      </c>
      <c r="G165" s="499" t="s">
        <v>36</v>
      </c>
      <c r="H165" s="499" t="s">
        <v>53</v>
      </c>
      <c r="I165" s="500" t="s">
        <v>380</v>
      </c>
      <c r="J165" s="10" t="s">
        <v>46</v>
      </c>
      <c r="K165" s="24">
        <v>64.3</v>
      </c>
      <c r="L165" s="24">
        <f>M165-K165</f>
        <v>0</v>
      </c>
      <c r="M165" s="24">
        <v>64.3</v>
      </c>
    </row>
    <row r="166" spans="1:13" s="74" customFormat="1" ht="18" customHeight="1" x14ac:dyDescent="0.35">
      <c r="A166" s="11"/>
      <c r="B166" s="368" t="s">
        <v>109</v>
      </c>
      <c r="C166" s="23" t="s">
        <v>1</v>
      </c>
      <c r="D166" s="10" t="s">
        <v>94</v>
      </c>
      <c r="E166" s="10"/>
      <c r="F166" s="498"/>
      <c r="G166" s="499"/>
      <c r="H166" s="499"/>
      <c r="I166" s="500"/>
      <c r="J166" s="10"/>
      <c r="K166" s="24">
        <f>K167+K173</f>
        <v>3122.2</v>
      </c>
      <c r="L166" s="24">
        <f t="shared" ref="L166" si="56">L167+L173</f>
        <v>1999.9999999999998</v>
      </c>
      <c r="M166" s="24">
        <f>M167+M173</f>
        <v>5122.2</v>
      </c>
    </row>
    <row r="167" spans="1:13" s="74" customFormat="1" ht="18" customHeight="1" x14ac:dyDescent="0.35">
      <c r="A167" s="11"/>
      <c r="B167" s="368" t="s">
        <v>297</v>
      </c>
      <c r="C167" s="23" t="s">
        <v>1</v>
      </c>
      <c r="D167" s="10" t="s">
        <v>94</v>
      </c>
      <c r="E167" s="10" t="s">
        <v>28</v>
      </c>
      <c r="F167" s="498"/>
      <c r="G167" s="499"/>
      <c r="H167" s="499"/>
      <c r="I167" s="500"/>
      <c r="J167" s="10"/>
      <c r="K167" s="24">
        <f t="shared" ref="K167:M171" si="57">K168</f>
        <v>1800</v>
      </c>
      <c r="L167" s="24">
        <f t="shared" si="57"/>
        <v>0</v>
      </c>
      <c r="M167" s="24">
        <f t="shared" si="57"/>
        <v>1800</v>
      </c>
    </row>
    <row r="168" spans="1:13" s="74" customFormat="1" ht="54" customHeight="1" x14ac:dyDescent="0.35">
      <c r="A168" s="11"/>
      <c r="B168" s="408" t="s">
        <v>252</v>
      </c>
      <c r="C168" s="23" t="s">
        <v>1</v>
      </c>
      <c r="D168" s="10" t="s">
        <v>94</v>
      </c>
      <c r="E168" s="10" t="s">
        <v>28</v>
      </c>
      <c r="F168" s="498" t="s">
        <v>69</v>
      </c>
      <c r="G168" s="499" t="s">
        <v>33</v>
      </c>
      <c r="H168" s="499" t="s">
        <v>34</v>
      </c>
      <c r="I168" s="500" t="s">
        <v>35</v>
      </c>
      <c r="J168" s="10"/>
      <c r="K168" s="24">
        <f t="shared" si="57"/>
        <v>1800</v>
      </c>
      <c r="L168" s="24">
        <f t="shared" si="57"/>
        <v>0</v>
      </c>
      <c r="M168" s="24">
        <f t="shared" si="57"/>
        <v>1800</v>
      </c>
    </row>
    <row r="169" spans="1:13" s="74" customFormat="1" ht="36" customHeight="1" x14ac:dyDescent="0.35">
      <c r="A169" s="11"/>
      <c r="B169" s="368" t="s">
        <v>287</v>
      </c>
      <c r="C169" s="23" t="s">
        <v>1</v>
      </c>
      <c r="D169" s="10" t="s">
        <v>94</v>
      </c>
      <c r="E169" s="10" t="s">
        <v>28</v>
      </c>
      <c r="F169" s="498" t="s">
        <v>69</v>
      </c>
      <c r="G169" s="499" t="s">
        <v>36</v>
      </c>
      <c r="H169" s="499" t="s">
        <v>34</v>
      </c>
      <c r="I169" s="500" t="s">
        <v>35</v>
      </c>
      <c r="J169" s="10"/>
      <c r="K169" s="24">
        <f t="shared" si="57"/>
        <v>1800</v>
      </c>
      <c r="L169" s="24">
        <f t="shared" si="57"/>
        <v>0</v>
      </c>
      <c r="M169" s="24">
        <f t="shared" si="57"/>
        <v>1800</v>
      </c>
    </row>
    <row r="170" spans="1:13" s="74" customFormat="1" ht="90" customHeight="1" x14ac:dyDescent="0.35">
      <c r="A170" s="11"/>
      <c r="B170" s="400" t="s">
        <v>345</v>
      </c>
      <c r="C170" s="23" t="s">
        <v>1</v>
      </c>
      <c r="D170" s="10" t="s">
        <v>94</v>
      </c>
      <c r="E170" s="10" t="s">
        <v>28</v>
      </c>
      <c r="F170" s="498" t="s">
        <v>69</v>
      </c>
      <c r="G170" s="499" t="s">
        <v>36</v>
      </c>
      <c r="H170" s="499" t="s">
        <v>42</v>
      </c>
      <c r="I170" s="500" t="s">
        <v>35</v>
      </c>
      <c r="J170" s="10"/>
      <c r="K170" s="24">
        <f t="shared" si="57"/>
        <v>1800</v>
      </c>
      <c r="L170" s="24">
        <f t="shared" si="57"/>
        <v>0</v>
      </c>
      <c r="M170" s="24">
        <f t="shared" si="57"/>
        <v>1800</v>
      </c>
    </row>
    <row r="171" spans="1:13" s="74" customFormat="1" ht="72" customHeight="1" x14ac:dyDescent="0.35">
      <c r="A171" s="11"/>
      <c r="B171" s="400" t="s">
        <v>341</v>
      </c>
      <c r="C171" s="23" t="s">
        <v>1</v>
      </c>
      <c r="D171" s="10" t="s">
        <v>94</v>
      </c>
      <c r="E171" s="10" t="s">
        <v>28</v>
      </c>
      <c r="F171" s="498" t="s">
        <v>69</v>
      </c>
      <c r="G171" s="499" t="s">
        <v>36</v>
      </c>
      <c r="H171" s="499" t="s">
        <v>42</v>
      </c>
      <c r="I171" s="500" t="s">
        <v>298</v>
      </c>
      <c r="J171" s="10"/>
      <c r="K171" s="24">
        <f t="shared" si="57"/>
        <v>1800</v>
      </c>
      <c r="L171" s="24">
        <f t="shared" si="57"/>
        <v>0</v>
      </c>
      <c r="M171" s="24">
        <f t="shared" si="57"/>
        <v>1800</v>
      </c>
    </row>
    <row r="172" spans="1:13" s="74" customFormat="1" ht="36" customHeight="1" x14ac:dyDescent="0.35">
      <c r="A172" s="11"/>
      <c r="B172" s="375" t="s">
        <v>110</v>
      </c>
      <c r="C172" s="23" t="s">
        <v>1</v>
      </c>
      <c r="D172" s="10" t="s">
        <v>94</v>
      </c>
      <c r="E172" s="10" t="s">
        <v>28</v>
      </c>
      <c r="F172" s="498" t="s">
        <v>69</v>
      </c>
      <c r="G172" s="499" t="s">
        <v>36</v>
      </c>
      <c r="H172" s="499" t="s">
        <v>42</v>
      </c>
      <c r="I172" s="500" t="s">
        <v>298</v>
      </c>
      <c r="J172" s="10" t="s">
        <v>111</v>
      </c>
      <c r="K172" s="24">
        <f>3000-1200</f>
        <v>1800</v>
      </c>
      <c r="L172" s="24">
        <f>M172-K172</f>
        <v>0</v>
      </c>
      <c r="M172" s="24">
        <f>3000-1200</f>
        <v>1800</v>
      </c>
    </row>
    <row r="173" spans="1:13" s="74" customFormat="1" ht="36" customHeight="1" x14ac:dyDescent="0.35">
      <c r="A173" s="11"/>
      <c r="B173" s="368" t="s">
        <v>112</v>
      </c>
      <c r="C173" s="23" t="s">
        <v>1</v>
      </c>
      <c r="D173" s="10" t="s">
        <v>94</v>
      </c>
      <c r="E173" s="10" t="s">
        <v>71</v>
      </c>
      <c r="F173" s="498"/>
      <c r="G173" s="499"/>
      <c r="H173" s="499"/>
      <c r="I173" s="500"/>
      <c r="J173" s="10"/>
      <c r="K173" s="24">
        <f>K174</f>
        <v>1322.2</v>
      </c>
      <c r="L173" s="24">
        <f t="shared" ref="L173" si="58">L174</f>
        <v>1999.9999999999998</v>
      </c>
      <c r="M173" s="24">
        <f>M174</f>
        <v>3322.2</v>
      </c>
    </row>
    <row r="174" spans="1:13" s="74" customFormat="1" ht="72" customHeight="1" x14ac:dyDescent="0.35">
      <c r="A174" s="11"/>
      <c r="B174" s="368" t="s">
        <v>62</v>
      </c>
      <c r="C174" s="23" t="s">
        <v>1</v>
      </c>
      <c r="D174" s="10" t="s">
        <v>94</v>
      </c>
      <c r="E174" s="10" t="s">
        <v>71</v>
      </c>
      <c r="F174" s="498" t="s">
        <v>63</v>
      </c>
      <c r="G174" s="499" t="s">
        <v>33</v>
      </c>
      <c r="H174" s="499" t="s">
        <v>34</v>
      </c>
      <c r="I174" s="500" t="s">
        <v>35</v>
      </c>
      <c r="J174" s="10"/>
      <c r="K174" s="24">
        <f t="shared" ref="K174:M177" si="59">K175</f>
        <v>1322.2</v>
      </c>
      <c r="L174" s="24">
        <f t="shared" si="59"/>
        <v>1999.9999999999998</v>
      </c>
      <c r="M174" s="24">
        <f t="shared" si="59"/>
        <v>3322.2</v>
      </c>
    </row>
    <row r="175" spans="1:13" s="74" customFormat="1" ht="36" customHeight="1" x14ac:dyDescent="0.35">
      <c r="A175" s="11"/>
      <c r="B175" s="368" t="s">
        <v>287</v>
      </c>
      <c r="C175" s="23" t="s">
        <v>1</v>
      </c>
      <c r="D175" s="10" t="s">
        <v>94</v>
      </c>
      <c r="E175" s="10" t="s">
        <v>71</v>
      </c>
      <c r="F175" s="498" t="s">
        <v>63</v>
      </c>
      <c r="G175" s="499" t="s">
        <v>36</v>
      </c>
      <c r="H175" s="499" t="s">
        <v>34</v>
      </c>
      <c r="I175" s="500" t="s">
        <v>35</v>
      </c>
      <c r="J175" s="10"/>
      <c r="K175" s="24">
        <f t="shared" si="59"/>
        <v>1322.2</v>
      </c>
      <c r="L175" s="24">
        <f t="shared" si="59"/>
        <v>1999.9999999999998</v>
      </c>
      <c r="M175" s="24">
        <f t="shared" si="59"/>
        <v>3322.2</v>
      </c>
    </row>
    <row r="176" spans="1:13" s="74" customFormat="1" ht="54" customHeight="1" x14ac:dyDescent="0.35">
      <c r="A176" s="11"/>
      <c r="B176" s="400" t="s">
        <v>223</v>
      </c>
      <c r="C176" s="23" t="s">
        <v>1</v>
      </c>
      <c r="D176" s="10" t="s">
        <v>94</v>
      </c>
      <c r="E176" s="10" t="s">
        <v>71</v>
      </c>
      <c r="F176" s="498" t="s">
        <v>63</v>
      </c>
      <c r="G176" s="499" t="s">
        <v>36</v>
      </c>
      <c r="H176" s="499" t="s">
        <v>28</v>
      </c>
      <c r="I176" s="500" t="s">
        <v>35</v>
      </c>
      <c r="J176" s="10"/>
      <c r="K176" s="24">
        <f t="shared" si="59"/>
        <v>1322.2</v>
      </c>
      <c r="L176" s="24">
        <f t="shared" si="59"/>
        <v>1999.9999999999998</v>
      </c>
      <c r="M176" s="24">
        <f t="shared" si="59"/>
        <v>3322.2</v>
      </c>
    </row>
    <row r="177" spans="1:13" s="74" customFormat="1" ht="54" customHeight="1" x14ac:dyDescent="0.35">
      <c r="A177" s="11"/>
      <c r="B177" s="400" t="s">
        <v>64</v>
      </c>
      <c r="C177" s="23" t="s">
        <v>1</v>
      </c>
      <c r="D177" s="10" t="s">
        <v>94</v>
      </c>
      <c r="E177" s="10" t="s">
        <v>71</v>
      </c>
      <c r="F177" s="498" t="s">
        <v>63</v>
      </c>
      <c r="G177" s="499" t="s">
        <v>36</v>
      </c>
      <c r="H177" s="499" t="s">
        <v>28</v>
      </c>
      <c r="I177" s="500" t="s">
        <v>65</v>
      </c>
      <c r="J177" s="10"/>
      <c r="K177" s="24">
        <f t="shared" si="59"/>
        <v>1322.2</v>
      </c>
      <c r="L177" s="24">
        <f t="shared" si="59"/>
        <v>1999.9999999999998</v>
      </c>
      <c r="M177" s="24">
        <f t="shared" si="59"/>
        <v>3322.2</v>
      </c>
    </row>
    <row r="178" spans="1:13" s="74" customFormat="1" ht="54" customHeight="1" x14ac:dyDescent="0.35">
      <c r="A178" s="11"/>
      <c r="B178" s="375" t="s">
        <v>66</v>
      </c>
      <c r="C178" s="23" t="s">
        <v>1</v>
      </c>
      <c r="D178" s="10" t="s">
        <v>94</v>
      </c>
      <c r="E178" s="10" t="s">
        <v>71</v>
      </c>
      <c r="F178" s="498" t="s">
        <v>63</v>
      </c>
      <c r="G178" s="499" t="s">
        <v>36</v>
      </c>
      <c r="H178" s="499" t="s">
        <v>28</v>
      </c>
      <c r="I178" s="500" t="s">
        <v>65</v>
      </c>
      <c r="J178" s="10" t="s">
        <v>67</v>
      </c>
      <c r="K178" s="24">
        <v>1322.2</v>
      </c>
      <c r="L178" s="24">
        <f>M178-K178</f>
        <v>1999.9999999999998</v>
      </c>
      <c r="M178" s="24">
        <f>1322.2+2000</f>
        <v>3322.2</v>
      </c>
    </row>
    <row r="179" spans="1:13" s="74" customFormat="1" ht="36" x14ac:dyDescent="0.35">
      <c r="A179" s="11"/>
      <c r="B179" s="167" t="s">
        <v>451</v>
      </c>
      <c r="C179" s="23" t="s">
        <v>1</v>
      </c>
      <c r="D179" s="10" t="s">
        <v>61</v>
      </c>
      <c r="E179" s="10"/>
      <c r="F179" s="498"/>
      <c r="G179" s="499"/>
      <c r="H179" s="499"/>
      <c r="I179" s="500"/>
      <c r="J179" s="10"/>
      <c r="K179" s="24">
        <f t="shared" ref="K179:M184" si="60">K180</f>
        <v>36</v>
      </c>
      <c r="L179" s="24">
        <f t="shared" si="60"/>
        <v>0</v>
      </c>
      <c r="M179" s="24">
        <f t="shared" si="60"/>
        <v>36</v>
      </c>
    </row>
    <row r="180" spans="1:13" s="74" customFormat="1" ht="36" x14ac:dyDescent="0.35">
      <c r="A180" s="11"/>
      <c r="B180" s="480" t="s">
        <v>452</v>
      </c>
      <c r="C180" s="23" t="s">
        <v>1</v>
      </c>
      <c r="D180" s="10" t="s">
        <v>61</v>
      </c>
      <c r="E180" s="10" t="s">
        <v>28</v>
      </c>
      <c r="F180" s="498"/>
      <c r="G180" s="499"/>
      <c r="H180" s="499"/>
      <c r="I180" s="500"/>
      <c r="J180" s="10"/>
      <c r="K180" s="24">
        <f t="shared" si="60"/>
        <v>36</v>
      </c>
      <c r="L180" s="24">
        <f t="shared" si="60"/>
        <v>0</v>
      </c>
      <c r="M180" s="24">
        <f t="shared" si="60"/>
        <v>36</v>
      </c>
    </row>
    <row r="181" spans="1:13" s="74" customFormat="1" ht="54" x14ac:dyDescent="0.35">
      <c r="A181" s="11"/>
      <c r="B181" s="435" t="s">
        <v>31</v>
      </c>
      <c r="C181" s="23" t="s">
        <v>1</v>
      </c>
      <c r="D181" s="10" t="s">
        <v>61</v>
      </c>
      <c r="E181" s="10" t="s">
        <v>28</v>
      </c>
      <c r="F181" s="498" t="s">
        <v>32</v>
      </c>
      <c r="G181" s="499" t="s">
        <v>33</v>
      </c>
      <c r="H181" s="499" t="s">
        <v>34</v>
      </c>
      <c r="I181" s="500" t="s">
        <v>35</v>
      </c>
      <c r="J181" s="10"/>
      <c r="K181" s="24">
        <f t="shared" si="60"/>
        <v>36</v>
      </c>
      <c r="L181" s="24">
        <f t="shared" si="60"/>
        <v>0</v>
      </c>
      <c r="M181" s="24">
        <f t="shared" si="60"/>
        <v>36</v>
      </c>
    </row>
    <row r="182" spans="1:13" s="74" customFormat="1" ht="36" x14ac:dyDescent="0.35">
      <c r="A182" s="11"/>
      <c r="B182" s="435" t="s">
        <v>287</v>
      </c>
      <c r="C182" s="23" t="s">
        <v>1</v>
      </c>
      <c r="D182" s="10" t="s">
        <v>61</v>
      </c>
      <c r="E182" s="10" t="s">
        <v>28</v>
      </c>
      <c r="F182" s="498" t="s">
        <v>32</v>
      </c>
      <c r="G182" s="499" t="s">
        <v>36</v>
      </c>
      <c r="H182" s="499" t="s">
        <v>34</v>
      </c>
      <c r="I182" s="500" t="s">
        <v>35</v>
      </c>
      <c r="J182" s="10"/>
      <c r="K182" s="24">
        <f t="shared" si="60"/>
        <v>36</v>
      </c>
      <c r="L182" s="24">
        <f t="shared" si="60"/>
        <v>0</v>
      </c>
      <c r="M182" s="24">
        <f t="shared" si="60"/>
        <v>36</v>
      </c>
    </row>
    <row r="183" spans="1:13" s="74" customFormat="1" ht="54" x14ac:dyDescent="0.35">
      <c r="A183" s="11"/>
      <c r="B183" s="481" t="s">
        <v>453</v>
      </c>
      <c r="C183" s="23" t="s">
        <v>1</v>
      </c>
      <c r="D183" s="10" t="s">
        <v>61</v>
      </c>
      <c r="E183" s="10" t="s">
        <v>28</v>
      </c>
      <c r="F183" s="498" t="s">
        <v>32</v>
      </c>
      <c r="G183" s="499" t="s">
        <v>36</v>
      </c>
      <c r="H183" s="499" t="s">
        <v>69</v>
      </c>
      <c r="I183" s="500" t="s">
        <v>35</v>
      </c>
      <c r="J183" s="10"/>
      <c r="K183" s="24">
        <f t="shared" si="60"/>
        <v>36</v>
      </c>
      <c r="L183" s="24">
        <f t="shared" si="60"/>
        <v>0</v>
      </c>
      <c r="M183" s="24">
        <f t="shared" si="60"/>
        <v>36</v>
      </c>
    </row>
    <row r="184" spans="1:13" s="74" customFormat="1" ht="36" x14ac:dyDescent="0.35">
      <c r="A184" s="11"/>
      <c r="B184" s="481" t="s">
        <v>454</v>
      </c>
      <c r="C184" s="23" t="s">
        <v>1</v>
      </c>
      <c r="D184" s="10" t="s">
        <v>61</v>
      </c>
      <c r="E184" s="10" t="s">
        <v>28</v>
      </c>
      <c r="F184" s="498" t="s">
        <v>32</v>
      </c>
      <c r="G184" s="499" t="s">
        <v>36</v>
      </c>
      <c r="H184" s="499" t="s">
        <v>69</v>
      </c>
      <c r="I184" s="500" t="s">
        <v>455</v>
      </c>
      <c r="J184" s="10"/>
      <c r="K184" s="24">
        <f t="shared" si="60"/>
        <v>36</v>
      </c>
      <c r="L184" s="24">
        <f t="shared" si="60"/>
        <v>0</v>
      </c>
      <c r="M184" s="24">
        <f t="shared" si="60"/>
        <v>36</v>
      </c>
    </row>
    <row r="185" spans="1:13" s="74" customFormat="1" ht="36" x14ac:dyDescent="0.35">
      <c r="A185" s="11"/>
      <c r="B185" s="481" t="s">
        <v>451</v>
      </c>
      <c r="C185" s="23" t="s">
        <v>1</v>
      </c>
      <c r="D185" s="10" t="s">
        <v>61</v>
      </c>
      <c r="E185" s="10" t="s">
        <v>28</v>
      </c>
      <c r="F185" s="498" t="s">
        <v>32</v>
      </c>
      <c r="G185" s="499" t="s">
        <v>36</v>
      </c>
      <c r="H185" s="499" t="s">
        <v>69</v>
      </c>
      <c r="I185" s="500" t="s">
        <v>455</v>
      </c>
      <c r="J185" s="10" t="s">
        <v>456</v>
      </c>
      <c r="K185" s="24">
        <v>36</v>
      </c>
      <c r="L185" s="24">
        <f>M185-K185</f>
        <v>0</v>
      </c>
      <c r="M185" s="24">
        <v>36</v>
      </c>
    </row>
    <row r="186" spans="1:13" ht="18" customHeight="1" x14ac:dyDescent="0.35">
      <c r="A186" s="11"/>
      <c r="B186" s="368"/>
      <c r="C186" s="23"/>
      <c r="D186" s="10"/>
      <c r="E186" s="10"/>
      <c r="F186" s="498"/>
      <c r="G186" s="499"/>
      <c r="H186" s="499"/>
      <c r="I186" s="500"/>
      <c r="J186" s="190"/>
      <c r="K186" s="24"/>
      <c r="L186" s="24"/>
      <c r="M186" s="24"/>
    </row>
    <row r="187" spans="1:13" ht="52.2" customHeight="1" x14ac:dyDescent="0.3">
      <c r="A187" s="73">
        <v>2</v>
      </c>
      <c r="B187" s="404" t="s">
        <v>2</v>
      </c>
      <c r="C187" s="18" t="s">
        <v>259</v>
      </c>
      <c r="D187" s="19"/>
      <c r="E187" s="19"/>
      <c r="F187" s="20"/>
      <c r="G187" s="21"/>
      <c r="H187" s="21"/>
      <c r="I187" s="22"/>
      <c r="J187" s="19"/>
      <c r="K187" s="32">
        <f>K188+K219+K212</f>
        <v>45259.299999999996</v>
      </c>
      <c r="L187" s="32">
        <f t="shared" ref="L187" si="61">L188+L219+L212</f>
        <v>0</v>
      </c>
      <c r="M187" s="32">
        <f>M188+M219+M212</f>
        <v>45259.299999999996</v>
      </c>
    </row>
    <row r="188" spans="1:13" s="75" customFormat="1" ht="18" customHeight="1" x14ac:dyDescent="0.35">
      <c r="A188" s="11"/>
      <c r="B188" s="368" t="s">
        <v>27</v>
      </c>
      <c r="C188" s="23" t="s">
        <v>259</v>
      </c>
      <c r="D188" s="10" t="s">
        <v>28</v>
      </c>
      <c r="E188" s="10"/>
      <c r="F188" s="498"/>
      <c r="G188" s="499"/>
      <c r="H188" s="499"/>
      <c r="I188" s="500"/>
      <c r="J188" s="10"/>
      <c r="K188" s="24">
        <f>K189+K200</f>
        <v>36143.699999999997</v>
      </c>
      <c r="L188" s="24">
        <f t="shared" ref="L188" si="62">L189+L200</f>
        <v>0</v>
      </c>
      <c r="M188" s="24">
        <f>M189+M200</f>
        <v>36143.699999999997</v>
      </c>
    </row>
    <row r="189" spans="1:13" s="76" customFormat="1" ht="72" customHeight="1" x14ac:dyDescent="0.35">
      <c r="A189" s="11"/>
      <c r="B189" s="368" t="s">
        <v>119</v>
      </c>
      <c r="C189" s="23" t="s">
        <v>259</v>
      </c>
      <c r="D189" s="10" t="s">
        <v>28</v>
      </c>
      <c r="E189" s="10" t="s">
        <v>71</v>
      </c>
      <c r="F189" s="498"/>
      <c r="G189" s="499"/>
      <c r="H189" s="499"/>
      <c r="I189" s="500"/>
      <c r="J189" s="10"/>
      <c r="K189" s="24">
        <f t="shared" ref="K189:M190" si="63">K190</f>
        <v>32481.7</v>
      </c>
      <c r="L189" s="24">
        <f t="shared" si="63"/>
        <v>0</v>
      </c>
      <c r="M189" s="24">
        <f t="shared" si="63"/>
        <v>32481.7</v>
      </c>
    </row>
    <row r="190" spans="1:13" s="74" customFormat="1" ht="54" customHeight="1" x14ac:dyDescent="0.35">
      <c r="A190" s="11"/>
      <c r="B190" s="368" t="s">
        <v>187</v>
      </c>
      <c r="C190" s="23" t="s">
        <v>259</v>
      </c>
      <c r="D190" s="10" t="s">
        <v>28</v>
      </c>
      <c r="E190" s="10" t="s">
        <v>71</v>
      </c>
      <c r="F190" s="498" t="s">
        <v>188</v>
      </c>
      <c r="G190" s="499" t="s">
        <v>33</v>
      </c>
      <c r="H190" s="499" t="s">
        <v>34</v>
      </c>
      <c r="I190" s="500" t="s">
        <v>35</v>
      </c>
      <c r="J190" s="10"/>
      <c r="K190" s="24">
        <f t="shared" si="63"/>
        <v>32481.7</v>
      </c>
      <c r="L190" s="24">
        <f t="shared" si="63"/>
        <v>0</v>
      </c>
      <c r="M190" s="24">
        <f t="shared" si="63"/>
        <v>32481.7</v>
      </c>
    </row>
    <row r="191" spans="1:13" s="74" customFormat="1" ht="36" customHeight="1" x14ac:dyDescent="0.35">
      <c r="A191" s="11"/>
      <c r="B191" s="368" t="s">
        <v>287</v>
      </c>
      <c r="C191" s="23" t="s">
        <v>259</v>
      </c>
      <c r="D191" s="10" t="s">
        <v>28</v>
      </c>
      <c r="E191" s="10" t="s">
        <v>71</v>
      </c>
      <c r="F191" s="25" t="s">
        <v>188</v>
      </c>
      <c r="G191" s="26" t="s">
        <v>36</v>
      </c>
      <c r="H191" s="499" t="s">
        <v>34</v>
      </c>
      <c r="I191" s="500" t="s">
        <v>35</v>
      </c>
      <c r="J191" s="10"/>
      <c r="K191" s="24">
        <f>K192+K197</f>
        <v>32481.7</v>
      </c>
      <c r="L191" s="24">
        <f t="shared" ref="L191" si="64">L192+L197</f>
        <v>0</v>
      </c>
      <c r="M191" s="24">
        <f>M192+M197</f>
        <v>32481.7</v>
      </c>
    </row>
    <row r="192" spans="1:13" s="74" customFormat="1" ht="54" customHeight="1" x14ac:dyDescent="0.35">
      <c r="A192" s="11"/>
      <c r="B192" s="368" t="s">
        <v>260</v>
      </c>
      <c r="C192" s="23" t="s">
        <v>259</v>
      </c>
      <c r="D192" s="10" t="s">
        <v>28</v>
      </c>
      <c r="E192" s="10" t="s">
        <v>71</v>
      </c>
      <c r="F192" s="25" t="s">
        <v>188</v>
      </c>
      <c r="G192" s="26" t="s">
        <v>36</v>
      </c>
      <c r="H192" s="499" t="s">
        <v>28</v>
      </c>
      <c r="I192" s="500" t="s">
        <v>35</v>
      </c>
      <c r="J192" s="10"/>
      <c r="K192" s="24">
        <f>K193</f>
        <v>31446.600000000002</v>
      </c>
      <c r="L192" s="24">
        <f t="shared" ref="L192" si="65">L193</f>
        <v>0</v>
      </c>
      <c r="M192" s="24">
        <f>M193</f>
        <v>31446.600000000002</v>
      </c>
    </row>
    <row r="193" spans="1:13" s="74" customFormat="1" ht="36" customHeight="1" x14ac:dyDescent="0.35">
      <c r="A193" s="11"/>
      <c r="B193" s="368" t="s">
        <v>38</v>
      </c>
      <c r="C193" s="23" t="s">
        <v>259</v>
      </c>
      <c r="D193" s="10" t="s">
        <v>28</v>
      </c>
      <c r="E193" s="10" t="s">
        <v>71</v>
      </c>
      <c r="F193" s="25" t="s">
        <v>188</v>
      </c>
      <c r="G193" s="26" t="s">
        <v>36</v>
      </c>
      <c r="H193" s="499" t="s">
        <v>28</v>
      </c>
      <c r="I193" s="500" t="s">
        <v>39</v>
      </c>
      <c r="J193" s="10"/>
      <c r="K193" s="24">
        <f>SUM(K194:K196)</f>
        <v>31446.600000000002</v>
      </c>
      <c r="L193" s="24">
        <f t="shared" ref="L193" si="66">SUM(L194:L196)</f>
        <v>0</v>
      </c>
      <c r="M193" s="24">
        <f>SUM(M194:M196)</f>
        <v>31446.600000000002</v>
      </c>
    </row>
    <row r="194" spans="1:13" s="74" customFormat="1" ht="108" customHeight="1" x14ac:dyDescent="0.35">
      <c r="A194" s="11"/>
      <c r="B194" s="368" t="s">
        <v>40</v>
      </c>
      <c r="C194" s="23" t="s">
        <v>259</v>
      </c>
      <c r="D194" s="10" t="s">
        <v>28</v>
      </c>
      <c r="E194" s="10" t="s">
        <v>71</v>
      </c>
      <c r="F194" s="25" t="s">
        <v>188</v>
      </c>
      <c r="G194" s="26" t="s">
        <v>36</v>
      </c>
      <c r="H194" s="499" t="s">
        <v>28</v>
      </c>
      <c r="I194" s="500" t="s">
        <v>39</v>
      </c>
      <c r="J194" s="10" t="s">
        <v>41</v>
      </c>
      <c r="K194" s="24">
        <f>31734.4-1035.1+120.2+43.5</f>
        <v>30863.000000000004</v>
      </c>
      <c r="L194" s="24">
        <f>M194-K194</f>
        <v>0</v>
      </c>
      <c r="M194" s="24">
        <f>31734.4-1035.1+120.2+43.5</f>
        <v>30863.000000000004</v>
      </c>
    </row>
    <row r="195" spans="1:13" s="74" customFormat="1" ht="54" customHeight="1" x14ac:dyDescent="0.35">
      <c r="A195" s="11"/>
      <c r="B195" s="368" t="s">
        <v>45</v>
      </c>
      <c r="C195" s="23" t="s">
        <v>259</v>
      </c>
      <c r="D195" s="10" t="s">
        <v>28</v>
      </c>
      <c r="E195" s="10" t="s">
        <v>71</v>
      </c>
      <c r="F195" s="25" t="s">
        <v>188</v>
      </c>
      <c r="G195" s="26" t="s">
        <v>36</v>
      </c>
      <c r="H195" s="499" t="s">
        <v>28</v>
      </c>
      <c r="I195" s="500" t="s">
        <v>39</v>
      </c>
      <c r="J195" s="10" t="s">
        <v>46</v>
      </c>
      <c r="K195" s="24">
        <f>21.2+678-120.2</f>
        <v>579</v>
      </c>
      <c r="L195" s="24">
        <f>M195-K195</f>
        <v>0</v>
      </c>
      <c r="M195" s="24">
        <f>21.2+678-120.2</f>
        <v>579</v>
      </c>
    </row>
    <row r="196" spans="1:13" s="76" customFormat="1" ht="18" customHeight="1" x14ac:dyDescent="0.35">
      <c r="A196" s="11"/>
      <c r="B196" s="368" t="s">
        <v>47</v>
      </c>
      <c r="C196" s="23" t="s">
        <v>259</v>
      </c>
      <c r="D196" s="10" t="s">
        <v>28</v>
      </c>
      <c r="E196" s="10" t="s">
        <v>71</v>
      </c>
      <c r="F196" s="25" t="s">
        <v>188</v>
      </c>
      <c r="G196" s="26" t="s">
        <v>36</v>
      </c>
      <c r="H196" s="499" t="s">
        <v>28</v>
      </c>
      <c r="I196" s="500" t="s">
        <v>39</v>
      </c>
      <c r="J196" s="10" t="s">
        <v>48</v>
      </c>
      <c r="K196" s="24">
        <v>4.5999999999999996</v>
      </c>
      <c r="L196" s="24">
        <f>M196-K196</f>
        <v>0</v>
      </c>
      <c r="M196" s="24">
        <v>4.5999999999999996</v>
      </c>
    </row>
    <row r="197" spans="1:13" s="76" customFormat="1" ht="54" customHeight="1" x14ac:dyDescent="0.35">
      <c r="A197" s="11"/>
      <c r="B197" s="435" t="s">
        <v>422</v>
      </c>
      <c r="C197" s="23" t="s">
        <v>259</v>
      </c>
      <c r="D197" s="10" t="s">
        <v>28</v>
      </c>
      <c r="E197" s="10" t="s">
        <v>71</v>
      </c>
      <c r="F197" s="25" t="s">
        <v>188</v>
      </c>
      <c r="G197" s="26" t="s">
        <v>36</v>
      </c>
      <c r="H197" s="499" t="s">
        <v>42</v>
      </c>
      <c r="I197" s="500" t="s">
        <v>35</v>
      </c>
      <c r="J197" s="10"/>
      <c r="K197" s="24">
        <f t="shared" ref="K197:M198" si="67">K198</f>
        <v>1035.0999999999999</v>
      </c>
      <c r="L197" s="24">
        <f t="shared" si="67"/>
        <v>0</v>
      </c>
      <c r="M197" s="24">
        <f t="shared" si="67"/>
        <v>1035.0999999999999</v>
      </c>
    </row>
    <row r="198" spans="1:13" s="76" customFormat="1" ht="36" customHeight="1" x14ac:dyDescent="0.35">
      <c r="A198" s="11"/>
      <c r="B198" s="435" t="s">
        <v>421</v>
      </c>
      <c r="C198" s="23" t="s">
        <v>259</v>
      </c>
      <c r="D198" s="10" t="s">
        <v>28</v>
      </c>
      <c r="E198" s="10" t="s">
        <v>71</v>
      </c>
      <c r="F198" s="25" t="s">
        <v>188</v>
      </c>
      <c r="G198" s="26" t="s">
        <v>36</v>
      </c>
      <c r="H198" s="499" t="s">
        <v>42</v>
      </c>
      <c r="I198" s="500" t="s">
        <v>423</v>
      </c>
      <c r="J198" s="10"/>
      <c r="K198" s="24">
        <f t="shared" si="67"/>
        <v>1035.0999999999999</v>
      </c>
      <c r="L198" s="24">
        <f t="shared" si="67"/>
        <v>0</v>
      </c>
      <c r="M198" s="24">
        <f t="shared" si="67"/>
        <v>1035.0999999999999</v>
      </c>
    </row>
    <row r="199" spans="1:13" s="76" customFormat="1" ht="108" customHeight="1" x14ac:dyDescent="0.35">
      <c r="A199" s="11"/>
      <c r="B199" s="435" t="s">
        <v>40</v>
      </c>
      <c r="C199" s="23" t="s">
        <v>259</v>
      </c>
      <c r="D199" s="10" t="s">
        <v>28</v>
      </c>
      <c r="E199" s="10" t="s">
        <v>71</v>
      </c>
      <c r="F199" s="25" t="s">
        <v>188</v>
      </c>
      <c r="G199" s="26" t="s">
        <v>36</v>
      </c>
      <c r="H199" s="499" t="s">
        <v>42</v>
      </c>
      <c r="I199" s="500" t="s">
        <v>423</v>
      </c>
      <c r="J199" s="10" t="s">
        <v>41</v>
      </c>
      <c r="K199" s="24">
        <v>1035.0999999999999</v>
      </c>
      <c r="L199" s="24">
        <f>M199-K199</f>
        <v>0</v>
      </c>
      <c r="M199" s="24">
        <v>1035.0999999999999</v>
      </c>
    </row>
    <row r="200" spans="1:13" s="74" customFormat="1" ht="18" customHeight="1" x14ac:dyDescent="0.35">
      <c r="A200" s="11"/>
      <c r="B200" s="368" t="s">
        <v>60</v>
      </c>
      <c r="C200" s="23" t="s">
        <v>259</v>
      </c>
      <c r="D200" s="10" t="s">
        <v>28</v>
      </c>
      <c r="E200" s="10" t="s">
        <v>61</v>
      </c>
      <c r="F200" s="25"/>
      <c r="G200" s="26"/>
      <c r="H200" s="499"/>
      <c r="I200" s="500"/>
      <c r="J200" s="10"/>
      <c r="K200" s="24">
        <f t="shared" ref="K200:M207" si="68">K201</f>
        <v>3661.9999999999995</v>
      </c>
      <c r="L200" s="24">
        <f t="shared" si="68"/>
        <v>0</v>
      </c>
      <c r="M200" s="24">
        <f t="shared" si="68"/>
        <v>3661.9999999999995</v>
      </c>
    </row>
    <row r="201" spans="1:13" s="74" customFormat="1" ht="54" customHeight="1" x14ac:dyDescent="0.35">
      <c r="A201" s="11"/>
      <c r="B201" s="368" t="s">
        <v>187</v>
      </c>
      <c r="C201" s="23" t="s">
        <v>259</v>
      </c>
      <c r="D201" s="10" t="s">
        <v>28</v>
      </c>
      <c r="E201" s="10" t="s">
        <v>61</v>
      </c>
      <c r="F201" s="25" t="s">
        <v>188</v>
      </c>
      <c r="G201" s="26" t="s">
        <v>33</v>
      </c>
      <c r="H201" s="499" t="s">
        <v>34</v>
      </c>
      <c r="I201" s="500" t="s">
        <v>35</v>
      </c>
      <c r="J201" s="10"/>
      <c r="K201" s="24">
        <f t="shared" si="68"/>
        <v>3661.9999999999995</v>
      </c>
      <c r="L201" s="24">
        <f t="shared" si="68"/>
        <v>0</v>
      </c>
      <c r="M201" s="24">
        <f t="shared" si="68"/>
        <v>3661.9999999999995</v>
      </c>
    </row>
    <row r="202" spans="1:13" s="7" customFormat="1" ht="36" customHeight="1" x14ac:dyDescent="0.35">
      <c r="A202" s="11"/>
      <c r="B202" s="368" t="s">
        <v>287</v>
      </c>
      <c r="C202" s="23" t="s">
        <v>259</v>
      </c>
      <c r="D202" s="10" t="s">
        <v>28</v>
      </c>
      <c r="E202" s="10" t="s">
        <v>61</v>
      </c>
      <c r="F202" s="25" t="s">
        <v>188</v>
      </c>
      <c r="G202" s="26" t="s">
        <v>36</v>
      </c>
      <c r="H202" s="499" t="s">
        <v>34</v>
      </c>
      <c r="I202" s="500" t="s">
        <v>35</v>
      </c>
      <c r="J202" s="10"/>
      <c r="K202" s="24">
        <f>K203+K206+K209</f>
        <v>3661.9999999999995</v>
      </c>
      <c r="L202" s="24">
        <f t="shared" ref="L202" si="69">L203+L206+L209</f>
        <v>0</v>
      </c>
      <c r="M202" s="24">
        <f>M203+M206+M209</f>
        <v>3661.9999999999995</v>
      </c>
    </row>
    <row r="203" spans="1:13" s="7" customFormat="1" ht="54" x14ac:dyDescent="0.35">
      <c r="A203" s="11"/>
      <c r="B203" s="368" t="s">
        <v>260</v>
      </c>
      <c r="C203" s="23" t="s">
        <v>259</v>
      </c>
      <c r="D203" s="10" t="s">
        <v>28</v>
      </c>
      <c r="E203" s="10" t="s">
        <v>61</v>
      </c>
      <c r="F203" s="25" t="s">
        <v>188</v>
      </c>
      <c r="G203" s="26" t="s">
        <v>36</v>
      </c>
      <c r="H203" s="499" t="s">
        <v>28</v>
      </c>
      <c r="I203" s="500" t="s">
        <v>35</v>
      </c>
      <c r="J203" s="10"/>
      <c r="K203" s="24">
        <f>K204</f>
        <v>162.69999999999999</v>
      </c>
      <c r="L203" s="24">
        <f t="shared" ref="L203" si="70">L204</f>
        <v>0</v>
      </c>
      <c r="M203" s="24">
        <f>M204</f>
        <v>162.69999999999999</v>
      </c>
    </row>
    <row r="204" spans="1:13" s="7" customFormat="1" ht="60.6" customHeight="1" x14ac:dyDescent="0.35">
      <c r="A204" s="11"/>
      <c r="B204" s="368" t="s">
        <v>317</v>
      </c>
      <c r="C204" s="23" t="s">
        <v>259</v>
      </c>
      <c r="D204" s="10" t="s">
        <v>28</v>
      </c>
      <c r="E204" s="10" t="s">
        <v>61</v>
      </c>
      <c r="F204" s="25" t="s">
        <v>188</v>
      </c>
      <c r="G204" s="26" t="s">
        <v>36</v>
      </c>
      <c r="H204" s="499" t="s">
        <v>28</v>
      </c>
      <c r="I204" s="500" t="s">
        <v>316</v>
      </c>
      <c r="J204" s="10"/>
      <c r="K204" s="24">
        <f t="shared" si="68"/>
        <v>162.69999999999999</v>
      </c>
      <c r="L204" s="24">
        <f t="shared" si="68"/>
        <v>0</v>
      </c>
      <c r="M204" s="24">
        <f t="shared" si="68"/>
        <v>162.69999999999999</v>
      </c>
    </row>
    <row r="205" spans="1:13" s="7" customFormat="1" ht="36" customHeight="1" x14ac:dyDescent="0.35">
      <c r="A205" s="11"/>
      <c r="B205" s="368" t="s">
        <v>45</v>
      </c>
      <c r="C205" s="23" t="s">
        <v>259</v>
      </c>
      <c r="D205" s="10" t="s">
        <v>28</v>
      </c>
      <c r="E205" s="10" t="s">
        <v>61</v>
      </c>
      <c r="F205" s="25" t="s">
        <v>188</v>
      </c>
      <c r="G205" s="26" t="s">
        <v>36</v>
      </c>
      <c r="H205" s="499" t="s">
        <v>28</v>
      </c>
      <c r="I205" s="500" t="s">
        <v>316</v>
      </c>
      <c r="J205" s="10" t="s">
        <v>46</v>
      </c>
      <c r="K205" s="24">
        <v>162.69999999999999</v>
      </c>
      <c r="L205" s="24">
        <f>M205-K205</f>
        <v>0</v>
      </c>
      <c r="M205" s="24">
        <v>162.69999999999999</v>
      </c>
    </row>
    <row r="206" spans="1:13" s="74" customFormat="1" ht="36" customHeight="1" x14ac:dyDescent="0.35">
      <c r="A206" s="11"/>
      <c r="B206" s="368" t="s">
        <v>293</v>
      </c>
      <c r="C206" s="23" t="s">
        <v>259</v>
      </c>
      <c r="D206" s="10" t="s">
        <v>28</v>
      </c>
      <c r="E206" s="10" t="s">
        <v>61</v>
      </c>
      <c r="F206" s="25" t="s">
        <v>188</v>
      </c>
      <c r="G206" s="26" t="s">
        <v>36</v>
      </c>
      <c r="H206" s="499" t="s">
        <v>53</v>
      </c>
      <c r="I206" s="500" t="s">
        <v>35</v>
      </c>
      <c r="J206" s="10"/>
      <c r="K206" s="24">
        <f>K207</f>
        <v>3481.7</v>
      </c>
      <c r="L206" s="24">
        <f t="shared" ref="L206" si="71">L207</f>
        <v>0</v>
      </c>
      <c r="M206" s="24">
        <f>M207</f>
        <v>3481.7</v>
      </c>
    </row>
    <row r="207" spans="1:13" s="76" customFormat="1" ht="54" customHeight="1" x14ac:dyDescent="0.35">
      <c r="A207" s="11"/>
      <c r="B207" s="368" t="s">
        <v>294</v>
      </c>
      <c r="C207" s="23" t="s">
        <v>259</v>
      </c>
      <c r="D207" s="10" t="s">
        <v>28</v>
      </c>
      <c r="E207" s="10" t="s">
        <v>61</v>
      </c>
      <c r="F207" s="25" t="s">
        <v>188</v>
      </c>
      <c r="G207" s="26" t="s">
        <v>36</v>
      </c>
      <c r="H207" s="499" t="s">
        <v>53</v>
      </c>
      <c r="I207" s="500" t="s">
        <v>95</v>
      </c>
      <c r="J207" s="10"/>
      <c r="K207" s="24">
        <f t="shared" si="68"/>
        <v>3481.7</v>
      </c>
      <c r="L207" s="24">
        <f t="shared" si="68"/>
        <v>0</v>
      </c>
      <c r="M207" s="24">
        <f t="shared" si="68"/>
        <v>3481.7</v>
      </c>
    </row>
    <row r="208" spans="1:13" s="76" customFormat="1" ht="54" customHeight="1" x14ac:dyDescent="0.35">
      <c r="A208" s="11"/>
      <c r="B208" s="368" t="s">
        <v>45</v>
      </c>
      <c r="C208" s="23" t="s">
        <v>259</v>
      </c>
      <c r="D208" s="10" t="s">
        <v>28</v>
      </c>
      <c r="E208" s="10" t="s">
        <v>61</v>
      </c>
      <c r="F208" s="25" t="s">
        <v>188</v>
      </c>
      <c r="G208" s="26" t="s">
        <v>36</v>
      </c>
      <c r="H208" s="499" t="s">
        <v>53</v>
      </c>
      <c r="I208" s="500" t="s">
        <v>95</v>
      </c>
      <c r="J208" s="10" t="s">
        <v>46</v>
      </c>
      <c r="K208" s="24">
        <v>3481.7</v>
      </c>
      <c r="L208" s="24">
        <f>M208-K208</f>
        <v>0</v>
      </c>
      <c r="M208" s="24">
        <v>3481.7</v>
      </c>
    </row>
    <row r="209" spans="1:13" s="76" customFormat="1" ht="36" customHeight="1" x14ac:dyDescent="0.35">
      <c r="A209" s="11"/>
      <c r="B209" s="368" t="s">
        <v>357</v>
      </c>
      <c r="C209" s="23" t="s">
        <v>259</v>
      </c>
      <c r="D209" s="10" t="s">
        <v>28</v>
      </c>
      <c r="E209" s="10" t="s">
        <v>61</v>
      </c>
      <c r="F209" s="25" t="s">
        <v>188</v>
      </c>
      <c r="G209" s="26" t="s">
        <v>36</v>
      </c>
      <c r="H209" s="499" t="s">
        <v>55</v>
      </c>
      <c r="I209" s="500" t="s">
        <v>35</v>
      </c>
      <c r="J209" s="10"/>
      <c r="K209" s="24">
        <f t="shared" ref="K209:M210" si="72">K210</f>
        <v>17.600000000000001</v>
      </c>
      <c r="L209" s="24">
        <f t="shared" si="72"/>
        <v>0</v>
      </c>
      <c r="M209" s="24">
        <f t="shared" si="72"/>
        <v>17.600000000000001</v>
      </c>
    </row>
    <row r="210" spans="1:13" s="76" customFormat="1" ht="18" customHeight="1" x14ac:dyDescent="0.35">
      <c r="A210" s="11"/>
      <c r="B210" s="368" t="s">
        <v>355</v>
      </c>
      <c r="C210" s="23" t="s">
        <v>259</v>
      </c>
      <c r="D210" s="10" t="s">
        <v>28</v>
      </c>
      <c r="E210" s="10" t="s">
        <v>61</v>
      </c>
      <c r="F210" s="25" t="s">
        <v>188</v>
      </c>
      <c r="G210" s="26" t="s">
        <v>36</v>
      </c>
      <c r="H210" s="499" t="s">
        <v>55</v>
      </c>
      <c r="I210" s="500" t="s">
        <v>356</v>
      </c>
      <c r="J210" s="10"/>
      <c r="K210" s="24">
        <f t="shared" si="72"/>
        <v>17.600000000000001</v>
      </c>
      <c r="L210" s="24">
        <f t="shared" si="72"/>
        <v>0</v>
      </c>
      <c r="M210" s="24">
        <f t="shared" si="72"/>
        <v>17.600000000000001</v>
      </c>
    </row>
    <row r="211" spans="1:13" s="76" customFormat="1" ht="54" customHeight="1" x14ac:dyDescent="0.35">
      <c r="A211" s="11"/>
      <c r="B211" s="368" t="s">
        <v>45</v>
      </c>
      <c r="C211" s="23" t="s">
        <v>259</v>
      </c>
      <c r="D211" s="10" t="s">
        <v>28</v>
      </c>
      <c r="E211" s="10" t="s">
        <v>61</v>
      </c>
      <c r="F211" s="25" t="s">
        <v>188</v>
      </c>
      <c r="G211" s="26" t="s">
        <v>36</v>
      </c>
      <c r="H211" s="499" t="s">
        <v>55</v>
      </c>
      <c r="I211" s="500" t="s">
        <v>356</v>
      </c>
      <c r="J211" s="10" t="s">
        <v>46</v>
      </c>
      <c r="K211" s="24">
        <v>17.600000000000001</v>
      </c>
      <c r="L211" s="24">
        <f>M211-K211</f>
        <v>0</v>
      </c>
      <c r="M211" s="24">
        <v>17.600000000000001</v>
      </c>
    </row>
    <row r="212" spans="1:13" s="76" customFormat="1" ht="18" customHeight="1" x14ac:dyDescent="0.35">
      <c r="A212" s="11"/>
      <c r="B212" s="368" t="s">
        <v>144</v>
      </c>
      <c r="C212" s="23" t="s">
        <v>259</v>
      </c>
      <c r="D212" s="10" t="s">
        <v>188</v>
      </c>
      <c r="E212" s="10"/>
      <c r="F212" s="25"/>
      <c r="G212" s="26"/>
      <c r="H212" s="499"/>
      <c r="I212" s="500"/>
      <c r="J212" s="10"/>
      <c r="K212" s="24">
        <f t="shared" ref="K212:M217" si="73">K213</f>
        <v>115.6</v>
      </c>
      <c r="L212" s="24">
        <f t="shared" si="73"/>
        <v>0</v>
      </c>
      <c r="M212" s="24">
        <f t="shared" si="73"/>
        <v>115.6</v>
      </c>
    </row>
    <row r="213" spans="1:13" s="76" customFormat="1" ht="36" customHeight="1" x14ac:dyDescent="0.35">
      <c r="A213" s="11"/>
      <c r="B213" s="368" t="s">
        <v>379</v>
      </c>
      <c r="C213" s="23" t="s">
        <v>259</v>
      </c>
      <c r="D213" s="10" t="s">
        <v>188</v>
      </c>
      <c r="E213" s="10" t="s">
        <v>55</v>
      </c>
      <c r="F213" s="25"/>
      <c r="G213" s="26"/>
      <c r="H213" s="499"/>
      <c r="I213" s="500"/>
      <c r="J213" s="10"/>
      <c r="K213" s="24">
        <f t="shared" si="73"/>
        <v>115.6</v>
      </c>
      <c r="L213" s="24">
        <f t="shared" si="73"/>
        <v>0</v>
      </c>
      <c r="M213" s="24">
        <f t="shared" si="73"/>
        <v>115.6</v>
      </c>
    </row>
    <row r="214" spans="1:13" s="76" customFormat="1" ht="54" customHeight="1" x14ac:dyDescent="0.35">
      <c r="A214" s="11"/>
      <c r="B214" s="368" t="s">
        <v>187</v>
      </c>
      <c r="C214" s="23" t="s">
        <v>259</v>
      </c>
      <c r="D214" s="10" t="s">
        <v>188</v>
      </c>
      <c r="E214" s="10" t="s">
        <v>55</v>
      </c>
      <c r="F214" s="25" t="s">
        <v>188</v>
      </c>
      <c r="G214" s="26" t="s">
        <v>33</v>
      </c>
      <c r="H214" s="499" t="s">
        <v>34</v>
      </c>
      <c r="I214" s="500" t="s">
        <v>35</v>
      </c>
      <c r="J214" s="10"/>
      <c r="K214" s="24">
        <f t="shared" si="73"/>
        <v>115.6</v>
      </c>
      <c r="L214" s="24">
        <f t="shared" si="73"/>
        <v>0</v>
      </c>
      <c r="M214" s="24">
        <f t="shared" si="73"/>
        <v>115.6</v>
      </c>
    </row>
    <row r="215" spans="1:13" s="76" customFormat="1" ht="36" customHeight="1" x14ac:dyDescent="0.35">
      <c r="A215" s="11"/>
      <c r="B215" s="368" t="s">
        <v>287</v>
      </c>
      <c r="C215" s="23" t="s">
        <v>259</v>
      </c>
      <c r="D215" s="10" t="s">
        <v>188</v>
      </c>
      <c r="E215" s="10" t="s">
        <v>55</v>
      </c>
      <c r="F215" s="25" t="s">
        <v>188</v>
      </c>
      <c r="G215" s="26" t="s">
        <v>36</v>
      </c>
      <c r="H215" s="499" t="s">
        <v>34</v>
      </c>
      <c r="I215" s="500" t="s">
        <v>35</v>
      </c>
      <c r="J215" s="10"/>
      <c r="K215" s="24">
        <f t="shared" si="73"/>
        <v>115.6</v>
      </c>
      <c r="L215" s="24">
        <f t="shared" si="73"/>
        <v>0</v>
      </c>
      <c r="M215" s="24">
        <f t="shared" si="73"/>
        <v>115.6</v>
      </c>
    </row>
    <row r="216" spans="1:13" s="76" customFormat="1" ht="54" customHeight="1" x14ac:dyDescent="0.35">
      <c r="A216" s="11"/>
      <c r="B216" s="368" t="s">
        <v>260</v>
      </c>
      <c r="C216" s="23" t="s">
        <v>259</v>
      </c>
      <c r="D216" s="10" t="s">
        <v>188</v>
      </c>
      <c r="E216" s="10" t="s">
        <v>55</v>
      </c>
      <c r="F216" s="25" t="s">
        <v>188</v>
      </c>
      <c r="G216" s="26" t="s">
        <v>36</v>
      </c>
      <c r="H216" s="499" t="s">
        <v>28</v>
      </c>
      <c r="I216" s="500" t="s">
        <v>35</v>
      </c>
      <c r="J216" s="10"/>
      <c r="K216" s="24">
        <f t="shared" si="73"/>
        <v>115.6</v>
      </c>
      <c r="L216" s="24">
        <f t="shared" si="73"/>
        <v>0</v>
      </c>
      <c r="M216" s="24">
        <f t="shared" si="73"/>
        <v>115.6</v>
      </c>
    </row>
    <row r="217" spans="1:13" s="76" customFormat="1" ht="36" customHeight="1" x14ac:dyDescent="0.35">
      <c r="A217" s="11"/>
      <c r="B217" s="368" t="s">
        <v>381</v>
      </c>
      <c r="C217" s="23" t="s">
        <v>259</v>
      </c>
      <c r="D217" s="10" t="s">
        <v>188</v>
      </c>
      <c r="E217" s="10" t="s">
        <v>55</v>
      </c>
      <c r="F217" s="25" t="s">
        <v>188</v>
      </c>
      <c r="G217" s="26" t="s">
        <v>36</v>
      </c>
      <c r="H217" s="499" t="s">
        <v>28</v>
      </c>
      <c r="I217" s="500" t="s">
        <v>380</v>
      </c>
      <c r="J217" s="10"/>
      <c r="K217" s="24">
        <f t="shared" si="73"/>
        <v>115.6</v>
      </c>
      <c r="L217" s="24">
        <f t="shared" si="73"/>
        <v>0</v>
      </c>
      <c r="M217" s="24">
        <f t="shared" si="73"/>
        <v>115.6</v>
      </c>
    </row>
    <row r="218" spans="1:13" s="76" customFormat="1" ht="54" customHeight="1" x14ac:dyDescent="0.35">
      <c r="A218" s="11"/>
      <c r="B218" s="368" t="s">
        <v>45</v>
      </c>
      <c r="C218" s="23" t="s">
        <v>259</v>
      </c>
      <c r="D218" s="10" t="s">
        <v>188</v>
      </c>
      <c r="E218" s="10" t="s">
        <v>55</v>
      </c>
      <c r="F218" s="25" t="s">
        <v>188</v>
      </c>
      <c r="G218" s="26" t="s">
        <v>36</v>
      </c>
      <c r="H218" s="499" t="s">
        <v>28</v>
      </c>
      <c r="I218" s="500" t="s">
        <v>380</v>
      </c>
      <c r="J218" s="10" t="s">
        <v>46</v>
      </c>
      <c r="K218" s="24">
        <v>115.6</v>
      </c>
      <c r="L218" s="24">
        <f>M218-K218</f>
        <v>0</v>
      </c>
      <c r="M218" s="24">
        <v>115.6</v>
      </c>
    </row>
    <row r="219" spans="1:13" s="76" customFormat="1" ht="54" customHeight="1" x14ac:dyDescent="0.35">
      <c r="A219" s="11"/>
      <c r="B219" s="368" t="s">
        <v>165</v>
      </c>
      <c r="C219" s="23" t="s">
        <v>259</v>
      </c>
      <c r="D219" s="10" t="s">
        <v>78</v>
      </c>
      <c r="E219" s="10"/>
      <c r="F219" s="25"/>
      <c r="G219" s="26"/>
      <c r="H219" s="499"/>
      <c r="I219" s="500"/>
      <c r="J219" s="10"/>
      <c r="K219" s="24">
        <f>K220</f>
        <v>9000</v>
      </c>
      <c r="L219" s="24">
        <f t="shared" ref="L219" si="74">L220</f>
        <v>0</v>
      </c>
      <c r="M219" s="24">
        <f>M220</f>
        <v>9000</v>
      </c>
    </row>
    <row r="220" spans="1:13" s="76" customFormat="1" ht="54" customHeight="1" x14ac:dyDescent="0.35">
      <c r="A220" s="11"/>
      <c r="B220" s="407" t="s">
        <v>166</v>
      </c>
      <c r="C220" s="23" t="s">
        <v>259</v>
      </c>
      <c r="D220" s="10" t="s">
        <v>78</v>
      </c>
      <c r="E220" s="10" t="s">
        <v>28</v>
      </c>
      <c r="F220" s="25"/>
      <c r="G220" s="26"/>
      <c r="H220" s="499"/>
      <c r="I220" s="500"/>
      <c r="J220" s="10"/>
      <c r="K220" s="24">
        <f t="shared" ref="K220:M223" si="75">K221</f>
        <v>9000</v>
      </c>
      <c r="L220" s="24">
        <f t="shared" si="75"/>
        <v>0</v>
      </c>
      <c r="M220" s="24">
        <f t="shared" si="75"/>
        <v>9000</v>
      </c>
    </row>
    <row r="221" spans="1:13" s="76" customFormat="1" ht="54" customHeight="1" x14ac:dyDescent="0.35">
      <c r="A221" s="11"/>
      <c r="B221" s="368" t="s">
        <v>187</v>
      </c>
      <c r="C221" s="23" t="s">
        <v>259</v>
      </c>
      <c r="D221" s="10" t="s">
        <v>78</v>
      </c>
      <c r="E221" s="10" t="s">
        <v>28</v>
      </c>
      <c r="F221" s="25" t="s">
        <v>188</v>
      </c>
      <c r="G221" s="26" t="s">
        <v>33</v>
      </c>
      <c r="H221" s="499" t="s">
        <v>34</v>
      </c>
      <c r="I221" s="500" t="s">
        <v>35</v>
      </c>
      <c r="J221" s="10"/>
      <c r="K221" s="24">
        <f t="shared" si="75"/>
        <v>9000</v>
      </c>
      <c r="L221" s="24">
        <f t="shared" si="75"/>
        <v>0</v>
      </c>
      <c r="M221" s="24">
        <f t="shared" si="75"/>
        <v>9000</v>
      </c>
    </row>
    <row r="222" spans="1:13" s="76" customFormat="1" ht="36" customHeight="1" x14ac:dyDescent="0.35">
      <c r="A222" s="11"/>
      <c r="B222" s="368" t="s">
        <v>287</v>
      </c>
      <c r="C222" s="23" t="s">
        <v>259</v>
      </c>
      <c r="D222" s="10" t="s">
        <v>78</v>
      </c>
      <c r="E222" s="10" t="s">
        <v>28</v>
      </c>
      <c r="F222" s="25" t="s">
        <v>188</v>
      </c>
      <c r="G222" s="26" t="s">
        <v>36</v>
      </c>
      <c r="H222" s="499" t="s">
        <v>34</v>
      </c>
      <c r="I222" s="500" t="s">
        <v>35</v>
      </c>
      <c r="J222" s="10"/>
      <c r="K222" s="24">
        <f t="shared" si="75"/>
        <v>9000</v>
      </c>
      <c r="L222" s="24">
        <f t="shared" si="75"/>
        <v>0</v>
      </c>
      <c r="M222" s="24">
        <f t="shared" si="75"/>
        <v>9000</v>
      </c>
    </row>
    <row r="223" spans="1:13" s="76" customFormat="1" ht="36" customHeight="1" x14ac:dyDescent="0.35">
      <c r="A223" s="11"/>
      <c r="B223" s="368" t="s">
        <v>261</v>
      </c>
      <c r="C223" s="23" t="s">
        <v>259</v>
      </c>
      <c r="D223" s="10" t="s">
        <v>78</v>
      </c>
      <c r="E223" s="10" t="s">
        <v>28</v>
      </c>
      <c r="F223" s="25" t="s">
        <v>188</v>
      </c>
      <c r="G223" s="26" t="s">
        <v>36</v>
      </c>
      <c r="H223" s="499" t="s">
        <v>30</v>
      </c>
      <c r="I223" s="500" t="s">
        <v>35</v>
      </c>
      <c r="J223" s="10"/>
      <c r="K223" s="24">
        <f>K224</f>
        <v>9000</v>
      </c>
      <c r="L223" s="24">
        <f t="shared" si="75"/>
        <v>0</v>
      </c>
      <c r="M223" s="24">
        <f>M224</f>
        <v>9000</v>
      </c>
    </row>
    <row r="224" spans="1:13" s="76" customFormat="1" ht="36" customHeight="1" x14ac:dyDescent="0.35">
      <c r="A224" s="11"/>
      <c r="B224" s="368" t="s">
        <v>221</v>
      </c>
      <c r="C224" s="23" t="s">
        <v>259</v>
      </c>
      <c r="D224" s="10" t="s">
        <v>78</v>
      </c>
      <c r="E224" s="10" t="s">
        <v>28</v>
      </c>
      <c r="F224" s="25" t="s">
        <v>188</v>
      </c>
      <c r="G224" s="26" t="s">
        <v>36</v>
      </c>
      <c r="H224" s="499" t="s">
        <v>30</v>
      </c>
      <c r="I224" s="500" t="s">
        <v>325</v>
      </c>
      <c r="J224" s="10"/>
      <c r="K224" s="24">
        <f t="shared" ref="K224:M224" si="76">K225</f>
        <v>9000</v>
      </c>
      <c r="L224" s="24">
        <f t="shared" si="76"/>
        <v>0</v>
      </c>
      <c r="M224" s="24">
        <f t="shared" si="76"/>
        <v>9000</v>
      </c>
    </row>
    <row r="225" spans="1:13" s="76" customFormat="1" ht="18" customHeight="1" x14ac:dyDescent="0.35">
      <c r="A225" s="11"/>
      <c r="B225" s="368" t="s">
        <v>113</v>
      </c>
      <c r="C225" s="23" t="s">
        <v>259</v>
      </c>
      <c r="D225" s="10" t="s">
        <v>78</v>
      </c>
      <c r="E225" s="10" t="s">
        <v>28</v>
      </c>
      <c r="F225" s="25" t="s">
        <v>188</v>
      </c>
      <c r="G225" s="26" t="s">
        <v>36</v>
      </c>
      <c r="H225" s="499" t="s">
        <v>30</v>
      </c>
      <c r="I225" s="500" t="s">
        <v>325</v>
      </c>
      <c r="J225" s="10" t="s">
        <v>114</v>
      </c>
      <c r="K225" s="24">
        <v>9000</v>
      </c>
      <c r="L225" s="24">
        <f>M225-K225</f>
        <v>0</v>
      </c>
      <c r="M225" s="24">
        <v>9000</v>
      </c>
    </row>
    <row r="226" spans="1:13" s="76" customFormat="1" ht="18" customHeight="1" x14ac:dyDescent="0.35">
      <c r="A226" s="11"/>
      <c r="B226" s="368"/>
      <c r="C226" s="23"/>
      <c r="D226" s="10"/>
      <c r="E226" s="10"/>
      <c r="F226" s="25"/>
      <c r="G226" s="26"/>
      <c r="H226" s="499"/>
      <c r="I226" s="500"/>
      <c r="J226" s="10"/>
      <c r="K226" s="24"/>
      <c r="L226" s="24"/>
      <c r="M226" s="24"/>
    </row>
    <row r="227" spans="1:13" s="77" customFormat="1" ht="52.2" customHeight="1" x14ac:dyDescent="0.3">
      <c r="A227" s="73">
        <v>3</v>
      </c>
      <c r="B227" s="404" t="s">
        <v>26</v>
      </c>
      <c r="C227" s="18" t="s">
        <v>118</v>
      </c>
      <c r="D227" s="19"/>
      <c r="E227" s="19"/>
      <c r="F227" s="20"/>
      <c r="G227" s="21"/>
      <c r="H227" s="21"/>
      <c r="I227" s="22"/>
      <c r="J227" s="19"/>
      <c r="K227" s="32">
        <f>K228+K238</f>
        <v>6993.8999999999987</v>
      </c>
      <c r="L227" s="32">
        <f t="shared" ref="L227" si="77">L228+L238</f>
        <v>0</v>
      </c>
      <c r="M227" s="32">
        <f>M228+M238</f>
        <v>6993.8999999999987</v>
      </c>
    </row>
    <row r="228" spans="1:13" s="77" customFormat="1" ht="18" customHeight="1" x14ac:dyDescent="0.35">
      <c r="A228" s="11"/>
      <c r="B228" s="368" t="s">
        <v>27</v>
      </c>
      <c r="C228" s="23" t="s">
        <v>118</v>
      </c>
      <c r="D228" s="10" t="s">
        <v>28</v>
      </c>
      <c r="E228" s="10"/>
      <c r="F228" s="498"/>
      <c r="G228" s="499"/>
      <c r="H228" s="499"/>
      <c r="I228" s="500"/>
      <c r="J228" s="10"/>
      <c r="K228" s="24">
        <f t="shared" ref="K228:M230" si="78">K229</f>
        <v>6945.5999999999985</v>
      </c>
      <c r="L228" s="24">
        <f t="shared" si="78"/>
        <v>0</v>
      </c>
      <c r="M228" s="24">
        <f t="shared" si="78"/>
        <v>6945.5999999999985</v>
      </c>
    </row>
    <row r="229" spans="1:13" s="77" customFormat="1" ht="72" customHeight="1" x14ac:dyDescent="0.35">
      <c r="A229" s="11"/>
      <c r="B229" s="368" t="s">
        <v>119</v>
      </c>
      <c r="C229" s="23" t="s">
        <v>118</v>
      </c>
      <c r="D229" s="10" t="s">
        <v>28</v>
      </c>
      <c r="E229" s="10" t="s">
        <v>71</v>
      </c>
      <c r="F229" s="498"/>
      <c r="G229" s="499"/>
      <c r="H229" s="499"/>
      <c r="I229" s="500"/>
      <c r="J229" s="10"/>
      <c r="K229" s="24">
        <f t="shared" si="78"/>
        <v>6945.5999999999985</v>
      </c>
      <c r="L229" s="24">
        <f t="shared" si="78"/>
        <v>0</v>
      </c>
      <c r="M229" s="24">
        <f t="shared" si="78"/>
        <v>6945.5999999999985</v>
      </c>
    </row>
    <row r="230" spans="1:13" s="77" customFormat="1" ht="36" customHeight="1" x14ac:dyDescent="0.35">
      <c r="A230" s="11"/>
      <c r="B230" s="400" t="s">
        <v>120</v>
      </c>
      <c r="C230" s="23" t="s">
        <v>118</v>
      </c>
      <c r="D230" s="10" t="s">
        <v>28</v>
      </c>
      <c r="E230" s="10" t="s">
        <v>71</v>
      </c>
      <c r="F230" s="498" t="s">
        <v>121</v>
      </c>
      <c r="G230" s="499" t="s">
        <v>33</v>
      </c>
      <c r="H230" s="499" t="s">
        <v>34</v>
      </c>
      <c r="I230" s="500" t="s">
        <v>35</v>
      </c>
      <c r="J230" s="10"/>
      <c r="K230" s="24">
        <f t="shared" si="78"/>
        <v>6945.5999999999985</v>
      </c>
      <c r="L230" s="24">
        <f t="shared" si="78"/>
        <v>0</v>
      </c>
      <c r="M230" s="24">
        <f t="shared" si="78"/>
        <v>6945.5999999999985</v>
      </c>
    </row>
    <row r="231" spans="1:13" s="77" customFormat="1" ht="36" customHeight="1" x14ac:dyDescent="0.35">
      <c r="A231" s="11"/>
      <c r="B231" s="400" t="s">
        <v>122</v>
      </c>
      <c r="C231" s="23" t="s">
        <v>118</v>
      </c>
      <c r="D231" s="10" t="s">
        <v>28</v>
      </c>
      <c r="E231" s="10" t="s">
        <v>71</v>
      </c>
      <c r="F231" s="498" t="s">
        <v>121</v>
      </c>
      <c r="G231" s="499" t="s">
        <v>36</v>
      </c>
      <c r="H231" s="499" t="s">
        <v>34</v>
      </c>
      <c r="I231" s="500" t="s">
        <v>35</v>
      </c>
      <c r="J231" s="10"/>
      <c r="K231" s="24">
        <f>K232+K236</f>
        <v>6945.5999999999985</v>
      </c>
      <c r="L231" s="24">
        <f t="shared" ref="L231" si="79">L232+L236</f>
        <v>0</v>
      </c>
      <c r="M231" s="24">
        <f>M232+M236</f>
        <v>6945.5999999999985</v>
      </c>
    </row>
    <row r="232" spans="1:13" s="77" customFormat="1" ht="36" customHeight="1" x14ac:dyDescent="0.35">
      <c r="A232" s="11"/>
      <c r="B232" s="368" t="s">
        <v>38</v>
      </c>
      <c r="C232" s="23" t="s">
        <v>118</v>
      </c>
      <c r="D232" s="10" t="s">
        <v>28</v>
      </c>
      <c r="E232" s="10" t="s">
        <v>71</v>
      </c>
      <c r="F232" s="498" t="s">
        <v>121</v>
      </c>
      <c r="G232" s="499" t="s">
        <v>36</v>
      </c>
      <c r="H232" s="499" t="s">
        <v>34</v>
      </c>
      <c r="I232" s="500" t="s">
        <v>39</v>
      </c>
      <c r="J232" s="10"/>
      <c r="K232" s="24">
        <f>K233+K234+K235</f>
        <v>5778.4999999999991</v>
      </c>
      <c r="L232" s="24">
        <f t="shared" ref="L232" si="80">L233+L234+L235</f>
        <v>0</v>
      </c>
      <c r="M232" s="24">
        <f>M233+M234+M235</f>
        <v>5778.4999999999991</v>
      </c>
    </row>
    <row r="233" spans="1:13" s="77" customFormat="1" ht="108" customHeight="1" x14ac:dyDescent="0.35">
      <c r="A233" s="11"/>
      <c r="B233" s="400" t="s">
        <v>40</v>
      </c>
      <c r="C233" s="23" t="s">
        <v>118</v>
      </c>
      <c r="D233" s="10" t="s">
        <v>28</v>
      </c>
      <c r="E233" s="10" t="s">
        <v>71</v>
      </c>
      <c r="F233" s="498" t="s">
        <v>121</v>
      </c>
      <c r="G233" s="499" t="s">
        <v>36</v>
      </c>
      <c r="H233" s="499" t="s">
        <v>34</v>
      </c>
      <c r="I233" s="500" t="s">
        <v>39</v>
      </c>
      <c r="J233" s="10" t="s">
        <v>41</v>
      </c>
      <c r="K233" s="24">
        <f>5437.4+10.9</f>
        <v>5448.2999999999993</v>
      </c>
      <c r="L233" s="24">
        <f>M233-K233</f>
        <v>0</v>
      </c>
      <c r="M233" s="24">
        <f>5437.4+10.9</f>
        <v>5448.2999999999993</v>
      </c>
    </row>
    <row r="234" spans="1:13" s="77" customFormat="1" ht="54" customHeight="1" x14ac:dyDescent="0.35">
      <c r="A234" s="11"/>
      <c r="B234" s="368" t="s">
        <v>45</v>
      </c>
      <c r="C234" s="23" t="s">
        <v>118</v>
      </c>
      <c r="D234" s="10" t="s">
        <v>28</v>
      </c>
      <c r="E234" s="10" t="s">
        <v>71</v>
      </c>
      <c r="F234" s="498" t="s">
        <v>121</v>
      </c>
      <c r="G234" s="499" t="s">
        <v>36</v>
      </c>
      <c r="H234" s="499" t="s">
        <v>34</v>
      </c>
      <c r="I234" s="500" t="s">
        <v>39</v>
      </c>
      <c r="J234" s="10" t="s">
        <v>46</v>
      </c>
      <c r="K234" s="24">
        <f>270.8+40.4</f>
        <v>311.2</v>
      </c>
      <c r="L234" s="24">
        <f>M234-K234</f>
        <v>0</v>
      </c>
      <c r="M234" s="24">
        <f>270.8+40.4</f>
        <v>311.2</v>
      </c>
    </row>
    <row r="235" spans="1:13" s="77" customFormat="1" ht="18" customHeight="1" x14ac:dyDescent="0.35">
      <c r="A235" s="11"/>
      <c r="B235" s="368" t="s">
        <v>47</v>
      </c>
      <c r="C235" s="23" t="s">
        <v>118</v>
      </c>
      <c r="D235" s="10" t="s">
        <v>28</v>
      </c>
      <c r="E235" s="10" t="s">
        <v>71</v>
      </c>
      <c r="F235" s="498" t="s">
        <v>121</v>
      </c>
      <c r="G235" s="499" t="s">
        <v>36</v>
      </c>
      <c r="H235" s="499" t="s">
        <v>34</v>
      </c>
      <c r="I235" s="500" t="s">
        <v>39</v>
      </c>
      <c r="J235" s="10" t="s">
        <v>48</v>
      </c>
      <c r="K235" s="24">
        <v>19</v>
      </c>
      <c r="L235" s="24">
        <f>M235-K235</f>
        <v>0</v>
      </c>
      <c r="M235" s="24">
        <v>19</v>
      </c>
    </row>
    <row r="236" spans="1:13" s="77" customFormat="1" ht="36" customHeight="1" x14ac:dyDescent="0.35">
      <c r="A236" s="11"/>
      <c r="B236" s="368" t="s">
        <v>200</v>
      </c>
      <c r="C236" s="23" t="s">
        <v>118</v>
      </c>
      <c r="D236" s="10" t="s">
        <v>28</v>
      </c>
      <c r="E236" s="10" t="s">
        <v>71</v>
      </c>
      <c r="F236" s="498" t="s">
        <v>121</v>
      </c>
      <c r="G236" s="499" t="s">
        <v>36</v>
      </c>
      <c r="H236" s="499" t="s">
        <v>34</v>
      </c>
      <c r="I236" s="500" t="s">
        <v>123</v>
      </c>
      <c r="J236" s="10"/>
      <c r="K236" s="24">
        <f>K237</f>
        <v>1167.0999999999999</v>
      </c>
      <c r="L236" s="24">
        <f t="shared" ref="L236" si="81">L237</f>
        <v>0</v>
      </c>
      <c r="M236" s="24">
        <f>M237</f>
        <v>1167.0999999999999</v>
      </c>
    </row>
    <row r="237" spans="1:13" s="77" customFormat="1" ht="108" customHeight="1" x14ac:dyDescent="0.35">
      <c r="A237" s="11"/>
      <c r="B237" s="368" t="s">
        <v>40</v>
      </c>
      <c r="C237" s="23" t="s">
        <v>118</v>
      </c>
      <c r="D237" s="10" t="s">
        <v>28</v>
      </c>
      <c r="E237" s="10" t="s">
        <v>71</v>
      </c>
      <c r="F237" s="498" t="s">
        <v>121</v>
      </c>
      <c r="G237" s="499" t="s">
        <v>36</v>
      </c>
      <c r="H237" s="499" t="s">
        <v>34</v>
      </c>
      <c r="I237" s="500" t="s">
        <v>123</v>
      </c>
      <c r="J237" s="10" t="s">
        <v>41</v>
      </c>
      <c r="K237" s="24">
        <v>1167.0999999999999</v>
      </c>
      <c r="L237" s="24">
        <f>M237-K237</f>
        <v>0</v>
      </c>
      <c r="M237" s="24">
        <v>1167.0999999999999</v>
      </c>
    </row>
    <row r="238" spans="1:13" s="77" customFormat="1" ht="18" customHeight="1" x14ac:dyDescent="0.35">
      <c r="A238" s="11"/>
      <c r="B238" s="368" t="s">
        <v>144</v>
      </c>
      <c r="C238" s="23" t="s">
        <v>118</v>
      </c>
      <c r="D238" s="10" t="s">
        <v>188</v>
      </c>
      <c r="E238" s="10"/>
      <c r="F238" s="498"/>
      <c r="G238" s="499"/>
      <c r="H238" s="499"/>
      <c r="I238" s="500"/>
      <c r="J238" s="10"/>
      <c r="K238" s="24">
        <f t="shared" ref="K238:M242" si="82">K239</f>
        <v>48.3</v>
      </c>
      <c r="L238" s="24">
        <f t="shared" si="82"/>
        <v>0</v>
      </c>
      <c r="M238" s="24">
        <f t="shared" si="82"/>
        <v>48.3</v>
      </c>
    </row>
    <row r="239" spans="1:13" s="77" customFormat="1" ht="36" customHeight="1" x14ac:dyDescent="0.35">
      <c r="A239" s="11"/>
      <c r="B239" s="366" t="s">
        <v>379</v>
      </c>
      <c r="C239" s="23" t="s">
        <v>118</v>
      </c>
      <c r="D239" s="10" t="s">
        <v>188</v>
      </c>
      <c r="E239" s="10" t="s">
        <v>55</v>
      </c>
      <c r="F239" s="498"/>
      <c r="G239" s="499"/>
      <c r="H239" s="499"/>
      <c r="I239" s="500"/>
      <c r="J239" s="10"/>
      <c r="K239" s="24">
        <f t="shared" si="82"/>
        <v>48.3</v>
      </c>
      <c r="L239" s="24">
        <f t="shared" si="82"/>
        <v>0</v>
      </c>
      <c r="M239" s="24">
        <f t="shared" si="82"/>
        <v>48.3</v>
      </c>
    </row>
    <row r="240" spans="1:13" s="77" customFormat="1" ht="36" customHeight="1" x14ac:dyDescent="0.35">
      <c r="A240" s="11"/>
      <c r="B240" s="400" t="s">
        <v>120</v>
      </c>
      <c r="C240" s="23" t="s">
        <v>118</v>
      </c>
      <c r="D240" s="10" t="s">
        <v>188</v>
      </c>
      <c r="E240" s="10" t="s">
        <v>55</v>
      </c>
      <c r="F240" s="498" t="s">
        <v>121</v>
      </c>
      <c r="G240" s="499" t="s">
        <v>33</v>
      </c>
      <c r="H240" s="499" t="s">
        <v>34</v>
      </c>
      <c r="I240" s="50" t="s">
        <v>35</v>
      </c>
      <c r="J240" s="10"/>
      <c r="K240" s="24">
        <f t="shared" si="82"/>
        <v>48.3</v>
      </c>
      <c r="L240" s="24">
        <f t="shared" si="82"/>
        <v>0</v>
      </c>
      <c r="M240" s="24">
        <f t="shared" si="82"/>
        <v>48.3</v>
      </c>
    </row>
    <row r="241" spans="1:13" s="77" customFormat="1" ht="36" customHeight="1" x14ac:dyDescent="0.35">
      <c r="A241" s="11"/>
      <c r="B241" s="400" t="s">
        <v>122</v>
      </c>
      <c r="C241" s="23" t="s">
        <v>118</v>
      </c>
      <c r="D241" s="10" t="s">
        <v>188</v>
      </c>
      <c r="E241" s="10" t="s">
        <v>55</v>
      </c>
      <c r="F241" s="498" t="s">
        <v>121</v>
      </c>
      <c r="G241" s="499" t="s">
        <v>36</v>
      </c>
      <c r="H241" s="499" t="s">
        <v>34</v>
      </c>
      <c r="I241" s="50" t="s">
        <v>35</v>
      </c>
      <c r="J241" s="10"/>
      <c r="K241" s="24">
        <f t="shared" si="82"/>
        <v>48.3</v>
      </c>
      <c r="L241" s="24">
        <f t="shared" si="82"/>
        <v>0</v>
      </c>
      <c r="M241" s="24">
        <f t="shared" si="82"/>
        <v>48.3</v>
      </c>
    </row>
    <row r="242" spans="1:13" s="77" customFormat="1" ht="36" customHeight="1" x14ac:dyDescent="0.35">
      <c r="A242" s="11"/>
      <c r="B242" s="366" t="s">
        <v>381</v>
      </c>
      <c r="C242" s="23" t="s">
        <v>118</v>
      </c>
      <c r="D242" s="10" t="s">
        <v>188</v>
      </c>
      <c r="E242" s="10" t="s">
        <v>55</v>
      </c>
      <c r="F242" s="498" t="s">
        <v>121</v>
      </c>
      <c r="G242" s="499" t="s">
        <v>36</v>
      </c>
      <c r="H242" s="499" t="s">
        <v>34</v>
      </c>
      <c r="I242" s="499" t="s">
        <v>380</v>
      </c>
      <c r="J242" s="10"/>
      <c r="K242" s="24">
        <f t="shared" si="82"/>
        <v>48.3</v>
      </c>
      <c r="L242" s="24">
        <f t="shared" si="82"/>
        <v>0</v>
      </c>
      <c r="M242" s="24">
        <f t="shared" si="82"/>
        <v>48.3</v>
      </c>
    </row>
    <row r="243" spans="1:13" s="77" customFormat="1" ht="54" customHeight="1" x14ac:dyDescent="0.35">
      <c r="A243" s="11"/>
      <c r="B243" s="366" t="s">
        <v>45</v>
      </c>
      <c r="C243" s="23" t="s">
        <v>118</v>
      </c>
      <c r="D243" s="10" t="s">
        <v>188</v>
      </c>
      <c r="E243" s="10" t="s">
        <v>55</v>
      </c>
      <c r="F243" s="498" t="s">
        <v>121</v>
      </c>
      <c r="G243" s="499" t="s">
        <v>36</v>
      </c>
      <c r="H243" s="499" t="s">
        <v>34</v>
      </c>
      <c r="I243" s="499" t="s">
        <v>380</v>
      </c>
      <c r="J243" s="359" t="s">
        <v>46</v>
      </c>
      <c r="K243" s="24">
        <v>48.3</v>
      </c>
      <c r="L243" s="24">
        <f>M243-K243</f>
        <v>0</v>
      </c>
      <c r="M243" s="24">
        <v>48.3</v>
      </c>
    </row>
    <row r="244" spans="1:13" s="87" customFormat="1" ht="18" customHeight="1" x14ac:dyDescent="0.35">
      <c r="A244" s="149"/>
      <c r="B244" s="409"/>
      <c r="C244" s="355"/>
      <c r="D244" s="148"/>
      <c r="E244" s="148"/>
      <c r="F244" s="193"/>
      <c r="G244" s="193"/>
      <c r="H244" s="193"/>
      <c r="I244" s="193"/>
      <c r="J244" s="358"/>
      <c r="K244" s="186"/>
      <c r="L244" s="186"/>
      <c r="M244" s="186"/>
    </row>
    <row r="245" spans="1:13" s="81" customFormat="1" ht="52.2" customHeight="1" x14ac:dyDescent="0.3">
      <c r="A245" s="353">
        <v>4</v>
      </c>
      <c r="B245" s="410" t="s">
        <v>5</v>
      </c>
      <c r="C245" s="354" t="s">
        <v>330</v>
      </c>
      <c r="D245" s="356"/>
      <c r="E245" s="356"/>
      <c r="F245" s="78"/>
      <c r="G245" s="79"/>
      <c r="H245" s="79"/>
      <c r="I245" s="80"/>
      <c r="J245" s="356"/>
      <c r="K245" s="357">
        <f>K246+K301+K308+K290+K321+K330</f>
        <v>262924.79999999999</v>
      </c>
      <c r="L245" s="357">
        <f t="shared" ref="L245" si="83">L246+L301+L308+L290+L321+L330</f>
        <v>3242.0850699999996</v>
      </c>
      <c r="M245" s="357">
        <f>M246+M301+M308+M290+M321+M330</f>
        <v>266166.88507000002</v>
      </c>
    </row>
    <row r="246" spans="1:13" s="87" customFormat="1" ht="18" customHeight="1" x14ac:dyDescent="0.35">
      <c r="A246" s="82"/>
      <c r="B246" s="403" t="s">
        <v>27</v>
      </c>
      <c r="C246" s="83" t="s">
        <v>330</v>
      </c>
      <c r="D246" s="84" t="s">
        <v>28</v>
      </c>
      <c r="E246" s="51"/>
      <c r="F246" s="85"/>
      <c r="G246" s="49"/>
      <c r="H246" s="49"/>
      <c r="I246" s="50"/>
      <c r="J246" s="51"/>
      <c r="K246" s="86">
        <f>K247</f>
        <v>40868.925259999989</v>
      </c>
      <c r="L246" s="86">
        <f t="shared" ref="L246" si="84">L247</f>
        <v>3230.8850699999998</v>
      </c>
      <c r="M246" s="86">
        <f>M247</f>
        <v>44099.810329999993</v>
      </c>
    </row>
    <row r="247" spans="1:13" s="81" customFormat="1" ht="18" customHeight="1" x14ac:dyDescent="0.35">
      <c r="A247" s="82"/>
      <c r="B247" s="403" t="s">
        <v>60</v>
      </c>
      <c r="C247" s="83" t="s">
        <v>330</v>
      </c>
      <c r="D247" s="84" t="s">
        <v>28</v>
      </c>
      <c r="E247" s="84" t="s">
        <v>61</v>
      </c>
      <c r="F247" s="85"/>
      <c r="G247" s="49"/>
      <c r="H247" s="49"/>
      <c r="I247" s="50"/>
      <c r="J247" s="51"/>
      <c r="K247" s="86">
        <f>K248+K284+K279</f>
        <v>40868.925259999989</v>
      </c>
      <c r="L247" s="86">
        <f t="shared" ref="L247" si="85">L248+L284+L279</f>
        <v>3230.8850699999998</v>
      </c>
      <c r="M247" s="86">
        <f>M248+M284+M279</f>
        <v>44099.810329999993</v>
      </c>
    </row>
    <row r="248" spans="1:13" s="87" customFormat="1" ht="54" customHeight="1" x14ac:dyDescent="0.35">
      <c r="A248" s="82"/>
      <c r="B248" s="403" t="s">
        <v>189</v>
      </c>
      <c r="C248" s="83" t="s">
        <v>330</v>
      </c>
      <c r="D248" s="84" t="s">
        <v>28</v>
      </c>
      <c r="E248" s="84" t="s">
        <v>61</v>
      </c>
      <c r="F248" s="58" t="s">
        <v>190</v>
      </c>
      <c r="G248" s="49" t="s">
        <v>33</v>
      </c>
      <c r="H248" s="49" t="s">
        <v>34</v>
      </c>
      <c r="I248" s="50" t="s">
        <v>35</v>
      </c>
      <c r="J248" s="51"/>
      <c r="K248" s="86">
        <f>K249+K256+K274</f>
        <v>34334.299999999996</v>
      </c>
      <c r="L248" s="86">
        <f t="shared" ref="L248" si="86">L249+L256+L274</f>
        <v>3228.8679999999999</v>
      </c>
      <c r="M248" s="86">
        <f>M249+M256+M274</f>
        <v>37563.167999999998</v>
      </c>
    </row>
    <row r="249" spans="1:13" s="87" customFormat="1" ht="36" customHeight="1" x14ac:dyDescent="0.35">
      <c r="A249" s="82"/>
      <c r="B249" s="403" t="s">
        <v>191</v>
      </c>
      <c r="C249" s="83" t="s">
        <v>330</v>
      </c>
      <c r="D249" s="84" t="s">
        <v>28</v>
      </c>
      <c r="E249" s="84" t="s">
        <v>61</v>
      </c>
      <c r="F249" s="88" t="s">
        <v>190</v>
      </c>
      <c r="G249" s="89" t="s">
        <v>36</v>
      </c>
      <c r="H249" s="89" t="s">
        <v>34</v>
      </c>
      <c r="I249" s="90" t="s">
        <v>35</v>
      </c>
      <c r="J249" s="51"/>
      <c r="K249" s="86">
        <f>K250+K253</f>
        <v>2039.9</v>
      </c>
      <c r="L249" s="86">
        <f t="shared" ref="L249" si="87">L250+L253</f>
        <v>2727.9679999999998</v>
      </c>
      <c r="M249" s="86">
        <f>M250+M253</f>
        <v>4767.8680000000004</v>
      </c>
    </row>
    <row r="250" spans="1:13" s="87" customFormat="1" ht="90" customHeight="1" x14ac:dyDescent="0.35">
      <c r="A250" s="82"/>
      <c r="B250" s="403" t="s">
        <v>254</v>
      </c>
      <c r="C250" s="83" t="s">
        <v>330</v>
      </c>
      <c r="D250" s="84" t="s">
        <v>28</v>
      </c>
      <c r="E250" s="84" t="s">
        <v>61</v>
      </c>
      <c r="F250" s="48" t="s">
        <v>190</v>
      </c>
      <c r="G250" s="49" t="s">
        <v>36</v>
      </c>
      <c r="H250" s="49" t="s">
        <v>28</v>
      </c>
      <c r="I250" s="50" t="s">
        <v>35</v>
      </c>
      <c r="J250" s="51"/>
      <c r="K250" s="86">
        <f t="shared" ref="K250:M251" si="88">K251</f>
        <v>800.7</v>
      </c>
      <c r="L250" s="86">
        <f t="shared" si="88"/>
        <v>0</v>
      </c>
      <c r="M250" s="86">
        <f t="shared" si="88"/>
        <v>800.7</v>
      </c>
    </row>
    <row r="251" spans="1:13" s="87" customFormat="1" ht="54" customHeight="1" x14ac:dyDescent="0.35">
      <c r="A251" s="82"/>
      <c r="B251" s="403" t="s">
        <v>192</v>
      </c>
      <c r="C251" s="83" t="s">
        <v>330</v>
      </c>
      <c r="D251" s="84" t="s">
        <v>28</v>
      </c>
      <c r="E251" s="84" t="s">
        <v>61</v>
      </c>
      <c r="F251" s="48" t="s">
        <v>190</v>
      </c>
      <c r="G251" s="49" t="s">
        <v>36</v>
      </c>
      <c r="H251" s="49" t="s">
        <v>28</v>
      </c>
      <c r="I251" s="50" t="s">
        <v>255</v>
      </c>
      <c r="J251" s="51"/>
      <c r="K251" s="86">
        <f t="shared" si="88"/>
        <v>800.7</v>
      </c>
      <c r="L251" s="86">
        <f t="shared" si="88"/>
        <v>0</v>
      </c>
      <c r="M251" s="86">
        <f t="shared" si="88"/>
        <v>800.7</v>
      </c>
    </row>
    <row r="252" spans="1:13" s="81" customFormat="1" ht="54" customHeight="1" x14ac:dyDescent="0.35">
      <c r="A252" s="82"/>
      <c r="B252" s="411" t="s">
        <v>45</v>
      </c>
      <c r="C252" s="83" t="s">
        <v>330</v>
      </c>
      <c r="D252" s="84" t="s">
        <v>28</v>
      </c>
      <c r="E252" s="84" t="s">
        <v>61</v>
      </c>
      <c r="F252" s="48" t="s">
        <v>190</v>
      </c>
      <c r="G252" s="49" t="s">
        <v>36</v>
      </c>
      <c r="H252" s="49" t="s">
        <v>28</v>
      </c>
      <c r="I252" s="50" t="s">
        <v>255</v>
      </c>
      <c r="J252" s="51" t="s">
        <v>46</v>
      </c>
      <c r="K252" s="86">
        <v>800.7</v>
      </c>
      <c r="L252" s="24">
        <f>M252-K252</f>
        <v>0</v>
      </c>
      <c r="M252" s="86">
        <v>800.7</v>
      </c>
    </row>
    <row r="253" spans="1:13" s="81" customFormat="1" ht="36" customHeight="1" x14ac:dyDescent="0.35">
      <c r="A253" s="82"/>
      <c r="B253" s="411" t="s">
        <v>286</v>
      </c>
      <c r="C253" s="83" t="s">
        <v>330</v>
      </c>
      <c r="D253" s="84" t="s">
        <v>28</v>
      </c>
      <c r="E253" s="84" t="s">
        <v>61</v>
      </c>
      <c r="F253" s="48" t="s">
        <v>190</v>
      </c>
      <c r="G253" s="49" t="s">
        <v>36</v>
      </c>
      <c r="H253" s="49" t="s">
        <v>30</v>
      </c>
      <c r="I253" s="50" t="s">
        <v>35</v>
      </c>
      <c r="J253" s="51"/>
      <c r="K253" s="86">
        <f>K254</f>
        <v>1239.2</v>
      </c>
      <c r="L253" s="86">
        <f t="shared" ref="L253" si="89">L254</f>
        <v>2727.9679999999998</v>
      </c>
      <c r="M253" s="86">
        <f>M254</f>
        <v>3967.1680000000001</v>
      </c>
    </row>
    <row r="254" spans="1:13" s="81" customFormat="1" ht="36" customHeight="1" x14ac:dyDescent="0.35">
      <c r="A254" s="82"/>
      <c r="B254" s="411" t="s">
        <v>285</v>
      </c>
      <c r="C254" s="83" t="s">
        <v>330</v>
      </c>
      <c r="D254" s="84" t="s">
        <v>28</v>
      </c>
      <c r="E254" s="84" t="s">
        <v>61</v>
      </c>
      <c r="F254" s="48" t="s">
        <v>190</v>
      </c>
      <c r="G254" s="49" t="s">
        <v>36</v>
      </c>
      <c r="H254" s="49" t="s">
        <v>30</v>
      </c>
      <c r="I254" s="50" t="s">
        <v>284</v>
      </c>
      <c r="J254" s="51"/>
      <c r="K254" s="86">
        <f>SUM(K255:K255)</f>
        <v>1239.2</v>
      </c>
      <c r="L254" s="86">
        <f t="shared" ref="L254" si="90">SUM(L255:L255)</f>
        <v>2727.9679999999998</v>
      </c>
      <c r="M254" s="86">
        <f>SUM(M255:M255)</f>
        <v>3967.1680000000001</v>
      </c>
    </row>
    <row r="255" spans="1:13" s="81" customFormat="1" ht="54" customHeight="1" x14ac:dyDescent="0.35">
      <c r="A255" s="82"/>
      <c r="B255" s="411" t="s">
        <v>45</v>
      </c>
      <c r="C255" s="83" t="s">
        <v>330</v>
      </c>
      <c r="D255" s="84" t="s">
        <v>28</v>
      </c>
      <c r="E255" s="84" t="s">
        <v>61</v>
      </c>
      <c r="F255" s="48" t="s">
        <v>190</v>
      </c>
      <c r="G255" s="49" t="s">
        <v>36</v>
      </c>
      <c r="H255" s="49" t="s">
        <v>30</v>
      </c>
      <c r="I255" s="50" t="s">
        <v>284</v>
      </c>
      <c r="J255" s="51" t="s">
        <v>46</v>
      </c>
      <c r="K255" s="86">
        <v>1239.2</v>
      </c>
      <c r="L255" s="24">
        <f>M255-K255</f>
        <v>2727.9679999999998</v>
      </c>
      <c r="M255" s="86">
        <f>1239.2+239.15+8.418+1590+190.4+700</f>
        <v>3967.1680000000001</v>
      </c>
    </row>
    <row r="256" spans="1:13" s="81" customFormat="1" ht="36" customHeight="1" x14ac:dyDescent="0.35">
      <c r="A256" s="82"/>
      <c r="B256" s="403" t="s">
        <v>193</v>
      </c>
      <c r="C256" s="83" t="s">
        <v>330</v>
      </c>
      <c r="D256" s="84" t="s">
        <v>28</v>
      </c>
      <c r="E256" s="84" t="s">
        <v>61</v>
      </c>
      <c r="F256" s="58" t="s">
        <v>190</v>
      </c>
      <c r="G256" s="49" t="s">
        <v>79</v>
      </c>
      <c r="H256" s="49" t="s">
        <v>34</v>
      </c>
      <c r="I256" s="50" t="s">
        <v>35</v>
      </c>
      <c r="J256" s="51"/>
      <c r="K256" s="86">
        <f>K257+K268+K271</f>
        <v>31072.999999999996</v>
      </c>
      <c r="L256" s="86">
        <f t="shared" ref="L256" si="91">L257+L268+L271</f>
        <v>200.89999999999998</v>
      </c>
      <c r="M256" s="86">
        <f>M257+M268+M271</f>
        <v>31273.899999999998</v>
      </c>
    </row>
    <row r="257" spans="1:14" s="87" customFormat="1" ht="78.75" customHeight="1" x14ac:dyDescent="0.35">
      <c r="A257" s="82"/>
      <c r="B257" s="403" t="s">
        <v>258</v>
      </c>
      <c r="C257" s="83" t="s">
        <v>330</v>
      </c>
      <c r="D257" s="84" t="s">
        <v>28</v>
      </c>
      <c r="E257" s="84" t="s">
        <v>61</v>
      </c>
      <c r="F257" s="58" t="s">
        <v>190</v>
      </c>
      <c r="G257" s="49" t="s">
        <v>79</v>
      </c>
      <c r="H257" s="49" t="s">
        <v>28</v>
      </c>
      <c r="I257" s="50" t="s">
        <v>35</v>
      </c>
      <c r="J257" s="51"/>
      <c r="K257" s="86">
        <f>K258+K262+K266</f>
        <v>30210.3</v>
      </c>
      <c r="L257" s="86">
        <f t="shared" ref="L257" si="92">L258+L262+L266</f>
        <v>200.89999999999998</v>
      </c>
      <c r="M257" s="86">
        <f>M258+M262+M266</f>
        <v>30411.200000000001</v>
      </c>
    </row>
    <row r="258" spans="1:14" s="81" customFormat="1" ht="36" customHeight="1" x14ac:dyDescent="0.35">
      <c r="A258" s="82"/>
      <c r="B258" s="403" t="s">
        <v>38</v>
      </c>
      <c r="C258" s="83" t="s">
        <v>330</v>
      </c>
      <c r="D258" s="84" t="s">
        <v>28</v>
      </c>
      <c r="E258" s="84" t="s">
        <v>61</v>
      </c>
      <c r="F258" s="91" t="s">
        <v>190</v>
      </c>
      <c r="G258" s="89" t="s">
        <v>79</v>
      </c>
      <c r="H258" s="89" t="s">
        <v>28</v>
      </c>
      <c r="I258" s="90" t="s">
        <v>39</v>
      </c>
      <c r="J258" s="51"/>
      <c r="K258" s="86">
        <f>K259+K260+K261</f>
        <v>16442.5</v>
      </c>
      <c r="L258" s="86">
        <f t="shared" ref="L258" si="93">L259+L260+L261</f>
        <v>0</v>
      </c>
      <c r="M258" s="86">
        <f>M259+M260+M261</f>
        <v>16442.5</v>
      </c>
    </row>
    <row r="259" spans="1:14" s="87" customFormat="1" ht="108" customHeight="1" x14ac:dyDescent="0.35">
      <c r="A259" s="82"/>
      <c r="B259" s="403" t="s">
        <v>40</v>
      </c>
      <c r="C259" s="83" t="s">
        <v>330</v>
      </c>
      <c r="D259" s="84" t="s">
        <v>28</v>
      </c>
      <c r="E259" s="84" t="s">
        <v>61</v>
      </c>
      <c r="F259" s="58" t="s">
        <v>190</v>
      </c>
      <c r="G259" s="49" t="s">
        <v>79</v>
      </c>
      <c r="H259" s="49" t="s">
        <v>28</v>
      </c>
      <c r="I259" s="50" t="s">
        <v>39</v>
      </c>
      <c r="J259" s="51" t="s">
        <v>41</v>
      </c>
      <c r="K259" s="86">
        <f>15923.4+171.5</f>
        <v>16094.9</v>
      </c>
      <c r="L259" s="24">
        <f>M259-K259</f>
        <v>0</v>
      </c>
      <c r="M259" s="86">
        <f>15923.4+171.5</f>
        <v>16094.9</v>
      </c>
    </row>
    <row r="260" spans="1:14" s="87" customFormat="1" ht="54" customHeight="1" x14ac:dyDescent="0.35">
      <c r="A260" s="82"/>
      <c r="B260" s="411" t="s">
        <v>45</v>
      </c>
      <c r="C260" s="83" t="s">
        <v>330</v>
      </c>
      <c r="D260" s="84" t="s">
        <v>28</v>
      </c>
      <c r="E260" s="84" t="s">
        <v>61</v>
      </c>
      <c r="F260" s="58" t="s">
        <v>190</v>
      </c>
      <c r="G260" s="49" t="s">
        <v>79</v>
      </c>
      <c r="H260" s="49" t="s">
        <v>28</v>
      </c>
      <c r="I260" s="50" t="s">
        <v>39</v>
      </c>
      <c r="J260" s="51" t="s">
        <v>46</v>
      </c>
      <c r="K260" s="86">
        <v>346.1</v>
      </c>
      <c r="L260" s="24">
        <f>M260-K260</f>
        <v>0</v>
      </c>
      <c r="M260" s="86">
        <v>346.1</v>
      </c>
      <c r="N260" s="111"/>
    </row>
    <row r="261" spans="1:14" s="87" customFormat="1" ht="18" customHeight="1" x14ac:dyDescent="0.35">
      <c r="A261" s="82"/>
      <c r="B261" s="403" t="s">
        <v>47</v>
      </c>
      <c r="C261" s="83" t="s">
        <v>330</v>
      </c>
      <c r="D261" s="84" t="s">
        <v>28</v>
      </c>
      <c r="E261" s="84" t="s">
        <v>61</v>
      </c>
      <c r="F261" s="58" t="s">
        <v>190</v>
      </c>
      <c r="G261" s="49" t="s">
        <v>79</v>
      </c>
      <c r="H261" s="49" t="s">
        <v>28</v>
      </c>
      <c r="I261" s="50" t="s">
        <v>39</v>
      </c>
      <c r="J261" s="51" t="s">
        <v>48</v>
      </c>
      <c r="K261" s="86">
        <v>1.5</v>
      </c>
      <c r="L261" s="24">
        <f>M261-K261</f>
        <v>0</v>
      </c>
      <c r="M261" s="86">
        <v>1.5</v>
      </c>
    </row>
    <row r="262" spans="1:14" s="87" customFormat="1" ht="36" customHeight="1" x14ac:dyDescent="0.35">
      <c r="A262" s="82"/>
      <c r="B262" s="400" t="s">
        <v>353</v>
      </c>
      <c r="C262" s="83" t="s">
        <v>330</v>
      </c>
      <c r="D262" s="84" t="s">
        <v>28</v>
      </c>
      <c r="E262" s="84" t="s">
        <v>61</v>
      </c>
      <c r="F262" s="58" t="s">
        <v>190</v>
      </c>
      <c r="G262" s="49" t="s">
        <v>79</v>
      </c>
      <c r="H262" s="49" t="s">
        <v>28</v>
      </c>
      <c r="I262" s="50" t="s">
        <v>81</v>
      </c>
      <c r="J262" s="51"/>
      <c r="K262" s="86">
        <f>K263+K264+K265</f>
        <v>13366.5</v>
      </c>
      <c r="L262" s="86">
        <f t="shared" ref="L262" si="94">L263+L264+L265</f>
        <v>200.89999999999998</v>
      </c>
      <c r="M262" s="86">
        <f>M263+M264+M265</f>
        <v>13567.4</v>
      </c>
      <c r="N262" s="111"/>
    </row>
    <row r="263" spans="1:14" s="87" customFormat="1" ht="108" customHeight="1" x14ac:dyDescent="0.35">
      <c r="A263" s="82"/>
      <c r="B263" s="403" t="s">
        <v>40</v>
      </c>
      <c r="C263" s="83" t="s">
        <v>330</v>
      </c>
      <c r="D263" s="84" t="s">
        <v>28</v>
      </c>
      <c r="E263" s="84" t="s">
        <v>61</v>
      </c>
      <c r="F263" s="58" t="s">
        <v>190</v>
      </c>
      <c r="G263" s="49" t="s">
        <v>79</v>
      </c>
      <c r="H263" s="49" t="s">
        <v>28</v>
      </c>
      <c r="I263" s="50" t="s">
        <v>81</v>
      </c>
      <c r="J263" s="51" t="s">
        <v>41</v>
      </c>
      <c r="K263" s="86">
        <f>9725+2926.4+7.1</f>
        <v>12658.5</v>
      </c>
      <c r="L263" s="24">
        <f>M263-K263</f>
        <v>0</v>
      </c>
      <c r="M263" s="86">
        <f>9725+2926.4+7.1</f>
        <v>12658.5</v>
      </c>
      <c r="N263" s="111"/>
    </row>
    <row r="264" spans="1:14" s="87" customFormat="1" ht="54" customHeight="1" x14ac:dyDescent="0.35">
      <c r="A264" s="82"/>
      <c r="B264" s="411" t="s">
        <v>45</v>
      </c>
      <c r="C264" s="83" t="s">
        <v>330</v>
      </c>
      <c r="D264" s="84" t="s">
        <v>28</v>
      </c>
      <c r="E264" s="84" t="s">
        <v>61</v>
      </c>
      <c r="F264" s="91" t="s">
        <v>190</v>
      </c>
      <c r="G264" s="89" t="s">
        <v>79</v>
      </c>
      <c r="H264" s="89" t="s">
        <v>28</v>
      </c>
      <c r="I264" s="90" t="s">
        <v>81</v>
      </c>
      <c r="J264" s="51" t="s">
        <v>46</v>
      </c>
      <c r="K264" s="86">
        <v>685.5</v>
      </c>
      <c r="L264" s="24">
        <f>M264-K264</f>
        <v>200.89999999999998</v>
      </c>
      <c r="M264" s="86">
        <f>685.5+200.9</f>
        <v>886.4</v>
      </c>
    </row>
    <row r="265" spans="1:14" s="87" customFormat="1" ht="18" customHeight="1" x14ac:dyDescent="0.35">
      <c r="A265" s="82"/>
      <c r="B265" s="403" t="s">
        <v>47</v>
      </c>
      <c r="C265" s="123" t="s">
        <v>330</v>
      </c>
      <c r="D265" s="192" t="s">
        <v>28</v>
      </c>
      <c r="E265" s="192" t="s">
        <v>61</v>
      </c>
      <c r="F265" s="58" t="s">
        <v>190</v>
      </c>
      <c r="G265" s="49" t="s">
        <v>79</v>
      </c>
      <c r="H265" s="49" t="s">
        <v>28</v>
      </c>
      <c r="I265" s="50" t="s">
        <v>81</v>
      </c>
      <c r="J265" s="51" t="s">
        <v>48</v>
      </c>
      <c r="K265" s="86">
        <v>22.5</v>
      </c>
      <c r="L265" s="24">
        <f>M265-K265</f>
        <v>0</v>
      </c>
      <c r="M265" s="86">
        <v>22.5</v>
      </c>
      <c r="N265" s="111"/>
    </row>
    <row r="266" spans="1:14" s="87" customFormat="1" ht="54" customHeight="1" x14ac:dyDescent="0.35">
      <c r="A266" s="82"/>
      <c r="B266" s="412" t="s">
        <v>296</v>
      </c>
      <c r="C266" s="226" t="s">
        <v>330</v>
      </c>
      <c r="D266" s="227" t="s">
        <v>28</v>
      </c>
      <c r="E266" s="227" t="s">
        <v>61</v>
      </c>
      <c r="F266" s="92" t="s">
        <v>190</v>
      </c>
      <c r="G266" s="49" t="s">
        <v>79</v>
      </c>
      <c r="H266" s="49" t="s">
        <v>28</v>
      </c>
      <c r="I266" s="50" t="s">
        <v>295</v>
      </c>
      <c r="J266" s="51"/>
      <c r="K266" s="86">
        <f>K267</f>
        <v>401.3</v>
      </c>
      <c r="L266" s="86">
        <f t="shared" ref="L266" si="95">L267</f>
        <v>0</v>
      </c>
      <c r="M266" s="86">
        <f>M267</f>
        <v>401.3</v>
      </c>
      <c r="N266" s="111"/>
    </row>
    <row r="267" spans="1:14" s="87" customFormat="1" ht="54" customHeight="1" x14ac:dyDescent="0.35">
      <c r="A267" s="82"/>
      <c r="B267" s="412" t="s">
        <v>45</v>
      </c>
      <c r="C267" s="226" t="s">
        <v>330</v>
      </c>
      <c r="D267" s="227" t="s">
        <v>28</v>
      </c>
      <c r="E267" s="227" t="s">
        <v>61</v>
      </c>
      <c r="F267" s="92" t="s">
        <v>190</v>
      </c>
      <c r="G267" s="49" t="s">
        <v>79</v>
      </c>
      <c r="H267" s="49" t="s">
        <v>28</v>
      </c>
      <c r="I267" s="191" t="s">
        <v>295</v>
      </c>
      <c r="J267" s="51" t="s">
        <v>46</v>
      </c>
      <c r="K267" s="86">
        <v>401.3</v>
      </c>
      <c r="L267" s="24">
        <f>M267-K267</f>
        <v>0</v>
      </c>
      <c r="M267" s="86">
        <v>401.3</v>
      </c>
      <c r="N267" s="111"/>
    </row>
    <row r="268" spans="1:14" s="117" customFormat="1" ht="36" customHeight="1" x14ac:dyDescent="0.35">
      <c r="A268" s="112"/>
      <c r="B268" s="413" t="s">
        <v>293</v>
      </c>
      <c r="C268" s="113" t="s">
        <v>330</v>
      </c>
      <c r="D268" s="114" t="s">
        <v>28</v>
      </c>
      <c r="E268" s="114" t="s">
        <v>61</v>
      </c>
      <c r="F268" s="58" t="s">
        <v>190</v>
      </c>
      <c r="G268" s="59" t="s">
        <v>79</v>
      </c>
      <c r="H268" s="59" t="s">
        <v>30</v>
      </c>
      <c r="I268" s="60" t="s">
        <v>35</v>
      </c>
      <c r="J268" s="61"/>
      <c r="K268" s="115">
        <f t="shared" ref="K268:M269" si="96">K269</f>
        <v>852.1</v>
      </c>
      <c r="L268" s="115">
        <f t="shared" si="96"/>
        <v>0</v>
      </c>
      <c r="M268" s="115">
        <f t="shared" si="96"/>
        <v>852.1</v>
      </c>
      <c r="N268" s="116"/>
    </row>
    <row r="269" spans="1:14" s="117" customFormat="1" ht="54" customHeight="1" x14ac:dyDescent="0.35">
      <c r="A269" s="118"/>
      <c r="B269" s="414" t="s">
        <v>294</v>
      </c>
      <c r="C269" s="83" t="s">
        <v>330</v>
      </c>
      <c r="D269" s="84" t="s">
        <v>28</v>
      </c>
      <c r="E269" s="84" t="s">
        <v>61</v>
      </c>
      <c r="F269" s="92" t="s">
        <v>190</v>
      </c>
      <c r="G269" s="59" t="s">
        <v>79</v>
      </c>
      <c r="H269" s="59" t="s">
        <v>30</v>
      </c>
      <c r="I269" s="60" t="s">
        <v>95</v>
      </c>
      <c r="J269" s="62"/>
      <c r="K269" s="119">
        <f t="shared" si="96"/>
        <v>852.1</v>
      </c>
      <c r="L269" s="119">
        <f t="shared" si="96"/>
        <v>0</v>
      </c>
      <c r="M269" s="119">
        <f t="shared" si="96"/>
        <v>852.1</v>
      </c>
      <c r="N269" s="116"/>
    </row>
    <row r="270" spans="1:14" s="117" customFormat="1" ht="54" customHeight="1" x14ac:dyDescent="0.35">
      <c r="A270" s="118"/>
      <c r="B270" s="415" t="s">
        <v>45</v>
      </c>
      <c r="C270" s="83" t="s">
        <v>330</v>
      </c>
      <c r="D270" s="84" t="s">
        <v>28</v>
      </c>
      <c r="E270" s="84" t="s">
        <v>61</v>
      </c>
      <c r="F270" s="92" t="s">
        <v>190</v>
      </c>
      <c r="G270" s="64" t="s">
        <v>79</v>
      </c>
      <c r="H270" s="64" t="s">
        <v>30</v>
      </c>
      <c r="I270" s="120" t="s">
        <v>95</v>
      </c>
      <c r="J270" s="121" t="s">
        <v>46</v>
      </c>
      <c r="K270" s="185">
        <v>852.1</v>
      </c>
      <c r="L270" s="24">
        <f>M270-K270</f>
        <v>0</v>
      </c>
      <c r="M270" s="185">
        <v>852.1</v>
      </c>
      <c r="N270" s="116"/>
    </row>
    <row r="271" spans="1:14" s="117" customFormat="1" ht="36" customHeight="1" x14ac:dyDescent="0.35">
      <c r="A271" s="118"/>
      <c r="B271" s="416" t="s">
        <v>312</v>
      </c>
      <c r="C271" s="83" t="s">
        <v>330</v>
      </c>
      <c r="D271" s="84" t="s">
        <v>28</v>
      </c>
      <c r="E271" s="84" t="s">
        <v>61</v>
      </c>
      <c r="F271" s="92" t="s">
        <v>190</v>
      </c>
      <c r="G271" s="59" t="s">
        <v>79</v>
      </c>
      <c r="H271" s="59" t="s">
        <v>53</v>
      </c>
      <c r="I271" s="60" t="s">
        <v>35</v>
      </c>
      <c r="J271" s="62"/>
      <c r="K271" s="119">
        <f t="shared" ref="K271:M272" si="97">K272</f>
        <v>10.6</v>
      </c>
      <c r="L271" s="119">
        <f t="shared" si="97"/>
        <v>0</v>
      </c>
      <c r="M271" s="119">
        <f t="shared" si="97"/>
        <v>10.6</v>
      </c>
      <c r="N271" s="116"/>
    </row>
    <row r="272" spans="1:14" s="117" customFormat="1" ht="36" customHeight="1" x14ac:dyDescent="0.35">
      <c r="A272" s="118"/>
      <c r="B272" s="416" t="s">
        <v>285</v>
      </c>
      <c r="C272" s="83" t="s">
        <v>330</v>
      </c>
      <c r="D272" s="84" t="s">
        <v>28</v>
      </c>
      <c r="E272" s="84" t="s">
        <v>61</v>
      </c>
      <c r="F272" s="63" t="s">
        <v>190</v>
      </c>
      <c r="G272" s="64" t="s">
        <v>79</v>
      </c>
      <c r="H272" s="64" t="s">
        <v>53</v>
      </c>
      <c r="I272" s="120" t="s">
        <v>284</v>
      </c>
      <c r="J272" s="62"/>
      <c r="K272" s="119">
        <f t="shared" si="97"/>
        <v>10.6</v>
      </c>
      <c r="L272" s="119">
        <f t="shared" si="97"/>
        <v>0</v>
      </c>
      <c r="M272" s="119">
        <f t="shared" si="97"/>
        <v>10.6</v>
      </c>
      <c r="N272" s="116"/>
    </row>
    <row r="273" spans="1:14" s="117" customFormat="1" ht="18" customHeight="1" x14ac:dyDescent="0.35">
      <c r="A273" s="122"/>
      <c r="B273" s="403" t="s">
        <v>47</v>
      </c>
      <c r="C273" s="123" t="s">
        <v>330</v>
      </c>
      <c r="D273" s="84" t="s">
        <v>28</v>
      </c>
      <c r="E273" s="84" t="s">
        <v>61</v>
      </c>
      <c r="F273" s="58" t="s">
        <v>190</v>
      </c>
      <c r="G273" s="59" t="s">
        <v>79</v>
      </c>
      <c r="H273" s="59" t="s">
        <v>53</v>
      </c>
      <c r="I273" s="60" t="s">
        <v>284</v>
      </c>
      <c r="J273" s="62" t="s">
        <v>48</v>
      </c>
      <c r="K273" s="185">
        <v>10.6</v>
      </c>
      <c r="L273" s="24">
        <f>M273-K273</f>
        <v>0</v>
      </c>
      <c r="M273" s="185">
        <v>10.6</v>
      </c>
      <c r="N273" s="116"/>
    </row>
    <row r="274" spans="1:14" s="117" customFormat="1" ht="36" customHeight="1" x14ac:dyDescent="0.35">
      <c r="A274" s="122"/>
      <c r="B274" s="417" t="s">
        <v>287</v>
      </c>
      <c r="C274" s="123" t="s">
        <v>330</v>
      </c>
      <c r="D274" s="84" t="s">
        <v>28</v>
      </c>
      <c r="E274" s="84" t="s">
        <v>61</v>
      </c>
      <c r="F274" s="58" t="s">
        <v>190</v>
      </c>
      <c r="G274" s="59" t="s">
        <v>21</v>
      </c>
      <c r="H274" s="59" t="s">
        <v>34</v>
      </c>
      <c r="I274" s="60" t="s">
        <v>35</v>
      </c>
      <c r="J274" s="62"/>
      <c r="K274" s="311">
        <f>K275</f>
        <v>1221.4000000000001</v>
      </c>
      <c r="L274" s="311">
        <f t="shared" ref="K274:M275" si="98">L275</f>
        <v>300</v>
      </c>
      <c r="M274" s="311">
        <f>M275</f>
        <v>1521.4</v>
      </c>
      <c r="N274" s="116"/>
    </row>
    <row r="275" spans="1:14" s="117" customFormat="1" ht="36" customHeight="1" x14ac:dyDescent="0.35">
      <c r="A275" s="334"/>
      <c r="B275" s="418" t="s">
        <v>312</v>
      </c>
      <c r="C275" s="326" t="s">
        <v>330</v>
      </c>
      <c r="D275" s="335" t="s">
        <v>28</v>
      </c>
      <c r="E275" s="335" t="s">
        <v>61</v>
      </c>
      <c r="F275" s="336" t="s">
        <v>190</v>
      </c>
      <c r="G275" s="337" t="s">
        <v>21</v>
      </c>
      <c r="H275" s="337" t="s">
        <v>190</v>
      </c>
      <c r="I275" s="338" t="s">
        <v>35</v>
      </c>
      <c r="J275" s="339"/>
      <c r="K275" s="311">
        <f t="shared" si="98"/>
        <v>1221.4000000000001</v>
      </c>
      <c r="L275" s="311">
        <f t="shared" si="98"/>
        <v>300</v>
      </c>
      <c r="M275" s="311">
        <f t="shared" si="98"/>
        <v>1521.4</v>
      </c>
      <c r="N275" s="116"/>
    </row>
    <row r="276" spans="1:14" s="117" customFormat="1" ht="36" customHeight="1" x14ac:dyDescent="0.35">
      <c r="A276" s="459"/>
      <c r="B276" s="409" t="s">
        <v>285</v>
      </c>
      <c r="C276" s="226" t="s">
        <v>330</v>
      </c>
      <c r="D276" s="485" t="s">
        <v>28</v>
      </c>
      <c r="E276" s="328" t="s">
        <v>61</v>
      </c>
      <c r="F276" s="329" t="s">
        <v>190</v>
      </c>
      <c r="G276" s="330" t="s">
        <v>21</v>
      </c>
      <c r="H276" s="330" t="s">
        <v>190</v>
      </c>
      <c r="I276" s="331" t="s">
        <v>284</v>
      </c>
      <c r="J276" s="332"/>
      <c r="K276" s="333">
        <f>K277+K278</f>
        <v>1221.4000000000001</v>
      </c>
      <c r="L276" s="333">
        <f>L277+L278</f>
        <v>300</v>
      </c>
      <c r="M276" s="333">
        <f>M277+M278</f>
        <v>1521.4</v>
      </c>
      <c r="N276" s="116"/>
    </row>
    <row r="277" spans="1:14" s="117" customFormat="1" ht="36" customHeight="1" x14ac:dyDescent="0.35">
      <c r="A277" s="459"/>
      <c r="B277" s="415" t="s">
        <v>45</v>
      </c>
      <c r="C277" s="226" t="s">
        <v>330</v>
      </c>
      <c r="D277" s="485" t="s">
        <v>28</v>
      </c>
      <c r="E277" s="328" t="s">
        <v>61</v>
      </c>
      <c r="F277" s="329" t="s">
        <v>190</v>
      </c>
      <c r="G277" s="330" t="s">
        <v>21</v>
      </c>
      <c r="H277" s="330" t="s">
        <v>190</v>
      </c>
      <c r="I277" s="331" t="s">
        <v>284</v>
      </c>
      <c r="J277" s="332" t="s">
        <v>46</v>
      </c>
      <c r="K277" s="333">
        <f>388.5+414.3+337.7</f>
        <v>1140.5</v>
      </c>
      <c r="L277" s="24">
        <f>M277-K277</f>
        <v>300</v>
      </c>
      <c r="M277" s="333">
        <f>388.5+414.3+337.7+300</f>
        <v>1440.5</v>
      </c>
      <c r="N277" s="116"/>
    </row>
    <row r="278" spans="1:14" s="117" customFormat="1" ht="18" customHeight="1" x14ac:dyDescent="0.35">
      <c r="A278" s="438"/>
      <c r="B278" s="409" t="s">
        <v>47</v>
      </c>
      <c r="C278" s="226" t="s">
        <v>330</v>
      </c>
      <c r="D278" s="460" t="s">
        <v>28</v>
      </c>
      <c r="E278" s="84" t="s">
        <v>61</v>
      </c>
      <c r="F278" s="58" t="s">
        <v>190</v>
      </c>
      <c r="G278" s="59" t="s">
        <v>21</v>
      </c>
      <c r="H278" s="59" t="s">
        <v>190</v>
      </c>
      <c r="I278" s="60" t="s">
        <v>284</v>
      </c>
      <c r="J278" s="316" t="s">
        <v>48</v>
      </c>
      <c r="K278" s="311">
        <v>80.900000000000006</v>
      </c>
      <c r="L278" s="24">
        <f>M278-K278</f>
        <v>0</v>
      </c>
      <c r="M278" s="311">
        <v>80.900000000000006</v>
      </c>
      <c r="N278" s="116"/>
    </row>
    <row r="279" spans="1:14" s="117" customFormat="1" ht="54" customHeight="1" x14ac:dyDescent="0.35">
      <c r="A279" s="327"/>
      <c r="B279" s="461" t="s">
        <v>194</v>
      </c>
      <c r="C279" s="462" t="s">
        <v>330</v>
      </c>
      <c r="D279" s="84" t="s">
        <v>28</v>
      </c>
      <c r="E279" s="84" t="s">
        <v>61</v>
      </c>
      <c r="F279" s="65" t="s">
        <v>69</v>
      </c>
      <c r="G279" s="66" t="s">
        <v>33</v>
      </c>
      <c r="H279" s="66" t="s">
        <v>34</v>
      </c>
      <c r="I279" s="67" t="s">
        <v>35</v>
      </c>
      <c r="J279" s="68"/>
      <c r="K279" s="311">
        <f t="shared" ref="K279:M282" si="99">K280</f>
        <v>59.82526</v>
      </c>
      <c r="L279" s="311">
        <f t="shared" si="99"/>
        <v>0</v>
      </c>
      <c r="M279" s="311">
        <f t="shared" si="99"/>
        <v>59.82526</v>
      </c>
      <c r="N279" s="116"/>
    </row>
    <row r="280" spans="1:14" s="117" customFormat="1" ht="36" customHeight="1" x14ac:dyDescent="0.35">
      <c r="A280" s="122"/>
      <c r="B280" s="411" t="s">
        <v>287</v>
      </c>
      <c r="C280" s="94" t="s">
        <v>330</v>
      </c>
      <c r="D280" s="84" t="s">
        <v>28</v>
      </c>
      <c r="E280" s="84" t="s">
        <v>61</v>
      </c>
      <c r="F280" s="65" t="s">
        <v>69</v>
      </c>
      <c r="G280" s="66" t="s">
        <v>36</v>
      </c>
      <c r="H280" s="66" t="s">
        <v>34</v>
      </c>
      <c r="I280" s="67" t="s">
        <v>35</v>
      </c>
      <c r="J280" s="68"/>
      <c r="K280" s="311">
        <f t="shared" si="99"/>
        <v>59.82526</v>
      </c>
      <c r="L280" s="311">
        <f t="shared" si="99"/>
        <v>0</v>
      </c>
      <c r="M280" s="311">
        <f t="shared" si="99"/>
        <v>59.82526</v>
      </c>
      <c r="N280" s="116"/>
    </row>
    <row r="281" spans="1:14" s="117" customFormat="1" ht="90" customHeight="1" x14ac:dyDescent="0.35">
      <c r="A281" s="122"/>
      <c r="B281" s="411" t="s">
        <v>257</v>
      </c>
      <c r="C281" s="94" t="s">
        <v>330</v>
      </c>
      <c r="D281" s="84" t="s">
        <v>28</v>
      </c>
      <c r="E281" s="84" t="s">
        <v>61</v>
      </c>
      <c r="F281" s="65" t="s">
        <v>69</v>
      </c>
      <c r="G281" s="66" t="s">
        <v>36</v>
      </c>
      <c r="H281" s="66" t="s">
        <v>30</v>
      </c>
      <c r="I281" s="67" t="s">
        <v>35</v>
      </c>
      <c r="J281" s="68"/>
      <c r="K281" s="311">
        <f t="shared" si="99"/>
        <v>59.82526</v>
      </c>
      <c r="L281" s="311">
        <f t="shared" si="99"/>
        <v>0</v>
      </c>
      <c r="M281" s="311">
        <f t="shared" si="99"/>
        <v>59.82526</v>
      </c>
      <c r="N281" s="116"/>
    </row>
    <row r="282" spans="1:14" s="117" customFormat="1" ht="108" customHeight="1" x14ac:dyDescent="0.35">
      <c r="A282" s="122"/>
      <c r="B282" s="403" t="s">
        <v>332</v>
      </c>
      <c r="C282" s="83" t="s">
        <v>330</v>
      </c>
      <c r="D282" s="84" t="s">
        <v>28</v>
      </c>
      <c r="E282" s="84" t="s">
        <v>61</v>
      </c>
      <c r="F282" s="48" t="s">
        <v>69</v>
      </c>
      <c r="G282" s="49" t="s">
        <v>36</v>
      </c>
      <c r="H282" s="49" t="s">
        <v>30</v>
      </c>
      <c r="I282" s="69" t="s">
        <v>459</v>
      </c>
      <c r="J282" s="51"/>
      <c r="K282" s="311">
        <f t="shared" si="99"/>
        <v>59.82526</v>
      </c>
      <c r="L282" s="311">
        <f t="shared" si="99"/>
        <v>0</v>
      </c>
      <c r="M282" s="311">
        <f t="shared" si="99"/>
        <v>59.82526</v>
      </c>
      <c r="N282" s="116"/>
    </row>
    <row r="283" spans="1:14" s="117" customFormat="1" ht="54" customHeight="1" x14ac:dyDescent="0.35">
      <c r="A283" s="122"/>
      <c r="B283" s="411" t="s">
        <v>45</v>
      </c>
      <c r="C283" s="83" t="s">
        <v>330</v>
      </c>
      <c r="D283" s="84" t="s">
        <v>28</v>
      </c>
      <c r="E283" s="84" t="s">
        <v>61</v>
      </c>
      <c r="F283" s="48" t="s">
        <v>69</v>
      </c>
      <c r="G283" s="49" t="s">
        <v>36</v>
      </c>
      <c r="H283" s="49" t="s">
        <v>30</v>
      </c>
      <c r="I283" s="69" t="s">
        <v>459</v>
      </c>
      <c r="J283" s="316" t="s">
        <v>46</v>
      </c>
      <c r="K283" s="311">
        <v>59.82526</v>
      </c>
      <c r="L283" s="24">
        <f>M283-K283</f>
        <v>0</v>
      </c>
      <c r="M283" s="311">
        <v>59.82526</v>
      </c>
      <c r="N283" s="116"/>
    </row>
    <row r="284" spans="1:14" s="87" customFormat="1" ht="54" customHeight="1" x14ac:dyDescent="0.35">
      <c r="A284" s="82"/>
      <c r="B284" s="417" t="s">
        <v>31</v>
      </c>
      <c r="C284" s="83" t="s">
        <v>330</v>
      </c>
      <c r="D284" s="84" t="s">
        <v>28</v>
      </c>
      <c r="E284" s="84" t="s">
        <v>61</v>
      </c>
      <c r="F284" s="92" t="s">
        <v>32</v>
      </c>
      <c r="G284" s="49" t="s">
        <v>33</v>
      </c>
      <c r="H284" s="49" t="s">
        <v>34</v>
      </c>
      <c r="I284" s="50" t="s">
        <v>35</v>
      </c>
      <c r="J284" s="51"/>
      <c r="K284" s="187">
        <f t="shared" ref="K284:M286" si="100">K285</f>
        <v>6474.7999999999993</v>
      </c>
      <c r="L284" s="187">
        <f t="shared" si="100"/>
        <v>2.0170699999999897</v>
      </c>
      <c r="M284" s="187">
        <f t="shared" si="100"/>
        <v>6476.8170699999991</v>
      </c>
      <c r="N284" s="111"/>
    </row>
    <row r="285" spans="1:14" s="87" customFormat="1" ht="36" customHeight="1" x14ac:dyDescent="0.35">
      <c r="A285" s="82"/>
      <c r="B285" s="411" t="s">
        <v>287</v>
      </c>
      <c r="C285" s="83" t="s">
        <v>330</v>
      </c>
      <c r="D285" s="84" t="s">
        <v>28</v>
      </c>
      <c r="E285" s="84" t="s">
        <v>61</v>
      </c>
      <c r="F285" s="58" t="s">
        <v>32</v>
      </c>
      <c r="G285" s="49" t="s">
        <v>36</v>
      </c>
      <c r="H285" s="49" t="s">
        <v>34</v>
      </c>
      <c r="I285" s="50" t="s">
        <v>35</v>
      </c>
      <c r="J285" s="51"/>
      <c r="K285" s="86">
        <f t="shared" si="100"/>
        <v>6474.7999999999993</v>
      </c>
      <c r="L285" s="86">
        <f t="shared" si="100"/>
        <v>2.0170699999999897</v>
      </c>
      <c r="M285" s="86">
        <f t="shared" si="100"/>
        <v>6476.8170699999991</v>
      </c>
      <c r="N285" s="111"/>
    </row>
    <row r="286" spans="1:14" s="87" customFormat="1" ht="72" customHeight="1" x14ac:dyDescent="0.35">
      <c r="A286" s="82"/>
      <c r="B286" s="403" t="s">
        <v>256</v>
      </c>
      <c r="C286" s="83" t="s">
        <v>330</v>
      </c>
      <c r="D286" s="84" t="s">
        <v>28</v>
      </c>
      <c r="E286" s="84" t="s">
        <v>61</v>
      </c>
      <c r="F286" s="58" t="s">
        <v>32</v>
      </c>
      <c r="G286" s="49" t="s">
        <v>36</v>
      </c>
      <c r="H286" s="49" t="s">
        <v>71</v>
      </c>
      <c r="I286" s="50" t="s">
        <v>35</v>
      </c>
      <c r="J286" s="51"/>
      <c r="K286" s="86">
        <f t="shared" si="100"/>
        <v>6474.7999999999993</v>
      </c>
      <c r="L286" s="86">
        <f t="shared" si="100"/>
        <v>2.0170699999999897</v>
      </c>
      <c r="M286" s="86">
        <f t="shared" si="100"/>
        <v>6476.8170699999991</v>
      </c>
      <c r="N286" s="111"/>
    </row>
    <row r="287" spans="1:14" s="87" customFormat="1" ht="36" customHeight="1" x14ac:dyDescent="0.35">
      <c r="A287" s="82"/>
      <c r="B287" s="400" t="s">
        <v>353</v>
      </c>
      <c r="C287" s="83" t="s">
        <v>330</v>
      </c>
      <c r="D287" s="84" t="s">
        <v>28</v>
      </c>
      <c r="E287" s="84" t="s">
        <v>61</v>
      </c>
      <c r="F287" s="58" t="s">
        <v>32</v>
      </c>
      <c r="G287" s="49" t="s">
        <v>36</v>
      </c>
      <c r="H287" s="49" t="s">
        <v>71</v>
      </c>
      <c r="I287" s="50" t="s">
        <v>81</v>
      </c>
      <c r="J287" s="51"/>
      <c r="K287" s="194">
        <f>K288+K289</f>
        <v>6474.7999999999993</v>
      </c>
      <c r="L287" s="194">
        <f t="shared" ref="L287" si="101">L288+L289</f>
        <v>2.0170699999999897</v>
      </c>
      <c r="M287" s="194">
        <f>M288+M289</f>
        <v>6476.8170699999991</v>
      </c>
      <c r="N287" s="111"/>
    </row>
    <row r="288" spans="1:14" s="87" customFormat="1" ht="108" customHeight="1" x14ac:dyDescent="0.35">
      <c r="A288" s="82"/>
      <c r="B288" s="403" t="s">
        <v>40</v>
      </c>
      <c r="C288" s="83" t="s">
        <v>330</v>
      </c>
      <c r="D288" s="84" t="s">
        <v>28</v>
      </c>
      <c r="E288" s="84" t="s">
        <v>61</v>
      </c>
      <c r="F288" s="58" t="s">
        <v>32</v>
      </c>
      <c r="G288" s="49" t="s">
        <v>36</v>
      </c>
      <c r="H288" s="49" t="s">
        <v>71</v>
      </c>
      <c r="I288" s="50" t="s">
        <v>81</v>
      </c>
      <c r="J288" s="51" t="s">
        <v>41</v>
      </c>
      <c r="K288" s="186">
        <f>5957.9+14.2</f>
        <v>5972.0999999999995</v>
      </c>
      <c r="L288" s="24">
        <f>M288-K288</f>
        <v>0</v>
      </c>
      <c r="M288" s="186">
        <f>5957.9+14.2</f>
        <v>5972.0999999999995</v>
      </c>
      <c r="N288" s="111"/>
    </row>
    <row r="289" spans="1:14" s="87" customFormat="1" ht="54" customHeight="1" x14ac:dyDescent="0.35">
      <c r="A289" s="82"/>
      <c r="B289" s="411" t="s">
        <v>45</v>
      </c>
      <c r="C289" s="83" t="s">
        <v>330</v>
      </c>
      <c r="D289" s="84" t="s">
        <v>28</v>
      </c>
      <c r="E289" s="84" t="s">
        <v>61</v>
      </c>
      <c r="F289" s="58" t="s">
        <v>32</v>
      </c>
      <c r="G289" s="49" t="s">
        <v>36</v>
      </c>
      <c r="H289" s="49" t="s">
        <v>71</v>
      </c>
      <c r="I289" s="50" t="s">
        <v>81</v>
      </c>
      <c r="J289" s="51" t="s">
        <v>46</v>
      </c>
      <c r="K289" s="186">
        <v>502.7</v>
      </c>
      <c r="L289" s="24">
        <f>M289-K289</f>
        <v>2.0170699999999897</v>
      </c>
      <c r="M289" s="186">
        <f>502.7+2.01707</f>
        <v>504.71706999999998</v>
      </c>
      <c r="N289" s="111"/>
    </row>
    <row r="290" spans="1:14" s="87" customFormat="1" ht="18" customHeight="1" x14ac:dyDescent="0.35">
      <c r="A290" s="82"/>
      <c r="B290" s="411" t="s">
        <v>82</v>
      </c>
      <c r="C290" s="83" t="s">
        <v>330</v>
      </c>
      <c r="D290" s="84" t="s">
        <v>42</v>
      </c>
      <c r="E290" s="84"/>
      <c r="F290" s="58"/>
      <c r="G290" s="49"/>
      <c r="H290" s="49"/>
      <c r="I290" s="50"/>
      <c r="J290" s="51"/>
      <c r="K290" s="187">
        <f t="shared" ref="K290:M295" si="102">K291</f>
        <v>1191.8</v>
      </c>
      <c r="L290" s="187">
        <f t="shared" si="102"/>
        <v>11.2</v>
      </c>
      <c r="M290" s="187">
        <f t="shared" si="102"/>
        <v>1203</v>
      </c>
      <c r="N290" s="111"/>
    </row>
    <row r="291" spans="1:14" s="87" customFormat="1" ht="36" customHeight="1" x14ac:dyDescent="0.35">
      <c r="A291" s="82"/>
      <c r="B291" s="420" t="s">
        <v>96</v>
      </c>
      <c r="C291" s="83" t="s">
        <v>330</v>
      </c>
      <c r="D291" s="84" t="s">
        <v>42</v>
      </c>
      <c r="E291" s="84" t="s">
        <v>90</v>
      </c>
      <c r="F291" s="58"/>
      <c r="G291" s="49"/>
      <c r="H291" s="49"/>
      <c r="I291" s="50"/>
      <c r="J291" s="51"/>
      <c r="K291" s="86">
        <f t="shared" si="102"/>
        <v>1191.8</v>
      </c>
      <c r="L291" s="86">
        <f t="shared" si="102"/>
        <v>11.2</v>
      </c>
      <c r="M291" s="86">
        <f t="shared" si="102"/>
        <v>1203</v>
      </c>
      <c r="N291" s="111"/>
    </row>
    <row r="292" spans="1:14" s="87" customFormat="1" ht="54" customHeight="1" x14ac:dyDescent="0.35">
      <c r="A292" s="82"/>
      <c r="B292" s="403" t="s">
        <v>189</v>
      </c>
      <c r="C292" s="83" t="s">
        <v>330</v>
      </c>
      <c r="D292" s="84" t="s">
        <v>42</v>
      </c>
      <c r="E292" s="84" t="s">
        <v>90</v>
      </c>
      <c r="F292" s="58" t="s">
        <v>190</v>
      </c>
      <c r="G292" s="49" t="s">
        <v>33</v>
      </c>
      <c r="H292" s="49" t="s">
        <v>34</v>
      </c>
      <c r="I292" s="50" t="s">
        <v>35</v>
      </c>
      <c r="J292" s="51"/>
      <c r="K292" s="86">
        <f>K293</f>
        <v>1191.8</v>
      </c>
      <c r="L292" s="86">
        <f>L293+L297</f>
        <v>11.2</v>
      </c>
      <c r="M292" s="86">
        <f>M293+M297</f>
        <v>1203</v>
      </c>
      <c r="N292" s="111"/>
    </row>
    <row r="293" spans="1:14" s="87" customFormat="1" ht="36" customHeight="1" x14ac:dyDescent="0.35">
      <c r="A293" s="82"/>
      <c r="B293" s="403" t="s">
        <v>191</v>
      </c>
      <c r="C293" s="83" t="s">
        <v>330</v>
      </c>
      <c r="D293" s="84" t="s">
        <v>42</v>
      </c>
      <c r="E293" s="84" t="s">
        <v>90</v>
      </c>
      <c r="F293" s="58" t="s">
        <v>190</v>
      </c>
      <c r="G293" s="49" t="s">
        <v>36</v>
      </c>
      <c r="H293" s="49" t="s">
        <v>34</v>
      </c>
      <c r="I293" s="50" t="s">
        <v>35</v>
      </c>
      <c r="J293" s="51"/>
      <c r="K293" s="86">
        <f t="shared" si="102"/>
        <v>1191.8</v>
      </c>
      <c r="L293" s="86">
        <f t="shared" si="102"/>
        <v>0</v>
      </c>
      <c r="M293" s="86">
        <f t="shared" si="102"/>
        <v>1191.8</v>
      </c>
      <c r="N293" s="111"/>
    </row>
    <row r="294" spans="1:14" s="87" customFormat="1" ht="90" customHeight="1" x14ac:dyDescent="0.35">
      <c r="A294" s="82"/>
      <c r="B294" s="403" t="s">
        <v>254</v>
      </c>
      <c r="C294" s="83" t="s">
        <v>330</v>
      </c>
      <c r="D294" s="84" t="s">
        <v>42</v>
      </c>
      <c r="E294" s="84" t="s">
        <v>90</v>
      </c>
      <c r="F294" s="58" t="s">
        <v>190</v>
      </c>
      <c r="G294" s="49" t="s">
        <v>36</v>
      </c>
      <c r="H294" s="49" t="s">
        <v>28</v>
      </c>
      <c r="I294" s="50" t="s">
        <v>35</v>
      </c>
      <c r="J294" s="51"/>
      <c r="K294" s="86">
        <f t="shared" si="102"/>
        <v>1191.8</v>
      </c>
      <c r="L294" s="86">
        <f t="shared" si="102"/>
        <v>0</v>
      </c>
      <c r="M294" s="86">
        <f t="shared" si="102"/>
        <v>1191.8</v>
      </c>
      <c r="N294" s="111"/>
    </row>
    <row r="295" spans="1:14" s="87" customFormat="1" ht="36" customHeight="1" x14ac:dyDescent="0.35">
      <c r="A295" s="82"/>
      <c r="B295" s="374" t="s">
        <v>310</v>
      </c>
      <c r="C295" s="83" t="s">
        <v>330</v>
      </c>
      <c r="D295" s="84" t="s">
        <v>42</v>
      </c>
      <c r="E295" s="84" t="s">
        <v>90</v>
      </c>
      <c r="F295" s="58" t="s">
        <v>190</v>
      </c>
      <c r="G295" s="49" t="s">
        <v>36</v>
      </c>
      <c r="H295" s="49" t="s">
        <v>28</v>
      </c>
      <c r="I295" s="50" t="s">
        <v>309</v>
      </c>
      <c r="J295" s="351"/>
      <c r="K295" s="86">
        <f t="shared" si="102"/>
        <v>1191.8</v>
      </c>
      <c r="L295" s="86">
        <f t="shared" si="102"/>
        <v>0</v>
      </c>
      <c r="M295" s="86">
        <f t="shared" si="102"/>
        <v>1191.8</v>
      </c>
      <c r="N295" s="111"/>
    </row>
    <row r="296" spans="1:14" s="87" customFormat="1" ht="54" customHeight="1" x14ac:dyDescent="0.35">
      <c r="A296" s="464"/>
      <c r="B296" s="458" t="s">
        <v>45</v>
      </c>
      <c r="C296" s="472" t="s">
        <v>330</v>
      </c>
      <c r="D296" s="84" t="s">
        <v>42</v>
      </c>
      <c r="E296" s="84" t="s">
        <v>90</v>
      </c>
      <c r="F296" s="58" t="s">
        <v>190</v>
      </c>
      <c r="G296" s="49" t="s">
        <v>36</v>
      </c>
      <c r="H296" s="49" t="s">
        <v>28</v>
      </c>
      <c r="I296" s="49" t="s">
        <v>309</v>
      </c>
      <c r="J296" s="466" t="s">
        <v>46</v>
      </c>
      <c r="K296" s="189">
        <v>1191.8</v>
      </c>
      <c r="L296" s="24">
        <f>M296-K296</f>
        <v>0</v>
      </c>
      <c r="M296" s="189">
        <v>1191.8</v>
      </c>
      <c r="N296" s="111"/>
    </row>
    <row r="297" spans="1:14" s="87" customFormat="1" ht="36" x14ac:dyDescent="0.35">
      <c r="A297" s="464"/>
      <c r="B297" s="409" t="s">
        <v>287</v>
      </c>
      <c r="C297" s="541" t="s">
        <v>330</v>
      </c>
      <c r="D297" s="84" t="s">
        <v>42</v>
      </c>
      <c r="E297" s="84" t="s">
        <v>90</v>
      </c>
      <c r="F297" s="58" t="s">
        <v>190</v>
      </c>
      <c r="G297" s="59" t="s">
        <v>21</v>
      </c>
      <c r="H297" s="59" t="s">
        <v>34</v>
      </c>
      <c r="I297" s="60" t="s">
        <v>35</v>
      </c>
      <c r="J297" s="542"/>
      <c r="K297" s="543"/>
      <c r="L297" s="24">
        <f t="shared" ref="L297:M299" si="103">L298</f>
        <v>11.2</v>
      </c>
      <c r="M297" s="189">
        <f t="shared" si="103"/>
        <v>11.2</v>
      </c>
      <c r="N297" s="111"/>
    </row>
    <row r="298" spans="1:14" s="87" customFormat="1" ht="36" x14ac:dyDescent="0.35">
      <c r="A298" s="464"/>
      <c r="B298" s="409" t="s">
        <v>312</v>
      </c>
      <c r="C298" s="544" t="s">
        <v>330</v>
      </c>
      <c r="D298" s="84" t="s">
        <v>42</v>
      </c>
      <c r="E298" s="84" t="s">
        <v>90</v>
      </c>
      <c r="F298" s="336" t="s">
        <v>190</v>
      </c>
      <c r="G298" s="337" t="s">
        <v>21</v>
      </c>
      <c r="H298" s="337" t="s">
        <v>190</v>
      </c>
      <c r="I298" s="338" t="s">
        <v>35</v>
      </c>
      <c r="J298" s="542"/>
      <c r="K298" s="543"/>
      <c r="L298" s="24">
        <f t="shared" si="103"/>
        <v>11.2</v>
      </c>
      <c r="M298" s="189">
        <f t="shared" si="103"/>
        <v>11.2</v>
      </c>
      <c r="N298" s="111"/>
    </row>
    <row r="299" spans="1:14" s="87" customFormat="1" ht="36" x14ac:dyDescent="0.35">
      <c r="A299" s="82"/>
      <c r="B299" s="545" t="s">
        <v>285</v>
      </c>
      <c r="C299" s="113" t="s">
        <v>330</v>
      </c>
      <c r="D299" s="328" t="s">
        <v>42</v>
      </c>
      <c r="E299" s="328" t="s">
        <v>90</v>
      </c>
      <c r="F299" s="329" t="s">
        <v>190</v>
      </c>
      <c r="G299" s="330" t="s">
        <v>21</v>
      </c>
      <c r="H299" s="330" t="s">
        <v>190</v>
      </c>
      <c r="I299" s="331" t="s">
        <v>284</v>
      </c>
      <c r="J299" s="332"/>
      <c r="K299" s="543"/>
      <c r="L299" s="24">
        <f t="shared" si="103"/>
        <v>11.2</v>
      </c>
      <c r="M299" s="189">
        <f t="shared" si="103"/>
        <v>11.2</v>
      </c>
      <c r="N299" s="111"/>
    </row>
    <row r="300" spans="1:14" s="87" customFormat="1" ht="54" x14ac:dyDescent="0.35">
      <c r="A300" s="82"/>
      <c r="B300" s="458" t="s">
        <v>45</v>
      </c>
      <c r="C300" s="226" t="s">
        <v>330</v>
      </c>
      <c r="D300" s="485" t="s">
        <v>42</v>
      </c>
      <c r="E300" s="328" t="s">
        <v>90</v>
      </c>
      <c r="F300" s="329" t="s">
        <v>190</v>
      </c>
      <c r="G300" s="330" t="s">
        <v>21</v>
      </c>
      <c r="H300" s="330" t="s">
        <v>190</v>
      </c>
      <c r="I300" s="331" t="s">
        <v>284</v>
      </c>
      <c r="J300" s="332" t="s">
        <v>46</v>
      </c>
      <c r="K300" s="189"/>
      <c r="L300" s="24">
        <f>M300-K300</f>
        <v>11.2</v>
      </c>
      <c r="M300" s="189">
        <v>11.2</v>
      </c>
      <c r="N300" s="111"/>
    </row>
    <row r="301" spans="1:14" s="87" customFormat="1" ht="18" customHeight="1" x14ac:dyDescent="0.35">
      <c r="A301" s="82"/>
      <c r="B301" s="473" t="s">
        <v>142</v>
      </c>
      <c r="C301" s="83" t="s">
        <v>330</v>
      </c>
      <c r="D301" s="84" t="s">
        <v>55</v>
      </c>
      <c r="E301" s="84"/>
      <c r="F301" s="48"/>
      <c r="G301" s="49"/>
      <c r="H301" s="49"/>
      <c r="I301" s="69"/>
      <c r="J301" s="434"/>
      <c r="K301" s="86">
        <f t="shared" ref="K301:M304" si="104">K302</f>
        <v>97055</v>
      </c>
      <c r="L301" s="86">
        <f t="shared" si="104"/>
        <v>0</v>
      </c>
      <c r="M301" s="86">
        <f t="shared" si="104"/>
        <v>97055</v>
      </c>
      <c r="N301" s="111"/>
    </row>
    <row r="302" spans="1:14" s="87" customFormat="1" ht="18" customHeight="1" x14ac:dyDescent="0.35">
      <c r="A302" s="82"/>
      <c r="B302" s="403" t="s">
        <v>281</v>
      </c>
      <c r="C302" s="83" t="s">
        <v>330</v>
      </c>
      <c r="D302" s="84" t="s">
        <v>55</v>
      </c>
      <c r="E302" s="84" t="s">
        <v>30</v>
      </c>
      <c r="F302" s="48"/>
      <c r="G302" s="49"/>
      <c r="H302" s="49"/>
      <c r="I302" s="69"/>
      <c r="J302" s="51"/>
      <c r="K302" s="86">
        <f t="shared" ref="K302:M303" si="105">K303</f>
        <v>97055</v>
      </c>
      <c r="L302" s="86">
        <f t="shared" si="105"/>
        <v>0</v>
      </c>
      <c r="M302" s="86">
        <f t="shared" si="105"/>
        <v>97055</v>
      </c>
      <c r="N302" s="111"/>
    </row>
    <row r="303" spans="1:14" s="87" customFormat="1" ht="72" customHeight="1" x14ac:dyDescent="0.35">
      <c r="A303" s="82"/>
      <c r="B303" s="421" t="s">
        <v>280</v>
      </c>
      <c r="C303" s="83" t="s">
        <v>330</v>
      </c>
      <c r="D303" s="84" t="s">
        <v>55</v>
      </c>
      <c r="E303" s="84" t="s">
        <v>30</v>
      </c>
      <c r="F303" s="48" t="s">
        <v>94</v>
      </c>
      <c r="G303" s="49" t="s">
        <v>33</v>
      </c>
      <c r="H303" s="49" t="s">
        <v>34</v>
      </c>
      <c r="I303" s="69" t="s">
        <v>35</v>
      </c>
      <c r="J303" s="51"/>
      <c r="K303" s="86">
        <f t="shared" si="105"/>
        <v>97055</v>
      </c>
      <c r="L303" s="86">
        <f t="shared" si="105"/>
        <v>0</v>
      </c>
      <c r="M303" s="86">
        <f t="shared" si="105"/>
        <v>97055</v>
      </c>
      <c r="N303" s="111"/>
    </row>
    <row r="304" spans="1:14" s="87" customFormat="1" ht="54" customHeight="1" x14ac:dyDescent="0.35">
      <c r="A304" s="82"/>
      <c r="B304" s="411" t="s">
        <v>282</v>
      </c>
      <c r="C304" s="83" t="s">
        <v>330</v>
      </c>
      <c r="D304" s="84" t="s">
        <v>55</v>
      </c>
      <c r="E304" s="84" t="s">
        <v>30</v>
      </c>
      <c r="F304" s="48" t="s">
        <v>94</v>
      </c>
      <c r="G304" s="49" t="s">
        <v>36</v>
      </c>
      <c r="H304" s="49" t="s">
        <v>34</v>
      </c>
      <c r="I304" s="69" t="s">
        <v>35</v>
      </c>
      <c r="J304" s="51"/>
      <c r="K304" s="86">
        <f t="shared" si="104"/>
        <v>97055</v>
      </c>
      <c r="L304" s="86">
        <f t="shared" si="104"/>
        <v>0</v>
      </c>
      <c r="M304" s="86">
        <f t="shared" si="104"/>
        <v>97055</v>
      </c>
      <c r="N304" s="111"/>
    </row>
    <row r="305" spans="1:14" s="87" customFormat="1" ht="54" customHeight="1" x14ac:dyDescent="0.35">
      <c r="A305" s="82"/>
      <c r="B305" s="411" t="s">
        <v>311</v>
      </c>
      <c r="C305" s="83" t="s">
        <v>330</v>
      </c>
      <c r="D305" s="84" t="s">
        <v>55</v>
      </c>
      <c r="E305" s="84" t="s">
        <v>30</v>
      </c>
      <c r="F305" s="48" t="s">
        <v>94</v>
      </c>
      <c r="G305" s="49" t="s">
        <v>36</v>
      </c>
      <c r="H305" s="49" t="s">
        <v>28</v>
      </c>
      <c r="I305" s="69" t="s">
        <v>35</v>
      </c>
      <c r="J305" s="51"/>
      <c r="K305" s="86">
        <f t="shared" ref="K305:M306" si="106">K306</f>
        <v>97055</v>
      </c>
      <c r="L305" s="86">
        <f t="shared" si="106"/>
        <v>0</v>
      </c>
      <c r="M305" s="86">
        <f t="shared" si="106"/>
        <v>97055</v>
      </c>
      <c r="N305" s="111"/>
    </row>
    <row r="306" spans="1:14" s="87" customFormat="1" ht="72" customHeight="1" x14ac:dyDescent="0.35">
      <c r="A306" s="82"/>
      <c r="B306" s="411" t="s">
        <v>366</v>
      </c>
      <c r="C306" s="83" t="s">
        <v>330</v>
      </c>
      <c r="D306" s="84" t="s">
        <v>55</v>
      </c>
      <c r="E306" s="84" t="s">
        <v>30</v>
      </c>
      <c r="F306" s="48" t="s">
        <v>94</v>
      </c>
      <c r="G306" s="49" t="s">
        <v>36</v>
      </c>
      <c r="H306" s="49" t="s">
        <v>28</v>
      </c>
      <c r="I306" s="69" t="s">
        <v>331</v>
      </c>
      <c r="J306" s="51"/>
      <c r="K306" s="86">
        <f t="shared" si="106"/>
        <v>97055</v>
      </c>
      <c r="L306" s="86">
        <f t="shared" si="106"/>
        <v>0</v>
      </c>
      <c r="M306" s="86">
        <f t="shared" si="106"/>
        <v>97055</v>
      </c>
      <c r="N306" s="111"/>
    </row>
    <row r="307" spans="1:14" s="87" customFormat="1" ht="54" customHeight="1" x14ac:dyDescent="0.35">
      <c r="A307" s="82"/>
      <c r="B307" s="411" t="s">
        <v>168</v>
      </c>
      <c r="C307" s="83" t="s">
        <v>330</v>
      </c>
      <c r="D307" s="84" t="s">
        <v>55</v>
      </c>
      <c r="E307" s="84" t="s">
        <v>30</v>
      </c>
      <c r="F307" s="48" t="s">
        <v>94</v>
      </c>
      <c r="G307" s="49" t="s">
        <v>36</v>
      </c>
      <c r="H307" s="49" t="s">
        <v>28</v>
      </c>
      <c r="I307" s="69" t="s">
        <v>331</v>
      </c>
      <c r="J307" s="51" t="s">
        <v>169</v>
      </c>
      <c r="K307" s="86">
        <f>92202.2+4852.8</f>
        <v>97055</v>
      </c>
      <c r="L307" s="24">
        <f>M307-K307</f>
        <v>0</v>
      </c>
      <c r="M307" s="86">
        <f>92202.2+4852.8</f>
        <v>97055</v>
      </c>
      <c r="N307" s="111"/>
    </row>
    <row r="308" spans="1:14" s="87" customFormat="1" ht="18" customHeight="1" x14ac:dyDescent="0.35">
      <c r="A308" s="82"/>
      <c r="B308" s="422" t="s">
        <v>144</v>
      </c>
      <c r="C308" s="83" t="s">
        <v>330</v>
      </c>
      <c r="D308" s="84" t="s">
        <v>188</v>
      </c>
      <c r="E308" s="84"/>
      <c r="F308" s="48"/>
      <c r="G308" s="49"/>
      <c r="H308" s="49"/>
      <c r="I308" s="69"/>
      <c r="J308" s="51"/>
      <c r="K308" s="86">
        <f>K309+K315</f>
        <v>34497</v>
      </c>
      <c r="L308" s="86">
        <f t="shared" ref="L308" si="107">L309+L315</f>
        <v>0</v>
      </c>
      <c r="M308" s="86">
        <f>M309+M315</f>
        <v>34497</v>
      </c>
      <c r="N308" s="111"/>
    </row>
    <row r="309" spans="1:14" s="87" customFormat="1" ht="18" customHeight="1" x14ac:dyDescent="0.35">
      <c r="A309" s="82"/>
      <c r="B309" s="422" t="s">
        <v>148</v>
      </c>
      <c r="C309" s="83" t="s">
        <v>330</v>
      </c>
      <c r="D309" s="84" t="s">
        <v>188</v>
      </c>
      <c r="E309" s="84" t="s">
        <v>30</v>
      </c>
      <c r="F309" s="48"/>
      <c r="G309" s="49"/>
      <c r="H309" s="49"/>
      <c r="I309" s="69"/>
      <c r="J309" s="51"/>
      <c r="K309" s="86">
        <f t="shared" ref="K309:M313" si="108">K310</f>
        <v>34464.199999999997</v>
      </c>
      <c r="L309" s="86">
        <f t="shared" si="108"/>
        <v>0</v>
      </c>
      <c r="M309" s="86">
        <f t="shared" si="108"/>
        <v>34464.199999999997</v>
      </c>
      <c r="N309" s="111"/>
    </row>
    <row r="310" spans="1:14" s="87" customFormat="1" ht="54" customHeight="1" x14ac:dyDescent="0.35">
      <c r="A310" s="82"/>
      <c r="B310" s="422" t="s">
        <v>170</v>
      </c>
      <c r="C310" s="83" t="s">
        <v>330</v>
      </c>
      <c r="D310" s="84" t="s">
        <v>188</v>
      </c>
      <c r="E310" s="84" t="s">
        <v>30</v>
      </c>
      <c r="F310" s="48" t="s">
        <v>30</v>
      </c>
      <c r="G310" s="49" t="s">
        <v>33</v>
      </c>
      <c r="H310" s="49" t="s">
        <v>34</v>
      </c>
      <c r="I310" s="50" t="s">
        <v>35</v>
      </c>
      <c r="J310" s="51"/>
      <c r="K310" s="86">
        <f t="shared" si="108"/>
        <v>34464.199999999997</v>
      </c>
      <c r="L310" s="86">
        <f t="shared" si="108"/>
        <v>0</v>
      </c>
      <c r="M310" s="86">
        <f t="shared" si="108"/>
        <v>34464.199999999997</v>
      </c>
      <c r="N310" s="111"/>
    </row>
    <row r="311" spans="1:14" s="87" customFormat="1" ht="36" customHeight="1" x14ac:dyDescent="0.35">
      <c r="A311" s="82"/>
      <c r="B311" s="422" t="s">
        <v>171</v>
      </c>
      <c r="C311" s="83" t="s">
        <v>330</v>
      </c>
      <c r="D311" s="84" t="s">
        <v>188</v>
      </c>
      <c r="E311" s="84" t="s">
        <v>30</v>
      </c>
      <c r="F311" s="48" t="s">
        <v>30</v>
      </c>
      <c r="G311" s="49" t="s">
        <v>36</v>
      </c>
      <c r="H311" s="49" t="s">
        <v>34</v>
      </c>
      <c r="I311" s="50" t="s">
        <v>35</v>
      </c>
      <c r="J311" s="51"/>
      <c r="K311" s="86">
        <f t="shared" si="108"/>
        <v>34464.199999999997</v>
      </c>
      <c r="L311" s="86">
        <f t="shared" si="108"/>
        <v>0</v>
      </c>
      <c r="M311" s="86">
        <f t="shared" si="108"/>
        <v>34464.199999999997</v>
      </c>
      <c r="N311" s="111"/>
    </row>
    <row r="312" spans="1:14" s="87" customFormat="1" ht="18" customHeight="1" x14ac:dyDescent="0.35">
      <c r="A312" s="82"/>
      <c r="B312" s="422" t="s">
        <v>229</v>
      </c>
      <c r="C312" s="83" t="s">
        <v>330</v>
      </c>
      <c r="D312" s="84" t="s">
        <v>188</v>
      </c>
      <c r="E312" s="84" t="s">
        <v>30</v>
      </c>
      <c r="F312" s="48" t="s">
        <v>30</v>
      </c>
      <c r="G312" s="49" t="s">
        <v>36</v>
      </c>
      <c r="H312" s="49" t="s">
        <v>30</v>
      </c>
      <c r="I312" s="50" t="s">
        <v>35</v>
      </c>
      <c r="J312" s="51"/>
      <c r="K312" s="86">
        <f>K313</f>
        <v>34464.199999999997</v>
      </c>
      <c r="L312" s="86">
        <f t="shared" si="108"/>
        <v>0</v>
      </c>
      <c r="M312" s="86">
        <f>M313</f>
        <v>34464.199999999997</v>
      </c>
      <c r="N312" s="111"/>
    </row>
    <row r="313" spans="1:14" s="87" customFormat="1" ht="147" customHeight="1" x14ac:dyDescent="0.35">
      <c r="A313" s="82"/>
      <c r="B313" s="439" t="s">
        <v>471</v>
      </c>
      <c r="C313" s="440" t="s">
        <v>330</v>
      </c>
      <c r="D313" s="441" t="s">
        <v>188</v>
      </c>
      <c r="E313" s="441" t="s">
        <v>30</v>
      </c>
      <c r="F313" s="263" t="s">
        <v>30</v>
      </c>
      <c r="G313" s="264" t="s">
        <v>36</v>
      </c>
      <c r="H313" s="264" t="s">
        <v>30</v>
      </c>
      <c r="I313" s="265" t="s">
        <v>367</v>
      </c>
      <c r="J313" s="307"/>
      <c r="K313" s="442">
        <f>K314</f>
        <v>34464.199999999997</v>
      </c>
      <c r="L313" s="442">
        <f t="shared" si="108"/>
        <v>0</v>
      </c>
      <c r="M313" s="442">
        <f>M314</f>
        <v>34464.199999999997</v>
      </c>
      <c r="N313" s="111"/>
    </row>
    <row r="314" spans="1:14" s="87" customFormat="1" ht="54" customHeight="1" x14ac:dyDescent="0.35">
      <c r="A314" s="82"/>
      <c r="B314" s="439" t="s">
        <v>168</v>
      </c>
      <c r="C314" s="455" t="s">
        <v>330</v>
      </c>
      <c r="D314" s="456" t="s">
        <v>188</v>
      </c>
      <c r="E314" s="456" t="s">
        <v>30</v>
      </c>
      <c r="F314" s="447" t="s">
        <v>30</v>
      </c>
      <c r="G314" s="448" t="s">
        <v>36</v>
      </c>
      <c r="H314" s="448" t="s">
        <v>30</v>
      </c>
      <c r="I314" s="449" t="s">
        <v>367</v>
      </c>
      <c r="J314" s="307" t="s">
        <v>169</v>
      </c>
      <c r="K314" s="442">
        <v>34464.199999999997</v>
      </c>
      <c r="L314" s="24">
        <f>M314-K314</f>
        <v>0</v>
      </c>
      <c r="M314" s="442">
        <v>34464.199999999997</v>
      </c>
      <c r="N314" s="111"/>
    </row>
    <row r="315" spans="1:14" s="87" customFormat="1" ht="36" customHeight="1" x14ac:dyDescent="0.35">
      <c r="A315" s="82"/>
      <c r="B315" s="368" t="s">
        <v>379</v>
      </c>
      <c r="C315" s="83" t="s">
        <v>330</v>
      </c>
      <c r="D315" s="10" t="s">
        <v>188</v>
      </c>
      <c r="E315" s="10" t="s">
        <v>55</v>
      </c>
      <c r="F315" s="48"/>
      <c r="G315" s="49"/>
      <c r="H315" s="49"/>
      <c r="I315" s="50"/>
      <c r="J315" s="51"/>
      <c r="K315" s="186">
        <f t="shared" ref="K315:M319" si="109">K316</f>
        <v>32.799999999999997</v>
      </c>
      <c r="L315" s="186">
        <f t="shared" si="109"/>
        <v>0</v>
      </c>
      <c r="M315" s="186">
        <f t="shared" si="109"/>
        <v>32.799999999999997</v>
      </c>
      <c r="N315" s="111"/>
    </row>
    <row r="316" spans="1:14" s="87" customFormat="1" ht="54" customHeight="1" x14ac:dyDescent="0.35">
      <c r="A316" s="82"/>
      <c r="B316" s="403" t="s">
        <v>189</v>
      </c>
      <c r="C316" s="83" t="s">
        <v>330</v>
      </c>
      <c r="D316" s="10" t="s">
        <v>188</v>
      </c>
      <c r="E316" s="10" t="s">
        <v>55</v>
      </c>
      <c r="F316" s="58" t="s">
        <v>190</v>
      </c>
      <c r="G316" s="49" t="s">
        <v>33</v>
      </c>
      <c r="H316" s="49" t="s">
        <v>34</v>
      </c>
      <c r="I316" s="50" t="s">
        <v>35</v>
      </c>
      <c r="J316" s="51"/>
      <c r="K316" s="186">
        <f t="shared" si="109"/>
        <v>32.799999999999997</v>
      </c>
      <c r="L316" s="186">
        <f t="shared" si="109"/>
        <v>0</v>
      </c>
      <c r="M316" s="186">
        <f t="shared" si="109"/>
        <v>32.799999999999997</v>
      </c>
      <c r="N316" s="111"/>
    </row>
    <row r="317" spans="1:14" s="87" customFormat="1" ht="36" customHeight="1" x14ac:dyDescent="0.35">
      <c r="A317" s="82"/>
      <c r="B317" s="422" t="s">
        <v>193</v>
      </c>
      <c r="C317" s="83" t="s">
        <v>330</v>
      </c>
      <c r="D317" s="10" t="s">
        <v>188</v>
      </c>
      <c r="E317" s="10" t="s">
        <v>55</v>
      </c>
      <c r="F317" s="58" t="s">
        <v>190</v>
      </c>
      <c r="G317" s="49" t="s">
        <v>79</v>
      </c>
      <c r="H317" s="49" t="s">
        <v>34</v>
      </c>
      <c r="I317" s="50" t="s">
        <v>35</v>
      </c>
      <c r="J317" s="51"/>
      <c r="K317" s="186">
        <f t="shared" si="109"/>
        <v>32.799999999999997</v>
      </c>
      <c r="L317" s="186">
        <f t="shared" si="109"/>
        <v>0</v>
      </c>
      <c r="M317" s="186">
        <f t="shared" si="109"/>
        <v>32.799999999999997</v>
      </c>
      <c r="N317" s="111"/>
    </row>
    <row r="318" spans="1:14" s="87" customFormat="1" ht="72" customHeight="1" x14ac:dyDescent="0.35">
      <c r="A318" s="82"/>
      <c r="B318" s="422" t="s">
        <v>258</v>
      </c>
      <c r="C318" s="83" t="s">
        <v>330</v>
      </c>
      <c r="D318" s="10" t="s">
        <v>188</v>
      </c>
      <c r="E318" s="10" t="s">
        <v>55</v>
      </c>
      <c r="F318" s="58" t="s">
        <v>190</v>
      </c>
      <c r="G318" s="49" t="s">
        <v>79</v>
      </c>
      <c r="H318" s="49" t="s">
        <v>28</v>
      </c>
      <c r="I318" s="50" t="s">
        <v>35</v>
      </c>
      <c r="J318" s="51"/>
      <c r="K318" s="186">
        <f t="shared" si="109"/>
        <v>32.799999999999997</v>
      </c>
      <c r="L318" s="186">
        <f t="shared" si="109"/>
        <v>0</v>
      </c>
      <c r="M318" s="186">
        <f t="shared" si="109"/>
        <v>32.799999999999997</v>
      </c>
      <c r="N318" s="111"/>
    </row>
    <row r="319" spans="1:14" s="87" customFormat="1" ht="36" customHeight="1" x14ac:dyDescent="0.35">
      <c r="A319" s="82"/>
      <c r="B319" s="368" t="s">
        <v>381</v>
      </c>
      <c r="C319" s="83" t="s">
        <v>330</v>
      </c>
      <c r="D319" s="10" t="s">
        <v>188</v>
      </c>
      <c r="E319" s="10" t="s">
        <v>55</v>
      </c>
      <c r="F319" s="58" t="s">
        <v>190</v>
      </c>
      <c r="G319" s="49" t="s">
        <v>79</v>
      </c>
      <c r="H319" s="49" t="s">
        <v>28</v>
      </c>
      <c r="I319" s="50" t="s">
        <v>380</v>
      </c>
      <c r="J319" s="51"/>
      <c r="K319" s="186">
        <f t="shared" si="109"/>
        <v>32.799999999999997</v>
      </c>
      <c r="L319" s="186">
        <f t="shared" si="109"/>
        <v>0</v>
      </c>
      <c r="M319" s="186">
        <f t="shared" si="109"/>
        <v>32.799999999999997</v>
      </c>
      <c r="N319" s="111"/>
    </row>
    <row r="320" spans="1:14" s="87" customFormat="1" ht="54" customHeight="1" x14ac:dyDescent="0.35">
      <c r="A320" s="82"/>
      <c r="B320" s="368" t="s">
        <v>45</v>
      </c>
      <c r="C320" s="83" t="s">
        <v>330</v>
      </c>
      <c r="D320" s="10" t="s">
        <v>188</v>
      </c>
      <c r="E320" s="10" t="s">
        <v>55</v>
      </c>
      <c r="F320" s="58" t="s">
        <v>190</v>
      </c>
      <c r="G320" s="49" t="s">
        <v>79</v>
      </c>
      <c r="H320" s="49" t="s">
        <v>28</v>
      </c>
      <c r="I320" s="50" t="s">
        <v>380</v>
      </c>
      <c r="J320" s="51" t="s">
        <v>46</v>
      </c>
      <c r="K320" s="315">
        <v>32.799999999999997</v>
      </c>
      <c r="L320" s="24">
        <f>M320-K320</f>
        <v>0</v>
      </c>
      <c r="M320" s="315">
        <v>32.799999999999997</v>
      </c>
      <c r="N320" s="111"/>
    </row>
    <row r="321" spans="1:14" s="95" customFormat="1" ht="18" customHeight="1" x14ac:dyDescent="0.35">
      <c r="A321" s="93"/>
      <c r="B321" s="423" t="s">
        <v>109</v>
      </c>
      <c r="C321" s="94" t="s">
        <v>330</v>
      </c>
      <c r="D321" s="68" t="s">
        <v>94</v>
      </c>
      <c r="E321" s="84"/>
      <c r="F321" s="65"/>
      <c r="G321" s="66"/>
      <c r="H321" s="66"/>
      <c r="I321" s="67"/>
      <c r="J321" s="68"/>
      <c r="K321" s="124">
        <f t="shared" ref="K321:M322" si="110">K322</f>
        <v>61866.874739999999</v>
      </c>
      <c r="L321" s="124">
        <f t="shared" si="110"/>
        <v>0</v>
      </c>
      <c r="M321" s="124">
        <f t="shared" si="110"/>
        <v>61866.874739999999</v>
      </c>
    </row>
    <row r="322" spans="1:14" s="95" customFormat="1" ht="18" customHeight="1" x14ac:dyDescent="0.35">
      <c r="A322" s="93"/>
      <c r="B322" s="411" t="s">
        <v>158</v>
      </c>
      <c r="C322" s="94" t="s">
        <v>330</v>
      </c>
      <c r="D322" s="68" t="s">
        <v>94</v>
      </c>
      <c r="E322" s="68" t="s">
        <v>42</v>
      </c>
      <c r="F322" s="65"/>
      <c r="G322" s="66"/>
      <c r="H322" s="66"/>
      <c r="I322" s="67"/>
      <c r="J322" s="68"/>
      <c r="K322" s="124">
        <f t="shared" si="110"/>
        <v>61866.874739999999</v>
      </c>
      <c r="L322" s="124">
        <f t="shared" si="110"/>
        <v>0</v>
      </c>
      <c r="M322" s="124">
        <f t="shared" si="110"/>
        <v>61866.874739999999</v>
      </c>
    </row>
    <row r="323" spans="1:14" s="95" customFormat="1" ht="54" customHeight="1" x14ac:dyDescent="0.35">
      <c r="A323" s="93"/>
      <c r="B323" s="419" t="s">
        <v>194</v>
      </c>
      <c r="C323" s="94" t="s">
        <v>330</v>
      </c>
      <c r="D323" s="68" t="s">
        <v>94</v>
      </c>
      <c r="E323" s="68" t="s">
        <v>42</v>
      </c>
      <c r="F323" s="65" t="s">
        <v>69</v>
      </c>
      <c r="G323" s="66" t="s">
        <v>33</v>
      </c>
      <c r="H323" s="66" t="s">
        <v>34</v>
      </c>
      <c r="I323" s="67" t="s">
        <v>35</v>
      </c>
      <c r="J323" s="68"/>
      <c r="K323" s="124">
        <f t="shared" ref="K323:M324" si="111">K324</f>
        <v>61866.874739999999</v>
      </c>
      <c r="L323" s="124">
        <f t="shared" si="111"/>
        <v>0</v>
      </c>
      <c r="M323" s="124">
        <f t="shared" si="111"/>
        <v>61866.874739999999</v>
      </c>
    </row>
    <row r="324" spans="1:14" s="95" customFormat="1" ht="36" customHeight="1" x14ac:dyDescent="0.35">
      <c r="A324" s="93"/>
      <c r="B324" s="411" t="s">
        <v>287</v>
      </c>
      <c r="C324" s="94" t="s">
        <v>330</v>
      </c>
      <c r="D324" s="68" t="s">
        <v>94</v>
      </c>
      <c r="E324" s="68" t="s">
        <v>42</v>
      </c>
      <c r="F324" s="65" t="s">
        <v>69</v>
      </c>
      <c r="G324" s="66" t="s">
        <v>36</v>
      </c>
      <c r="H324" s="66" t="s">
        <v>34</v>
      </c>
      <c r="I324" s="67" t="s">
        <v>35</v>
      </c>
      <c r="J324" s="68"/>
      <c r="K324" s="124">
        <f t="shared" si="111"/>
        <v>61866.874739999999</v>
      </c>
      <c r="L324" s="124">
        <f t="shared" si="111"/>
        <v>0</v>
      </c>
      <c r="M324" s="124">
        <f t="shared" si="111"/>
        <v>61866.874739999999</v>
      </c>
    </row>
    <row r="325" spans="1:14" s="96" customFormat="1" ht="90" customHeight="1" x14ac:dyDescent="0.35">
      <c r="A325" s="93"/>
      <c r="B325" s="411" t="s">
        <v>257</v>
      </c>
      <c r="C325" s="94" t="s">
        <v>330</v>
      </c>
      <c r="D325" s="68" t="s">
        <v>94</v>
      </c>
      <c r="E325" s="68" t="s">
        <v>42</v>
      </c>
      <c r="F325" s="65" t="s">
        <v>69</v>
      </c>
      <c r="G325" s="66" t="s">
        <v>36</v>
      </c>
      <c r="H325" s="66" t="s">
        <v>30</v>
      </c>
      <c r="I325" s="67" t="s">
        <v>35</v>
      </c>
      <c r="J325" s="68"/>
      <c r="K325" s="124">
        <f>K326+K328</f>
        <v>61866.874739999999</v>
      </c>
      <c r="L325" s="124">
        <f t="shared" ref="L325" si="112">L326+L328</f>
        <v>0</v>
      </c>
      <c r="M325" s="124">
        <f>M326+M328</f>
        <v>61866.874739999999</v>
      </c>
    </row>
    <row r="326" spans="1:14" s="87" customFormat="1" ht="108" customHeight="1" x14ac:dyDescent="0.35">
      <c r="A326" s="82"/>
      <c r="B326" s="403" t="s">
        <v>332</v>
      </c>
      <c r="C326" s="83" t="s">
        <v>330</v>
      </c>
      <c r="D326" s="84" t="s">
        <v>94</v>
      </c>
      <c r="E326" s="84" t="s">
        <v>42</v>
      </c>
      <c r="F326" s="48" t="s">
        <v>69</v>
      </c>
      <c r="G326" s="49" t="s">
        <v>36</v>
      </c>
      <c r="H326" s="49" t="s">
        <v>30</v>
      </c>
      <c r="I326" s="69" t="s">
        <v>459</v>
      </c>
      <c r="J326" s="51"/>
      <c r="K326" s="86">
        <f>K327</f>
        <v>56242.574739999996</v>
      </c>
      <c r="L326" s="86">
        <f t="shared" ref="L326" si="113">L327</f>
        <v>0</v>
      </c>
      <c r="M326" s="86">
        <f>M327</f>
        <v>56242.574739999996</v>
      </c>
      <c r="N326" s="111"/>
    </row>
    <row r="327" spans="1:14" s="87" customFormat="1" ht="54" customHeight="1" x14ac:dyDescent="0.35">
      <c r="A327" s="463"/>
      <c r="B327" s="374" t="s">
        <v>168</v>
      </c>
      <c r="C327" s="83" t="s">
        <v>330</v>
      </c>
      <c r="D327" s="192" t="s">
        <v>94</v>
      </c>
      <c r="E327" s="192" t="s">
        <v>42</v>
      </c>
      <c r="F327" s="88" t="s">
        <v>69</v>
      </c>
      <c r="G327" s="89" t="s">
        <v>36</v>
      </c>
      <c r="H327" s="89" t="s">
        <v>30</v>
      </c>
      <c r="I327" s="350" t="s">
        <v>459</v>
      </c>
      <c r="J327" s="351" t="s">
        <v>169</v>
      </c>
      <c r="K327" s="134">
        <v>56242.574739999996</v>
      </c>
      <c r="L327" s="24">
        <f>M327-K327</f>
        <v>0</v>
      </c>
      <c r="M327" s="134">
        <v>56242.574739999996</v>
      </c>
      <c r="N327" s="111"/>
    </row>
    <row r="328" spans="1:14" s="87" customFormat="1" ht="54" customHeight="1" x14ac:dyDescent="0.35">
      <c r="A328" s="149"/>
      <c r="B328" s="403" t="s">
        <v>332</v>
      </c>
      <c r="C328" s="123" t="s">
        <v>330</v>
      </c>
      <c r="D328" s="84" t="s">
        <v>94</v>
      </c>
      <c r="E328" s="84" t="s">
        <v>42</v>
      </c>
      <c r="F328" s="48" t="s">
        <v>69</v>
      </c>
      <c r="G328" s="49" t="s">
        <v>36</v>
      </c>
      <c r="H328" s="49" t="s">
        <v>30</v>
      </c>
      <c r="I328" s="69" t="s">
        <v>394</v>
      </c>
      <c r="J328" s="85"/>
      <c r="K328" s="186">
        <f>K329</f>
        <v>5624.3</v>
      </c>
      <c r="L328" s="186">
        <f t="shared" ref="L328" si="114">L329</f>
        <v>0</v>
      </c>
      <c r="M328" s="186">
        <f>M329</f>
        <v>5624.3</v>
      </c>
      <c r="N328" s="111"/>
    </row>
    <row r="329" spans="1:14" s="87" customFormat="1" ht="54" customHeight="1" x14ac:dyDescent="0.35">
      <c r="A329" s="149"/>
      <c r="B329" s="415" t="s">
        <v>168</v>
      </c>
      <c r="C329" s="226" t="s">
        <v>330</v>
      </c>
      <c r="D329" s="484" t="s">
        <v>94</v>
      </c>
      <c r="E329" s="192" t="s">
        <v>42</v>
      </c>
      <c r="F329" s="48" t="s">
        <v>69</v>
      </c>
      <c r="G329" s="49" t="s">
        <v>36</v>
      </c>
      <c r="H329" s="49" t="s">
        <v>30</v>
      </c>
      <c r="I329" s="69" t="s">
        <v>394</v>
      </c>
      <c r="J329" s="465" t="s">
        <v>169</v>
      </c>
      <c r="K329" s="186">
        <v>5624.3</v>
      </c>
      <c r="L329" s="24">
        <f>M329-K329</f>
        <v>0</v>
      </c>
      <c r="M329" s="186">
        <v>5624.3</v>
      </c>
      <c r="N329" s="111"/>
    </row>
    <row r="330" spans="1:14" s="87" customFormat="1" ht="18" customHeight="1" x14ac:dyDescent="0.35">
      <c r="A330" s="443"/>
      <c r="B330" s="372" t="s">
        <v>271</v>
      </c>
      <c r="C330" s="444" t="s">
        <v>330</v>
      </c>
      <c r="D330" s="28" t="s">
        <v>57</v>
      </c>
      <c r="E330" s="28"/>
      <c r="F330" s="143"/>
      <c r="G330" s="144"/>
      <c r="H330" s="144"/>
      <c r="I330" s="145"/>
      <c r="J330" s="446"/>
      <c r="K330" s="317">
        <f t="shared" ref="K330:M335" si="115">K331</f>
        <v>27445.200000000001</v>
      </c>
      <c r="L330" s="317">
        <f t="shared" si="115"/>
        <v>0</v>
      </c>
      <c r="M330" s="317">
        <f t="shared" si="115"/>
        <v>27445.200000000001</v>
      </c>
      <c r="N330" s="111"/>
    </row>
    <row r="331" spans="1:14" s="87" customFormat="1" ht="18" customHeight="1" x14ac:dyDescent="0.35">
      <c r="A331" s="82"/>
      <c r="B331" s="407" t="s">
        <v>302</v>
      </c>
      <c r="C331" s="83" t="s">
        <v>330</v>
      </c>
      <c r="D331" s="359" t="s">
        <v>57</v>
      </c>
      <c r="E331" s="359" t="s">
        <v>28</v>
      </c>
      <c r="F331" s="25"/>
      <c r="G331" s="26"/>
      <c r="H331" s="26"/>
      <c r="I331" s="445"/>
      <c r="J331" s="434"/>
      <c r="K331" s="189">
        <f t="shared" si="115"/>
        <v>27445.200000000001</v>
      </c>
      <c r="L331" s="189">
        <f t="shared" si="115"/>
        <v>0</v>
      </c>
      <c r="M331" s="189">
        <f t="shared" si="115"/>
        <v>27445.200000000001</v>
      </c>
      <c r="N331" s="111"/>
    </row>
    <row r="332" spans="1:14" s="87" customFormat="1" ht="54" customHeight="1" x14ac:dyDescent="0.35">
      <c r="A332" s="82"/>
      <c r="B332" s="368" t="s">
        <v>181</v>
      </c>
      <c r="C332" s="83" t="s">
        <v>330</v>
      </c>
      <c r="D332" s="10" t="s">
        <v>57</v>
      </c>
      <c r="E332" s="10" t="s">
        <v>28</v>
      </c>
      <c r="F332" s="498" t="s">
        <v>42</v>
      </c>
      <c r="G332" s="499" t="s">
        <v>33</v>
      </c>
      <c r="H332" s="499" t="s">
        <v>34</v>
      </c>
      <c r="I332" s="500" t="s">
        <v>35</v>
      </c>
      <c r="J332" s="51"/>
      <c r="K332" s="189">
        <f t="shared" si="115"/>
        <v>27445.200000000001</v>
      </c>
      <c r="L332" s="189">
        <f t="shared" si="115"/>
        <v>0</v>
      </c>
      <c r="M332" s="189">
        <f t="shared" si="115"/>
        <v>27445.200000000001</v>
      </c>
      <c r="N332" s="111"/>
    </row>
    <row r="333" spans="1:14" s="87" customFormat="1" ht="36" customHeight="1" x14ac:dyDescent="0.35">
      <c r="A333" s="82"/>
      <c r="B333" s="407" t="s">
        <v>287</v>
      </c>
      <c r="C333" s="83" t="s">
        <v>330</v>
      </c>
      <c r="D333" s="10" t="s">
        <v>57</v>
      </c>
      <c r="E333" s="10" t="s">
        <v>28</v>
      </c>
      <c r="F333" s="498" t="s">
        <v>42</v>
      </c>
      <c r="G333" s="499" t="s">
        <v>22</v>
      </c>
      <c r="H333" s="499" t="s">
        <v>34</v>
      </c>
      <c r="I333" s="500" t="s">
        <v>35</v>
      </c>
      <c r="J333" s="51"/>
      <c r="K333" s="189">
        <f t="shared" si="115"/>
        <v>27445.200000000001</v>
      </c>
      <c r="L333" s="189">
        <f t="shared" si="115"/>
        <v>0</v>
      </c>
      <c r="M333" s="189">
        <f t="shared" si="115"/>
        <v>27445.200000000001</v>
      </c>
      <c r="N333" s="111"/>
    </row>
    <row r="334" spans="1:14" s="87" customFormat="1" ht="72" customHeight="1" x14ac:dyDescent="0.35">
      <c r="A334" s="82"/>
      <c r="B334" s="368" t="s">
        <v>328</v>
      </c>
      <c r="C334" s="83" t="s">
        <v>330</v>
      </c>
      <c r="D334" s="10" t="s">
        <v>57</v>
      </c>
      <c r="E334" s="10" t="s">
        <v>28</v>
      </c>
      <c r="F334" s="498" t="s">
        <v>42</v>
      </c>
      <c r="G334" s="499" t="s">
        <v>22</v>
      </c>
      <c r="H334" s="499" t="s">
        <v>53</v>
      </c>
      <c r="I334" s="500" t="s">
        <v>35</v>
      </c>
      <c r="J334" s="51"/>
      <c r="K334" s="189">
        <f>K335</f>
        <v>27445.200000000001</v>
      </c>
      <c r="L334" s="189">
        <f t="shared" si="115"/>
        <v>0</v>
      </c>
      <c r="M334" s="189">
        <f>M335</f>
        <v>27445.200000000001</v>
      </c>
      <c r="N334" s="111"/>
    </row>
    <row r="335" spans="1:14" s="87" customFormat="1" ht="147" customHeight="1" x14ac:dyDescent="0.35">
      <c r="A335" s="82"/>
      <c r="B335" s="403" t="s">
        <v>471</v>
      </c>
      <c r="C335" s="83" t="s">
        <v>330</v>
      </c>
      <c r="D335" s="10" t="s">
        <v>57</v>
      </c>
      <c r="E335" s="10" t="s">
        <v>28</v>
      </c>
      <c r="F335" s="498" t="s">
        <v>42</v>
      </c>
      <c r="G335" s="499" t="s">
        <v>22</v>
      </c>
      <c r="H335" s="499" t="s">
        <v>53</v>
      </c>
      <c r="I335" s="500" t="s">
        <v>367</v>
      </c>
      <c r="J335" s="50"/>
      <c r="K335" s="86">
        <f>K336</f>
        <v>27445.200000000001</v>
      </c>
      <c r="L335" s="86">
        <f t="shared" si="115"/>
        <v>0</v>
      </c>
      <c r="M335" s="86">
        <f>M336</f>
        <v>27445.200000000001</v>
      </c>
      <c r="N335" s="111"/>
    </row>
    <row r="336" spans="1:14" s="87" customFormat="1" ht="54" customHeight="1" x14ac:dyDescent="0.35">
      <c r="A336" s="82"/>
      <c r="B336" s="403" t="s">
        <v>168</v>
      </c>
      <c r="C336" s="83" t="s">
        <v>330</v>
      </c>
      <c r="D336" s="10" t="s">
        <v>57</v>
      </c>
      <c r="E336" s="10" t="s">
        <v>28</v>
      </c>
      <c r="F336" s="498" t="s">
        <v>42</v>
      </c>
      <c r="G336" s="499" t="s">
        <v>22</v>
      </c>
      <c r="H336" s="499" t="s">
        <v>53</v>
      </c>
      <c r="I336" s="500" t="s">
        <v>367</v>
      </c>
      <c r="J336" s="50" t="s">
        <v>169</v>
      </c>
      <c r="K336" s="189">
        <v>27445.200000000001</v>
      </c>
      <c r="L336" s="24">
        <f>M336-K336</f>
        <v>0</v>
      </c>
      <c r="M336" s="189">
        <v>27445.200000000001</v>
      </c>
      <c r="N336" s="111"/>
    </row>
    <row r="337" spans="1:16" s="87" customFormat="1" ht="18" customHeight="1" x14ac:dyDescent="0.35">
      <c r="A337" s="82"/>
      <c r="B337" s="403"/>
      <c r="C337" s="106"/>
      <c r="D337" s="107"/>
      <c r="E337" s="107"/>
      <c r="F337" s="108"/>
      <c r="G337" s="109"/>
      <c r="H337" s="109"/>
      <c r="I337" s="110"/>
      <c r="J337" s="107"/>
      <c r="K337" s="86"/>
      <c r="L337" s="86"/>
      <c r="M337" s="86"/>
    </row>
    <row r="338" spans="1:16" s="75" customFormat="1" ht="52.2" customHeight="1" x14ac:dyDescent="0.3">
      <c r="A338" s="73">
        <v>5</v>
      </c>
      <c r="B338" s="404" t="s">
        <v>6</v>
      </c>
      <c r="C338" s="18" t="s">
        <v>333</v>
      </c>
      <c r="D338" s="19"/>
      <c r="E338" s="19"/>
      <c r="F338" s="20"/>
      <c r="G338" s="21"/>
      <c r="H338" s="21"/>
      <c r="I338" s="22"/>
      <c r="J338" s="19"/>
      <c r="K338" s="32">
        <f>K355+K484+K339+K492</f>
        <v>1421494.1</v>
      </c>
      <c r="L338" s="32">
        <f>L355+L484+L339+L492</f>
        <v>31157.720429999994</v>
      </c>
      <c r="M338" s="32">
        <f>M355+M484+M339+M492</f>
        <v>1452651.8204299998</v>
      </c>
      <c r="N338" s="97"/>
      <c r="O338" s="97"/>
      <c r="P338" s="97"/>
    </row>
    <row r="339" spans="1:16" s="75" customFormat="1" ht="18" customHeight="1" x14ac:dyDescent="0.35">
      <c r="A339" s="73"/>
      <c r="B339" s="370" t="s">
        <v>27</v>
      </c>
      <c r="C339" s="168" t="s">
        <v>333</v>
      </c>
      <c r="D339" s="166" t="s">
        <v>28</v>
      </c>
      <c r="E339" s="47"/>
      <c r="F339" s="169"/>
      <c r="G339" s="52"/>
      <c r="H339" s="52"/>
      <c r="I339" s="53"/>
      <c r="J339" s="47"/>
      <c r="K339" s="146">
        <f t="shared" ref="K339:M341" si="116">K340</f>
        <v>518.80000000000007</v>
      </c>
      <c r="L339" s="146">
        <f t="shared" si="116"/>
        <v>0</v>
      </c>
      <c r="M339" s="146">
        <f t="shared" si="116"/>
        <v>518.80000000000007</v>
      </c>
      <c r="N339" s="97"/>
      <c r="O339" s="97"/>
    </row>
    <row r="340" spans="1:16" s="75" customFormat="1" ht="18" customHeight="1" x14ac:dyDescent="0.35">
      <c r="A340" s="73"/>
      <c r="B340" s="370" t="s">
        <v>60</v>
      </c>
      <c r="C340" s="170" t="s">
        <v>333</v>
      </c>
      <c r="D340" s="166" t="s">
        <v>28</v>
      </c>
      <c r="E340" s="166" t="s">
        <v>61</v>
      </c>
      <c r="F340" s="169"/>
      <c r="G340" s="52"/>
      <c r="H340" s="52"/>
      <c r="I340" s="53"/>
      <c r="J340" s="47"/>
      <c r="K340" s="146">
        <f t="shared" si="116"/>
        <v>518.80000000000007</v>
      </c>
      <c r="L340" s="146">
        <f t="shared" si="116"/>
        <v>0</v>
      </c>
      <c r="M340" s="146">
        <f t="shared" si="116"/>
        <v>518.80000000000007</v>
      </c>
      <c r="N340" s="97"/>
      <c r="O340" s="97"/>
    </row>
    <row r="341" spans="1:16" s="75" customFormat="1" ht="54" customHeight="1" x14ac:dyDescent="0.35">
      <c r="A341" s="73"/>
      <c r="B341" s="370" t="s">
        <v>170</v>
      </c>
      <c r="C341" s="168" t="s">
        <v>333</v>
      </c>
      <c r="D341" s="166" t="s">
        <v>28</v>
      </c>
      <c r="E341" s="166" t="s">
        <v>61</v>
      </c>
      <c r="F341" s="494" t="s">
        <v>30</v>
      </c>
      <c r="G341" s="495" t="s">
        <v>33</v>
      </c>
      <c r="H341" s="495" t="s">
        <v>34</v>
      </c>
      <c r="I341" s="496" t="s">
        <v>35</v>
      </c>
      <c r="J341" s="166"/>
      <c r="K341" s="146">
        <f>K342</f>
        <v>518.80000000000007</v>
      </c>
      <c r="L341" s="146">
        <f t="shared" si="116"/>
        <v>0</v>
      </c>
      <c r="M341" s="146">
        <f>M342</f>
        <v>518.80000000000007</v>
      </c>
      <c r="N341" s="97"/>
      <c r="O341" s="97"/>
    </row>
    <row r="342" spans="1:16" s="75" customFormat="1" ht="54" customHeight="1" x14ac:dyDescent="0.35">
      <c r="A342" s="73"/>
      <c r="B342" s="424" t="s">
        <v>177</v>
      </c>
      <c r="C342" s="168" t="s">
        <v>333</v>
      </c>
      <c r="D342" s="166" t="s">
        <v>28</v>
      </c>
      <c r="E342" s="166" t="s">
        <v>61</v>
      </c>
      <c r="F342" s="494" t="s">
        <v>30</v>
      </c>
      <c r="G342" s="495" t="s">
        <v>21</v>
      </c>
      <c r="H342" s="495" t="s">
        <v>34</v>
      </c>
      <c r="I342" s="496" t="s">
        <v>35</v>
      </c>
      <c r="J342" s="166"/>
      <c r="K342" s="146">
        <f>K346+K349+K352+K343</f>
        <v>518.80000000000007</v>
      </c>
      <c r="L342" s="146">
        <f t="shared" ref="L342" si="117">L346+L349+L352+L343</f>
        <v>0</v>
      </c>
      <c r="M342" s="146">
        <f>M346+M349+M352+M343</f>
        <v>518.80000000000007</v>
      </c>
      <c r="N342" s="97"/>
      <c r="O342" s="97"/>
    </row>
    <row r="343" spans="1:16" s="75" customFormat="1" ht="36" x14ac:dyDescent="0.35">
      <c r="A343" s="73"/>
      <c r="B343" s="424" t="s">
        <v>239</v>
      </c>
      <c r="C343" s="170" t="s">
        <v>333</v>
      </c>
      <c r="D343" s="166" t="s">
        <v>28</v>
      </c>
      <c r="E343" s="166" t="s">
        <v>61</v>
      </c>
      <c r="F343" s="494" t="s">
        <v>30</v>
      </c>
      <c r="G343" s="495" t="s">
        <v>21</v>
      </c>
      <c r="H343" s="495" t="s">
        <v>28</v>
      </c>
      <c r="I343" s="284" t="s">
        <v>35</v>
      </c>
      <c r="J343" s="46"/>
      <c r="K343" s="146">
        <f>K344</f>
        <v>65.7</v>
      </c>
      <c r="L343" s="146">
        <f t="shared" ref="L343:L344" si="118">L344</f>
        <v>0</v>
      </c>
      <c r="M343" s="146">
        <f>M344</f>
        <v>65.7</v>
      </c>
      <c r="N343" s="97"/>
      <c r="O343" s="97"/>
    </row>
    <row r="344" spans="1:16" s="75" customFormat="1" ht="54" x14ac:dyDescent="0.35">
      <c r="A344" s="73"/>
      <c r="B344" s="424" t="s">
        <v>317</v>
      </c>
      <c r="C344" s="170" t="s">
        <v>333</v>
      </c>
      <c r="D344" s="166" t="s">
        <v>28</v>
      </c>
      <c r="E344" s="166" t="s">
        <v>61</v>
      </c>
      <c r="F344" s="494" t="s">
        <v>30</v>
      </c>
      <c r="G344" s="495" t="s">
        <v>21</v>
      </c>
      <c r="H344" s="495" t="s">
        <v>28</v>
      </c>
      <c r="I344" s="284" t="s">
        <v>316</v>
      </c>
      <c r="J344" s="46"/>
      <c r="K344" s="146">
        <f>K345</f>
        <v>65.7</v>
      </c>
      <c r="L344" s="146">
        <f t="shared" si="118"/>
        <v>0</v>
      </c>
      <c r="M344" s="146">
        <f>M345</f>
        <v>65.7</v>
      </c>
      <c r="N344" s="97"/>
      <c r="O344" s="97"/>
    </row>
    <row r="345" spans="1:16" s="75" customFormat="1" ht="54" x14ac:dyDescent="0.35">
      <c r="A345" s="73"/>
      <c r="B345" s="424" t="s">
        <v>45</v>
      </c>
      <c r="C345" s="170" t="s">
        <v>333</v>
      </c>
      <c r="D345" s="166" t="s">
        <v>28</v>
      </c>
      <c r="E345" s="166" t="s">
        <v>61</v>
      </c>
      <c r="F345" s="494" t="s">
        <v>30</v>
      </c>
      <c r="G345" s="495" t="s">
        <v>21</v>
      </c>
      <c r="H345" s="495" t="s">
        <v>28</v>
      </c>
      <c r="I345" s="284" t="s">
        <v>316</v>
      </c>
      <c r="J345" s="46" t="s">
        <v>46</v>
      </c>
      <c r="K345" s="146">
        <v>65.7</v>
      </c>
      <c r="L345" s="24">
        <f>M345-K345</f>
        <v>0</v>
      </c>
      <c r="M345" s="146">
        <v>65.7</v>
      </c>
      <c r="N345" s="97"/>
      <c r="O345" s="97"/>
    </row>
    <row r="346" spans="1:16" s="75" customFormat="1" ht="36" customHeight="1" x14ac:dyDescent="0.35">
      <c r="A346" s="73"/>
      <c r="B346" s="370" t="s">
        <v>293</v>
      </c>
      <c r="C346" s="168" t="s">
        <v>333</v>
      </c>
      <c r="D346" s="166" t="s">
        <v>28</v>
      </c>
      <c r="E346" s="166" t="s">
        <v>61</v>
      </c>
      <c r="F346" s="494" t="s">
        <v>30</v>
      </c>
      <c r="G346" s="495" t="s">
        <v>21</v>
      </c>
      <c r="H346" s="495" t="s">
        <v>53</v>
      </c>
      <c r="I346" s="496" t="s">
        <v>35</v>
      </c>
      <c r="J346" s="166"/>
      <c r="K346" s="146">
        <f t="shared" ref="K346:M347" si="119">K347</f>
        <v>231.3</v>
      </c>
      <c r="L346" s="146">
        <f t="shared" si="119"/>
        <v>0</v>
      </c>
      <c r="M346" s="146">
        <f t="shared" si="119"/>
        <v>231.3</v>
      </c>
      <c r="N346" s="97"/>
      <c r="O346" s="97"/>
    </row>
    <row r="347" spans="1:16" s="75" customFormat="1" ht="54" customHeight="1" x14ac:dyDescent="0.35">
      <c r="A347" s="73"/>
      <c r="B347" s="424" t="s">
        <v>361</v>
      </c>
      <c r="C347" s="170" t="s">
        <v>333</v>
      </c>
      <c r="D347" s="166" t="s">
        <v>28</v>
      </c>
      <c r="E347" s="166" t="s">
        <v>61</v>
      </c>
      <c r="F347" s="494" t="s">
        <v>30</v>
      </c>
      <c r="G347" s="495" t="s">
        <v>21</v>
      </c>
      <c r="H347" s="495" t="s">
        <v>53</v>
      </c>
      <c r="I347" s="496" t="s">
        <v>95</v>
      </c>
      <c r="J347" s="166"/>
      <c r="K347" s="146">
        <f t="shared" si="119"/>
        <v>231.3</v>
      </c>
      <c r="L347" s="146">
        <f t="shared" si="119"/>
        <v>0</v>
      </c>
      <c r="M347" s="146">
        <f t="shared" si="119"/>
        <v>231.3</v>
      </c>
      <c r="N347" s="97"/>
      <c r="O347" s="97"/>
    </row>
    <row r="348" spans="1:16" s="75" customFormat="1" ht="54" customHeight="1" x14ac:dyDescent="0.35">
      <c r="A348" s="73"/>
      <c r="B348" s="424" t="s">
        <v>45</v>
      </c>
      <c r="C348" s="170" t="s">
        <v>333</v>
      </c>
      <c r="D348" s="166" t="s">
        <v>28</v>
      </c>
      <c r="E348" s="166" t="s">
        <v>61</v>
      </c>
      <c r="F348" s="494" t="s">
        <v>30</v>
      </c>
      <c r="G348" s="495" t="s">
        <v>21</v>
      </c>
      <c r="H348" s="495" t="s">
        <v>53</v>
      </c>
      <c r="I348" s="496" t="s">
        <v>95</v>
      </c>
      <c r="J348" s="166" t="s">
        <v>46</v>
      </c>
      <c r="K348" s="146">
        <v>231.3</v>
      </c>
      <c r="L348" s="24">
        <f>M348-K348</f>
        <v>0</v>
      </c>
      <c r="M348" s="146">
        <v>231.3</v>
      </c>
      <c r="N348" s="97"/>
      <c r="O348" s="97"/>
    </row>
    <row r="349" spans="1:16" s="75" customFormat="1" ht="36" customHeight="1" x14ac:dyDescent="0.35">
      <c r="A349" s="73"/>
      <c r="B349" s="424" t="s">
        <v>357</v>
      </c>
      <c r="C349" s="168" t="s">
        <v>333</v>
      </c>
      <c r="D349" s="166" t="s">
        <v>28</v>
      </c>
      <c r="E349" s="166" t="s">
        <v>61</v>
      </c>
      <c r="F349" s="494" t="s">
        <v>30</v>
      </c>
      <c r="G349" s="495" t="s">
        <v>21</v>
      </c>
      <c r="H349" s="495" t="s">
        <v>42</v>
      </c>
      <c r="I349" s="496" t="s">
        <v>35</v>
      </c>
      <c r="J349" s="166"/>
      <c r="K349" s="146">
        <f t="shared" ref="K349:M350" si="120">K350</f>
        <v>107</v>
      </c>
      <c r="L349" s="146">
        <f t="shared" si="120"/>
        <v>0</v>
      </c>
      <c r="M349" s="146">
        <f t="shared" si="120"/>
        <v>107</v>
      </c>
      <c r="N349" s="97"/>
      <c r="O349" s="97"/>
    </row>
    <row r="350" spans="1:16" s="75" customFormat="1" ht="18" customHeight="1" x14ac:dyDescent="0.35">
      <c r="A350" s="73"/>
      <c r="B350" s="424" t="s">
        <v>362</v>
      </c>
      <c r="C350" s="170" t="s">
        <v>333</v>
      </c>
      <c r="D350" s="166" t="s">
        <v>28</v>
      </c>
      <c r="E350" s="166" t="s">
        <v>61</v>
      </c>
      <c r="F350" s="494" t="s">
        <v>30</v>
      </c>
      <c r="G350" s="495" t="s">
        <v>21</v>
      </c>
      <c r="H350" s="495" t="s">
        <v>42</v>
      </c>
      <c r="I350" s="496" t="s">
        <v>356</v>
      </c>
      <c r="J350" s="166"/>
      <c r="K350" s="146">
        <f t="shared" si="120"/>
        <v>107</v>
      </c>
      <c r="L350" s="146">
        <f t="shared" si="120"/>
        <v>0</v>
      </c>
      <c r="M350" s="146">
        <f t="shared" si="120"/>
        <v>107</v>
      </c>
      <c r="N350" s="97"/>
      <c r="O350" s="97"/>
    </row>
    <row r="351" spans="1:16" s="75" customFormat="1" ht="54" customHeight="1" x14ac:dyDescent="0.35">
      <c r="A351" s="73"/>
      <c r="B351" s="424" t="s">
        <v>45</v>
      </c>
      <c r="C351" s="170" t="s">
        <v>333</v>
      </c>
      <c r="D351" s="166" t="s">
        <v>28</v>
      </c>
      <c r="E351" s="166" t="s">
        <v>61</v>
      </c>
      <c r="F351" s="494" t="s">
        <v>30</v>
      </c>
      <c r="G351" s="495" t="s">
        <v>21</v>
      </c>
      <c r="H351" s="495" t="s">
        <v>42</v>
      </c>
      <c r="I351" s="496" t="s">
        <v>356</v>
      </c>
      <c r="J351" s="166" t="s">
        <v>46</v>
      </c>
      <c r="K351" s="146">
        <v>107</v>
      </c>
      <c r="L351" s="24">
        <f>M351-K351</f>
        <v>0</v>
      </c>
      <c r="M351" s="146">
        <v>107</v>
      </c>
      <c r="N351" s="97"/>
      <c r="O351" s="97"/>
    </row>
    <row r="352" spans="1:16" s="75" customFormat="1" ht="36" customHeight="1" x14ac:dyDescent="0.35">
      <c r="A352" s="73"/>
      <c r="B352" s="424" t="s">
        <v>360</v>
      </c>
      <c r="C352" s="170" t="s">
        <v>333</v>
      </c>
      <c r="D352" s="166" t="s">
        <v>28</v>
      </c>
      <c r="E352" s="166" t="s">
        <v>61</v>
      </c>
      <c r="F352" s="494" t="s">
        <v>30</v>
      </c>
      <c r="G352" s="495" t="s">
        <v>21</v>
      </c>
      <c r="H352" s="495" t="s">
        <v>55</v>
      </c>
      <c r="I352" s="284" t="s">
        <v>35</v>
      </c>
      <c r="J352" s="46"/>
      <c r="K352" s="146">
        <f t="shared" ref="K352:M353" si="121">K353</f>
        <v>114.8</v>
      </c>
      <c r="L352" s="146">
        <f t="shared" si="121"/>
        <v>0</v>
      </c>
      <c r="M352" s="146">
        <f t="shared" si="121"/>
        <v>114.8</v>
      </c>
      <c r="N352" s="97"/>
      <c r="O352" s="97"/>
    </row>
    <row r="353" spans="1:15" s="75" customFormat="1" ht="36" customHeight="1" x14ac:dyDescent="0.35">
      <c r="A353" s="73"/>
      <c r="B353" s="424" t="s">
        <v>117</v>
      </c>
      <c r="C353" s="170" t="s">
        <v>333</v>
      </c>
      <c r="D353" s="166" t="s">
        <v>28</v>
      </c>
      <c r="E353" s="166" t="s">
        <v>61</v>
      </c>
      <c r="F353" s="494" t="s">
        <v>30</v>
      </c>
      <c r="G353" s="495" t="s">
        <v>21</v>
      </c>
      <c r="H353" s="495" t="s">
        <v>55</v>
      </c>
      <c r="I353" s="284" t="s">
        <v>80</v>
      </c>
      <c r="J353" s="46"/>
      <c r="K353" s="146">
        <f t="shared" si="121"/>
        <v>114.8</v>
      </c>
      <c r="L353" s="146">
        <f t="shared" si="121"/>
        <v>0</v>
      </c>
      <c r="M353" s="146">
        <f t="shared" si="121"/>
        <v>114.8</v>
      </c>
      <c r="N353" s="97"/>
      <c r="O353" s="97"/>
    </row>
    <row r="354" spans="1:15" s="75" customFormat="1" ht="54" customHeight="1" x14ac:dyDescent="0.35">
      <c r="A354" s="73"/>
      <c r="B354" s="424" t="s">
        <v>45</v>
      </c>
      <c r="C354" s="170" t="s">
        <v>333</v>
      </c>
      <c r="D354" s="166" t="s">
        <v>28</v>
      </c>
      <c r="E354" s="166" t="s">
        <v>61</v>
      </c>
      <c r="F354" s="494" t="s">
        <v>30</v>
      </c>
      <c r="G354" s="495" t="s">
        <v>21</v>
      </c>
      <c r="H354" s="495" t="s">
        <v>55</v>
      </c>
      <c r="I354" s="284" t="s">
        <v>80</v>
      </c>
      <c r="J354" s="46" t="s">
        <v>46</v>
      </c>
      <c r="K354" s="146">
        <v>114.8</v>
      </c>
      <c r="L354" s="24">
        <f>M354-K354</f>
        <v>0</v>
      </c>
      <c r="M354" s="146">
        <v>114.8</v>
      </c>
      <c r="N354" s="97"/>
      <c r="O354" s="97"/>
    </row>
    <row r="355" spans="1:15" s="76" customFormat="1" ht="18" customHeight="1" x14ac:dyDescent="0.35">
      <c r="A355" s="11"/>
      <c r="B355" s="368" t="s">
        <v>144</v>
      </c>
      <c r="C355" s="23" t="s">
        <v>333</v>
      </c>
      <c r="D355" s="10" t="s">
        <v>188</v>
      </c>
      <c r="E355" s="10"/>
      <c r="F355" s="498"/>
      <c r="G355" s="499"/>
      <c r="H355" s="499"/>
      <c r="I355" s="500"/>
      <c r="J355" s="10"/>
      <c r="K355" s="24">
        <f>K356+K377+K456+K430+K450</f>
        <v>1390081.9000000001</v>
      </c>
      <c r="L355" s="24">
        <f>L356+L377+L456+L430+L450</f>
        <v>31157.720429999994</v>
      </c>
      <c r="M355" s="24">
        <f>M356+M377+M456+M430+M450</f>
        <v>1421239.6204299999</v>
      </c>
      <c r="N355" s="98"/>
      <c r="O355" s="98"/>
    </row>
    <row r="356" spans="1:15" s="75" customFormat="1" ht="18" customHeight="1" x14ac:dyDescent="0.35">
      <c r="A356" s="11"/>
      <c r="B356" s="368" t="s">
        <v>146</v>
      </c>
      <c r="C356" s="23" t="s">
        <v>333</v>
      </c>
      <c r="D356" s="10" t="s">
        <v>188</v>
      </c>
      <c r="E356" s="10" t="s">
        <v>28</v>
      </c>
      <c r="F356" s="498"/>
      <c r="G356" s="499"/>
      <c r="H356" s="499"/>
      <c r="I356" s="500"/>
      <c r="J356" s="10"/>
      <c r="K356" s="24">
        <f>K357+K372</f>
        <v>431734.2</v>
      </c>
      <c r="L356" s="24">
        <f t="shared" ref="L356" si="122">L357+L372</f>
        <v>1469.6000000000004</v>
      </c>
      <c r="M356" s="24">
        <f>M357+M372</f>
        <v>433203.8</v>
      </c>
    </row>
    <row r="357" spans="1:15" s="75" customFormat="1" ht="54" customHeight="1" x14ac:dyDescent="0.35">
      <c r="A357" s="11"/>
      <c r="B357" s="368" t="s">
        <v>170</v>
      </c>
      <c r="C357" s="23" t="s">
        <v>333</v>
      </c>
      <c r="D357" s="10" t="s">
        <v>188</v>
      </c>
      <c r="E357" s="10" t="s">
        <v>28</v>
      </c>
      <c r="F357" s="498" t="s">
        <v>30</v>
      </c>
      <c r="G357" s="499" t="s">
        <v>33</v>
      </c>
      <c r="H357" s="499" t="s">
        <v>34</v>
      </c>
      <c r="I357" s="500" t="s">
        <v>35</v>
      </c>
      <c r="J357" s="10"/>
      <c r="K357" s="24">
        <f t="shared" ref="K357:M358" si="123">K358</f>
        <v>431678.60000000003</v>
      </c>
      <c r="L357" s="24">
        <f t="shared" si="123"/>
        <v>1469.6000000000004</v>
      </c>
      <c r="M357" s="24">
        <f t="shared" si="123"/>
        <v>433148.2</v>
      </c>
    </row>
    <row r="358" spans="1:15" s="75" customFormat="1" ht="36" customHeight="1" x14ac:dyDescent="0.35">
      <c r="A358" s="11"/>
      <c r="B358" s="368" t="s">
        <v>171</v>
      </c>
      <c r="C358" s="23" t="s">
        <v>333</v>
      </c>
      <c r="D358" s="10" t="s">
        <v>188</v>
      </c>
      <c r="E358" s="10" t="s">
        <v>28</v>
      </c>
      <c r="F358" s="498" t="s">
        <v>30</v>
      </c>
      <c r="G358" s="499" t="s">
        <v>36</v>
      </c>
      <c r="H358" s="499" t="s">
        <v>34</v>
      </c>
      <c r="I358" s="500" t="s">
        <v>35</v>
      </c>
      <c r="J358" s="10"/>
      <c r="K358" s="24">
        <f t="shared" si="123"/>
        <v>431678.60000000003</v>
      </c>
      <c r="L358" s="24">
        <f t="shared" si="123"/>
        <v>1469.6000000000004</v>
      </c>
      <c r="M358" s="24">
        <f t="shared" si="123"/>
        <v>433148.2</v>
      </c>
    </row>
    <row r="359" spans="1:15" s="75" customFormat="1" ht="36" customHeight="1" x14ac:dyDescent="0.35">
      <c r="A359" s="11"/>
      <c r="B359" s="368" t="s">
        <v>224</v>
      </c>
      <c r="C359" s="23" t="s">
        <v>333</v>
      </c>
      <c r="D359" s="10" t="s">
        <v>188</v>
      </c>
      <c r="E359" s="10" t="s">
        <v>28</v>
      </c>
      <c r="F359" s="498" t="s">
        <v>30</v>
      </c>
      <c r="G359" s="499" t="s">
        <v>36</v>
      </c>
      <c r="H359" s="499" t="s">
        <v>28</v>
      </c>
      <c r="I359" s="500" t="s">
        <v>35</v>
      </c>
      <c r="J359" s="10"/>
      <c r="K359" s="24">
        <f>K368+K370+K360+K364+K362+K366</f>
        <v>431678.60000000003</v>
      </c>
      <c r="L359" s="24">
        <f t="shared" ref="L359" si="124">L368+L370+L360+L364+L362+L366</f>
        <v>1469.6000000000004</v>
      </c>
      <c r="M359" s="24">
        <f>M368+M370+M360+M364+M362+M366</f>
        <v>433148.2</v>
      </c>
      <c r="N359" s="125"/>
    </row>
    <row r="360" spans="1:15" s="74" customFormat="1" ht="36" customHeight="1" x14ac:dyDescent="0.35">
      <c r="A360" s="11"/>
      <c r="B360" s="400" t="s">
        <v>353</v>
      </c>
      <c r="C360" s="23" t="s">
        <v>333</v>
      </c>
      <c r="D360" s="10" t="s">
        <v>188</v>
      </c>
      <c r="E360" s="10" t="s">
        <v>28</v>
      </c>
      <c r="F360" s="498" t="s">
        <v>30</v>
      </c>
      <c r="G360" s="499" t="s">
        <v>36</v>
      </c>
      <c r="H360" s="499" t="s">
        <v>28</v>
      </c>
      <c r="I360" s="500" t="s">
        <v>81</v>
      </c>
      <c r="J360" s="10"/>
      <c r="K360" s="24">
        <f>K361</f>
        <v>114625</v>
      </c>
      <c r="L360" s="24">
        <f t="shared" ref="L360" si="125">L361</f>
        <v>0</v>
      </c>
      <c r="M360" s="24">
        <f>M361</f>
        <v>114625</v>
      </c>
      <c r="N360" s="126"/>
    </row>
    <row r="361" spans="1:15" s="74" customFormat="1" ht="54" customHeight="1" x14ac:dyDescent="0.35">
      <c r="A361" s="11"/>
      <c r="B361" s="368" t="s">
        <v>66</v>
      </c>
      <c r="C361" s="23" t="s">
        <v>333</v>
      </c>
      <c r="D361" s="10" t="s">
        <v>188</v>
      </c>
      <c r="E361" s="10" t="s">
        <v>28</v>
      </c>
      <c r="F361" s="498" t="s">
        <v>30</v>
      </c>
      <c r="G361" s="499" t="s">
        <v>36</v>
      </c>
      <c r="H361" s="499" t="s">
        <v>28</v>
      </c>
      <c r="I361" s="500" t="s">
        <v>81</v>
      </c>
      <c r="J361" s="10" t="s">
        <v>67</v>
      </c>
      <c r="K361" s="24">
        <v>114625</v>
      </c>
      <c r="L361" s="24">
        <f>M361-K361</f>
        <v>0</v>
      </c>
      <c r="M361" s="24">
        <v>114625</v>
      </c>
      <c r="N361" s="126"/>
    </row>
    <row r="362" spans="1:15" s="74" customFormat="1" ht="18" customHeight="1" x14ac:dyDescent="0.35">
      <c r="A362" s="11"/>
      <c r="B362" s="368" t="s">
        <v>354</v>
      </c>
      <c r="C362" s="23" t="s">
        <v>333</v>
      </c>
      <c r="D362" s="10" t="s">
        <v>188</v>
      </c>
      <c r="E362" s="10" t="s">
        <v>28</v>
      </c>
      <c r="F362" s="498" t="s">
        <v>30</v>
      </c>
      <c r="G362" s="499" t="s">
        <v>36</v>
      </c>
      <c r="H362" s="499" t="s">
        <v>28</v>
      </c>
      <c r="I362" s="500" t="s">
        <v>318</v>
      </c>
      <c r="J362" s="10"/>
      <c r="K362" s="24">
        <f>K363</f>
        <v>6544.2</v>
      </c>
      <c r="L362" s="24">
        <f t="shared" ref="L362" si="126">L363</f>
        <v>1469.6000000000004</v>
      </c>
      <c r="M362" s="24">
        <f>M363</f>
        <v>8013.8</v>
      </c>
      <c r="N362" s="126"/>
    </row>
    <row r="363" spans="1:15" s="74" customFormat="1" ht="54" customHeight="1" x14ac:dyDescent="0.35">
      <c r="A363" s="11"/>
      <c r="B363" s="368" t="s">
        <v>66</v>
      </c>
      <c r="C363" s="23" t="s">
        <v>333</v>
      </c>
      <c r="D363" s="10" t="s">
        <v>188</v>
      </c>
      <c r="E363" s="10" t="s">
        <v>28</v>
      </c>
      <c r="F363" s="498" t="s">
        <v>30</v>
      </c>
      <c r="G363" s="499" t="s">
        <v>36</v>
      </c>
      <c r="H363" s="499" t="s">
        <v>28</v>
      </c>
      <c r="I363" s="500" t="s">
        <v>318</v>
      </c>
      <c r="J363" s="10" t="s">
        <v>67</v>
      </c>
      <c r="K363" s="24">
        <v>6544.2</v>
      </c>
      <c r="L363" s="24">
        <f>M363-K363</f>
        <v>1469.6000000000004</v>
      </c>
      <c r="M363" s="24">
        <f>6544.2+422+922+125.6</f>
        <v>8013.8</v>
      </c>
      <c r="N363" s="126"/>
    </row>
    <row r="364" spans="1:15" s="75" customFormat="1" ht="54" customHeight="1" x14ac:dyDescent="0.35">
      <c r="A364" s="11"/>
      <c r="B364" s="368" t="s">
        <v>172</v>
      </c>
      <c r="C364" s="23" t="s">
        <v>333</v>
      </c>
      <c r="D364" s="10" t="s">
        <v>188</v>
      </c>
      <c r="E364" s="10" t="s">
        <v>28</v>
      </c>
      <c r="F364" s="498" t="s">
        <v>30</v>
      </c>
      <c r="G364" s="499" t="s">
        <v>36</v>
      </c>
      <c r="H364" s="499" t="s">
        <v>28</v>
      </c>
      <c r="I364" s="500" t="s">
        <v>230</v>
      </c>
      <c r="J364" s="10"/>
      <c r="K364" s="24">
        <f>K365</f>
        <v>33862.9</v>
      </c>
      <c r="L364" s="24">
        <f t="shared" ref="L364" si="127">L365</f>
        <v>0</v>
      </c>
      <c r="M364" s="24">
        <f>M365</f>
        <v>33862.9</v>
      </c>
      <c r="N364" s="125"/>
    </row>
    <row r="365" spans="1:15" s="75" customFormat="1" ht="54" customHeight="1" x14ac:dyDescent="0.35">
      <c r="A365" s="11"/>
      <c r="B365" s="368" t="s">
        <v>66</v>
      </c>
      <c r="C365" s="23" t="s">
        <v>333</v>
      </c>
      <c r="D365" s="10" t="s">
        <v>188</v>
      </c>
      <c r="E365" s="10" t="s">
        <v>28</v>
      </c>
      <c r="F365" s="498" t="s">
        <v>30</v>
      </c>
      <c r="G365" s="499" t="s">
        <v>36</v>
      </c>
      <c r="H365" s="499" t="s">
        <v>28</v>
      </c>
      <c r="I365" s="500" t="s">
        <v>230</v>
      </c>
      <c r="J365" s="10" t="s">
        <v>67</v>
      </c>
      <c r="K365" s="24">
        <f>32079.7+1783.2</f>
        <v>33862.9</v>
      </c>
      <c r="L365" s="24">
        <f>M365-K365</f>
        <v>0</v>
      </c>
      <c r="M365" s="24">
        <f>32079.7+1783.2</f>
        <v>33862.9</v>
      </c>
      <c r="N365" s="125"/>
    </row>
    <row r="366" spans="1:15" s="75" customFormat="1" ht="36" customHeight="1" x14ac:dyDescent="0.35">
      <c r="A366" s="11"/>
      <c r="B366" s="368" t="s">
        <v>173</v>
      </c>
      <c r="C366" s="23" t="s">
        <v>333</v>
      </c>
      <c r="D366" s="10" t="s">
        <v>188</v>
      </c>
      <c r="E366" s="10" t="s">
        <v>28</v>
      </c>
      <c r="F366" s="498" t="s">
        <v>30</v>
      </c>
      <c r="G366" s="499" t="s">
        <v>36</v>
      </c>
      <c r="H366" s="499" t="s">
        <v>28</v>
      </c>
      <c r="I366" s="500" t="s">
        <v>231</v>
      </c>
      <c r="J366" s="10"/>
      <c r="K366" s="24">
        <f>K367</f>
        <v>615.70000000000005</v>
      </c>
      <c r="L366" s="24">
        <f t="shared" ref="L366" si="128">L367</f>
        <v>0</v>
      </c>
      <c r="M366" s="24">
        <f>M367</f>
        <v>615.70000000000005</v>
      </c>
      <c r="N366" s="125"/>
    </row>
    <row r="367" spans="1:15" s="74" customFormat="1" ht="54" customHeight="1" x14ac:dyDescent="0.35">
      <c r="A367" s="11"/>
      <c r="B367" s="368" t="s">
        <v>66</v>
      </c>
      <c r="C367" s="23" t="s">
        <v>333</v>
      </c>
      <c r="D367" s="10" t="s">
        <v>188</v>
      </c>
      <c r="E367" s="10" t="s">
        <v>28</v>
      </c>
      <c r="F367" s="498" t="s">
        <v>30</v>
      </c>
      <c r="G367" s="499" t="s">
        <v>36</v>
      </c>
      <c r="H367" s="499" t="s">
        <v>28</v>
      </c>
      <c r="I367" s="500" t="s">
        <v>231</v>
      </c>
      <c r="J367" s="10" t="s">
        <v>67</v>
      </c>
      <c r="K367" s="24">
        <v>615.70000000000005</v>
      </c>
      <c r="L367" s="24">
        <f>M367-K367</f>
        <v>0</v>
      </c>
      <c r="M367" s="24">
        <v>615.70000000000005</v>
      </c>
      <c r="N367" s="126"/>
    </row>
    <row r="368" spans="1:15" s="75" customFormat="1" ht="180" customHeight="1" x14ac:dyDescent="0.35">
      <c r="A368" s="11"/>
      <c r="B368" s="368" t="s">
        <v>225</v>
      </c>
      <c r="C368" s="23" t="s">
        <v>333</v>
      </c>
      <c r="D368" s="10" t="s">
        <v>188</v>
      </c>
      <c r="E368" s="10" t="s">
        <v>28</v>
      </c>
      <c r="F368" s="498" t="s">
        <v>30</v>
      </c>
      <c r="G368" s="499" t="s">
        <v>36</v>
      </c>
      <c r="H368" s="499" t="s">
        <v>28</v>
      </c>
      <c r="I368" s="500" t="s">
        <v>226</v>
      </c>
      <c r="J368" s="10"/>
      <c r="K368" s="24">
        <f>K369</f>
        <v>630.6</v>
      </c>
      <c r="L368" s="24">
        <f t="shared" ref="L368" si="129">L369</f>
        <v>0</v>
      </c>
      <c r="M368" s="24">
        <f>M369</f>
        <v>630.6</v>
      </c>
      <c r="N368" s="125"/>
    </row>
    <row r="369" spans="1:13" s="75" customFormat="1" ht="54" customHeight="1" x14ac:dyDescent="0.35">
      <c r="A369" s="11"/>
      <c r="B369" s="368" t="s">
        <v>66</v>
      </c>
      <c r="C369" s="23" t="s">
        <v>333</v>
      </c>
      <c r="D369" s="10" t="s">
        <v>188</v>
      </c>
      <c r="E369" s="10" t="s">
        <v>28</v>
      </c>
      <c r="F369" s="498" t="s">
        <v>30</v>
      </c>
      <c r="G369" s="499" t="s">
        <v>36</v>
      </c>
      <c r="H369" s="499" t="s">
        <v>28</v>
      </c>
      <c r="I369" s="500" t="s">
        <v>226</v>
      </c>
      <c r="J369" s="10" t="s">
        <v>67</v>
      </c>
      <c r="K369" s="24">
        <v>630.6</v>
      </c>
      <c r="L369" s="24">
        <f>M369-K369</f>
        <v>0</v>
      </c>
      <c r="M369" s="24">
        <v>630.6</v>
      </c>
    </row>
    <row r="370" spans="1:13" s="75" customFormat="1" ht="108" customHeight="1" x14ac:dyDescent="0.35">
      <c r="A370" s="11"/>
      <c r="B370" s="368" t="s">
        <v>288</v>
      </c>
      <c r="C370" s="23" t="s">
        <v>333</v>
      </c>
      <c r="D370" s="10" t="s">
        <v>188</v>
      </c>
      <c r="E370" s="10" t="s">
        <v>28</v>
      </c>
      <c r="F370" s="498" t="s">
        <v>30</v>
      </c>
      <c r="G370" s="499" t="s">
        <v>36</v>
      </c>
      <c r="H370" s="499" t="s">
        <v>28</v>
      </c>
      <c r="I370" s="500" t="s">
        <v>227</v>
      </c>
      <c r="J370" s="10"/>
      <c r="K370" s="24">
        <f>K371</f>
        <v>275400.2</v>
      </c>
      <c r="L370" s="24">
        <f t="shared" ref="L370" si="130">L371</f>
        <v>0</v>
      </c>
      <c r="M370" s="24">
        <f>M371</f>
        <v>275400.2</v>
      </c>
    </row>
    <row r="371" spans="1:13" s="75" customFormat="1" ht="54" customHeight="1" x14ac:dyDescent="0.35">
      <c r="A371" s="11"/>
      <c r="B371" s="368" t="s">
        <v>66</v>
      </c>
      <c r="C371" s="23" t="s">
        <v>333</v>
      </c>
      <c r="D371" s="10" t="s">
        <v>188</v>
      </c>
      <c r="E371" s="10" t="s">
        <v>28</v>
      </c>
      <c r="F371" s="498" t="s">
        <v>30</v>
      </c>
      <c r="G371" s="499" t="s">
        <v>36</v>
      </c>
      <c r="H371" s="499" t="s">
        <v>28</v>
      </c>
      <c r="I371" s="500" t="s">
        <v>227</v>
      </c>
      <c r="J371" s="10" t="s">
        <v>67</v>
      </c>
      <c r="K371" s="24">
        <v>275400.2</v>
      </c>
      <c r="L371" s="24">
        <f>M371-K371</f>
        <v>0</v>
      </c>
      <c r="M371" s="24">
        <v>275400.2</v>
      </c>
    </row>
    <row r="372" spans="1:13" s="75" customFormat="1" ht="54" customHeight="1" x14ac:dyDescent="0.35">
      <c r="A372" s="11"/>
      <c r="B372" s="368" t="s">
        <v>197</v>
      </c>
      <c r="C372" s="23" t="s">
        <v>333</v>
      </c>
      <c r="D372" s="10" t="s">
        <v>188</v>
      </c>
      <c r="E372" s="10" t="s">
        <v>28</v>
      </c>
      <c r="F372" s="498" t="s">
        <v>198</v>
      </c>
      <c r="G372" s="499" t="s">
        <v>33</v>
      </c>
      <c r="H372" s="499" t="s">
        <v>34</v>
      </c>
      <c r="I372" s="500" t="s">
        <v>35</v>
      </c>
      <c r="J372" s="10"/>
      <c r="K372" s="24">
        <f t="shared" ref="K372:M375" si="131">K373</f>
        <v>55.6</v>
      </c>
      <c r="L372" s="24">
        <f t="shared" si="131"/>
        <v>0</v>
      </c>
      <c r="M372" s="24">
        <f t="shared" si="131"/>
        <v>55.6</v>
      </c>
    </row>
    <row r="373" spans="1:13" s="75" customFormat="1" ht="36" customHeight="1" x14ac:dyDescent="0.35">
      <c r="A373" s="11"/>
      <c r="B373" s="368" t="s">
        <v>287</v>
      </c>
      <c r="C373" s="23" t="s">
        <v>333</v>
      </c>
      <c r="D373" s="10" t="s">
        <v>188</v>
      </c>
      <c r="E373" s="10" t="s">
        <v>28</v>
      </c>
      <c r="F373" s="498" t="s">
        <v>198</v>
      </c>
      <c r="G373" s="499" t="s">
        <v>36</v>
      </c>
      <c r="H373" s="499" t="s">
        <v>34</v>
      </c>
      <c r="I373" s="500" t="s">
        <v>35</v>
      </c>
      <c r="J373" s="10"/>
      <c r="K373" s="24">
        <f t="shared" si="131"/>
        <v>55.6</v>
      </c>
      <c r="L373" s="24">
        <f t="shared" si="131"/>
        <v>0</v>
      </c>
      <c r="M373" s="24">
        <f t="shared" si="131"/>
        <v>55.6</v>
      </c>
    </row>
    <row r="374" spans="1:13" s="75" customFormat="1" ht="144" x14ac:dyDescent="0.35">
      <c r="A374" s="11"/>
      <c r="B374" s="368" t="s">
        <v>432</v>
      </c>
      <c r="C374" s="23" t="s">
        <v>333</v>
      </c>
      <c r="D374" s="10" t="s">
        <v>188</v>
      </c>
      <c r="E374" s="10" t="s">
        <v>28</v>
      </c>
      <c r="F374" s="498" t="s">
        <v>198</v>
      </c>
      <c r="G374" s="499" t="s">
        <v>36</v>
      </c>
      <c r="H374" s="499" t="s">
        <v>28</v>
      </c>
      <c r="I374" s="500" t="s">
        <v>35</v>
      </c>
      <c r="J374" s="10"/>
      <c r="K374" s="24">
        <f>K375</f>
        <v>55.6</v>
      </c>
      <c r="L374" s="24">
        <f t="shared" si="131"/>
        <v>0</v>
      </c>
      <c r="M374" s="24">
        <f>M375</f>
        <v>55.6</v>
      </c>
    </row>
    <row r="375" spans="1:13" s="75" customFormat="1" ht="36" customHeight="1" x14ac:dyDescent="0.35">
      <c r="A375" s="11"/>
      <c r="B375" s="368" t="s">
        <v>199</v>
      </c>
      <c r="C375" s="23" t="s">
        <v>333</v>
      </c>
      <c r="D375" s="10" t="s">
        <v>188</v>
      </c>
      <c r="E375" s="10" t="s">
        <v>28</v>
      </c>
      <c r="F375" s="498" t="s">
        <v>198</v>
      </c>
      <c r="G375" s="499" t="s">
        <v>36</v>
      </c>
      <c r="H375" s="499" t="s">
        <v>28</v>
      </c>
      <c r="I375" s="500" t="s">
        <v>237</v>
      </c>
      <c r="J375" s="10"/>
      <c r="K375" s="24">
        <f t="shared" si="131"/>
        <v>55.6</v>
      </c>
      <c r="L375" s="24">
        <f t="shared" si="131"/>
        <v>0</v>
      </c>
      <c r="M375" s="24">
        <f t="shared" si="131"/>
        <v>55.6</v>
      </c>
    </row>
    <row r="376" spans="1:13" s="75" customFormat="1" ht="54" customHeight="1" x14ac:dyDescent="0.35">
      <c r="A376" s="11"/>
      <c r="B376" s="368" t="s">
        <v>66</v>
      </c>
      <c r="C376" s="23" t="s">
        <v>333</v>
      </c>
      <c r="D376" s="10" t="s">
        <v>188</v>
      </c>
      <c r="E376" s="10" t="s">
        <v>28</v>
      </c>
      <c r="F376" s="498" t="s">
        <v>198</v>
      </c>
      <c r="G376" s="499" t="s">
        <v>36</v>
      </c>
      <c r="H376" s="499" t="s">
        <v>28</v>
      </c>
      <c r="I376" s="500" t="s">
        <v>237</v>
      </c>
      <c r="J376" s="10" t="s">
        <v>67</v>
      </c>
      <c r="K376" s="24">
        <v>55.6</v>
      </c>
      <c r="L376" s="24">
        <f>M376-K376</f>
        <v>0</v>
      </c>
      <c r="M376" s="24">
        <v>55.6</v>
      </c>
    </row>
    <row r="377" spans="1:13" s="75" customFormat="1" ht="18" customHeight="1" x14ac:dyDescent="0.35">
      <c r="A377" s="11"/>
      <c r="B377" s="368" t="s">
        <v>148</v>
      </c>
      <c r="C377" s="23" t="s">
        <v>333</v>
      </c>
      <c r="D377" s="10" t="s">
        <v>188</v>
      </c>
      <c r="E377" s="10" t="s">
        <v>30</v>
      </c>
      <c r="F377" s="498"/>
      <c r="G377" s="499"/>
      <c r="H377" s="499"/>
      <c r="I377" s="500"/>
      <c r="J377" s="10"/>
      <c r="K377" s="24">
        <f>K378</f>
        <v>794758.20000000007</v>
      </c>
      <c r="L377" s="24">
        <f t="shared" ref="L377" si="132">L378</f>
        <v>29688.120429999995</v>
      </c>
      <c r="M377" s="24">
        <f>M378</f>
        <v>824446.32042999996</v>
      </c>
    </row>
    <row r="378" spans="1:13" s="75" customFormat="1" ht="54" customHeight="1" x14ac:dyDescent="0.35">
      <c r="A378" s="11"/>
      <c r="B378" s="368" t="s">
        <v>170</v>
      </c>
      <c r="C378" s="23" t="s">
        <v>333</v>
      </c>
      <c r="D378" s="10" t="s">
        <v>188</v>
      </c>
      <c r="E378" s="10" t="s">
        <v>30</v>
      </c>
      <c r="F378" s="498" t="s">
        <v>30</v>
      </c>
      <c r="G378" s="499" t="s">
        <v>33</v>
      </c>
      <c r="H378" s="499" t="s">
        <v>34</v>
      </c>
      <c r="I378" s="500" t="s">
        <v>35</v>
      </c>
      <c r="J378" s="10"/>
      <c r="K378" s="24">
        <f>K379+K426</f>
        <v>794758.20000000007</v>
      </c>
      <c r="L378" s="24">
        <f>L379+L426</f>
        <v>29688.120429999995</v>
      </c>
      <c r="M378" s="24">
        <f>M379+M426</f>
        <v>824446.32042999996</v>
      </c>
    </row>
    <row r="379" spans="1:13" s="75" customFormat="1" ht="36" customHeight="1" x14ac:dyDescent="0.35">
      <c r="A379" s="11"/>
      <c r="B379" s="368" t="s">
        <v>171</v>
      </c>
      <c r="C379" s="23" t="s">
        <v>333</v>
      </c>
      <c r="D379" s="10" t="s">
        <v>188</v>
      </c>
      <c r="E379" s="10" t="s">
        <v>30</v>
      </c>
      <c r="F379" s="498" t="s">
        <v>30</v>
      </c>
      <c r="G379" s="499" t="s">
        <v>36</v>
      </c>
      <c r="H379" s="499" t="s">
        <v>34</v>
      </c>
      <c r="I379" s="500" t="s">
        <v>35</v>
      </c>
      <c r="J379" s="10"/>
      <c r="K379" s="24">
        <f>K380+K422</f>
        <v>792379.10000000009</v>
      </c>
      <c r="L379" s="24">
        <f>L380+L422</f>
        <v>29688.120429999995</v>
      </c>
      <c r="M379" s="24">
        <f>M380+M422</f>
        <v>822067.22042999999</v>
      </c>
    </row>
    <row r="380" spans="1:13" s="75" customFormat="1" ht="18" customHeight="1" x14ac:dyDescent="0.35">
      <c r="A380" s="11"/>
      <c r="B380" s="368" t="s">
        <v>229</v>
      </c>
      <c r="C380" s="23" t="s">
        <v>333</v>
      </c>
      <c r="D380" s="10" t="s">
        <v>188</v>
      </c>
      <c r="E380" s="10" t="s">
        <v>30</v>
      </c>
      <c r="F380" s="498" t="s">
        <v>30</v>
      </c>
      <c r="G380" s="499" t="s">
        <v>36</v>
      </c>
      <c r="H380" s="499" t="s">
        <v>30</v>
      </c>
      <c r="I380" s="500" t="s">
        <v>35</v>
      </c>
      <c r="J380" s="10"/>
      <c r="K380" s="24">
        <f>K389+K392+K397+K401+K405+K381+K386+K410+K413+K395+K418+K408+K416</f>
        <v>786633.20000000007</v>
      </c>
      <c r="L380" s="24">
        <f>L389+L392+L397+L401+L405+L381+L386+L410+L413+L395+L418+L408+L416</f>
        <v>29688.120429999995</v>
      </c>
      <c r="M380" s="24">
        <f>M389+M392+M397+M401+M405+M381+M386+M410+M413+M395+M418+M408+M416</f>
        <v>816321.32042999996</v>
      </c>
    </row>
    <row r="381" spans="1:13" s="74" customFormat="1" ht="36" customHeight="1" x14ac:dyDescent="0.35">
      <c r="A381" s="11"/>
      <c r="B381" s="400" t="s">
        <v>353</v>
      </c>
      <c r="C381" s="23" t="s">
        <v>333</v>
      </c>
      <c r="D381" s="10" t="s">
        <v>188</v>
      </c>
      <c r="E381" s="10" t="s">
        <v>30</v>
      </c>
      <c r="F381" s="498" t="s">
        <v>30</v>
      </c>
      <c r="G381" s="499" t="s">
        <v>36</v>
      </c>
      <c r="H381" s="499" t="s">
        <v>30</v>
      </c>
      <c r="I381" s="500" t="s">
        <v>81</v>
      </c>
      <c r="J381" s="10"/>
      <c r="K381" s="24">
        <f>K384+K385+K383+K382</f>
        <v>82248.399999999994</v>
      </c>
      <c r="L381" s="24">
        <f t="shared" ref="L381" si="133">L384+L385+L383+L382</f>
        <v>98.899999999994179</v>
      </c>
      <c r="M381" s="24">
        <f>M384+M385+M383+M382</f>
        <v>82347.299999999988</v>
      </c>
    </row>
    <row r="382" spans="1:13" s="74" customFormat="1" ht="108" customHeight="1" x14ac:dyDescent="0.35">
      <c r="A382" s="11"/>
      <c r="B382" s="368" t="s">
        <v>40</v>
      </c>
      <c r="C382" s="23" t="s">
        <v>333</v>
      </c>
      <c r="D382" s="10" t="s">
        <v>188</v>
      </c>
      <c r="E382" s="10" t="s">
        <v>30</v>
      </c>
      <c r="F382" s="498" t="s">
        <v>30</v>
      </c>
      <c r="G382" s="499" t="s">
        <v>36</v>
      </c>
      <c r="H382" s="499" t="s">
        <v>30</v>
      </c>
      <c r="I382" s="500" t="s">
        <v>81</v>
      </c>
      <c r="J382" s="10" t="s">
        <v>41</v>
      </c>
      <c r="K382" s="24">
        <v>451</v>
      </c>
      <c r="L382" s="24">
        <f>M382-K382</f>
        <v>0</v>
      </c>
      <c r="M382" s="24">
        <f>451</f>
        <v>451</v>
      </c>
    </row>
    <row r="383" spans="1:13" s="74" customFormat="1" ht="54" customHeight="1" x14ac:dyDescent="0.35">
      <c r="A383" s="11"/>
      <c r="B383" s="368" t="s">
        <v>45</v>
      </c>
      <c r="C383" s="23" t="s">
        <v>333</v>
      </c>
      <c r="D383" s="10" t="s">
        <v>188</v>
      </c>
      <c r="E383" s="10" t="s">
        <v>30</v>
      </c>
      <c r="F383" s="498" t="s">
        <v>30</v>
      </c>
      <c r="G383" s="499" t="s">
        <v>36</v>
      </c>
      <c r="H383" s="499" t="s">
        <v>30</v>
      </c>
      <c r="I383" s="500" t="s">
        <v>81</v>
      </c>
      <c r="J383" s="10" t="s">
        <v>46</v>
      </c>
      <c r="K383" s="24">
        <v>7739.7</v>
      </c>
      <c r="L383" s="24">
        <f>M383-K383</f>
        <v>0</v>
      </c>
      <c r="M383" s="24">
        <f>7739.7</f>
        <v>7739.7</v>
      </c>
    </row>
    <row r="384" spans="1:13" s="74" customFormat="1" ht="54" customHeight="1" x14ac:dyDescent="0.35">
      <c r="A384" s="11"/>
      <c r="B384" s="368" t="s">
        <v>66</v>
      </c>
      <c r="C384" s="23" t="s">
        <v>333</v>
      </c>
      <c r="D384" s="10" t="s">
        <v>188</v>
      </c>
      <c r="E384" s="10" t="s">
        <v>30</v>
      </c>
      <c r="F384" s="498" t="s">
        <v>30</v>
      </c>
      <c r="G384" s="499" t="s">
        <v>36</v>
      </c>
      <c r="H384" s="499" t="s">
        <v>30</v>
      </c>
      <c r="I384" s="500" t="s">
        <v>81</v>
      </c>
      <c r="J384" s="10" t="s">
        <v>67</v>
      </c>
      <c r="K384" s="24">
        <v>73707.899999999994</v>
      </c>
      <c r="L384" s="24">
        <f>M384-K384</f>
        <v>98.899999999994179</v>
      </c>
      <c r="M384" s="24">
        <f>73707.9+98.9</f>
        <v>73806.799999999988</v>
      </c>
    </row>
    <row r="385" spans="1:13" s="74" customFormat="1" ht="18" customHeight="1" x14ac:dyDescent="0.35">
      <c r="A385" s="11"/>
      <c r="B385" s="368" t="s">
        <v>47</v>
      </c>
      <c r="C385" s="23" t="s">
        <v>333</v>
      </c>
      <c r="D385" s="10" t="s">
        <v>188</v>
      </c>
      <c r="E385" s="10" t="s">
        <v>30</v>
      </c>
      <c r="F385" s="498" t="s">
        <v>30</v>
      </c>
      <c r="G385" s="499" t="s">
        <v>36</v>
      </c>
      <c r="H385" s="499" t="s">
        <v>30</v>
      </c>
      <c r="I385" s="500" t="s">
        <v>81</v>
      </c>
      <c r="J385" s="10" t="s">
        <v>48</v>
      </c>
      <c r="K385" s="24">
        <v>349.8</v>
      </c>
      <c r="L385" s="24">
        <f>M385-K385</f>
        <v>0</v>
      </c>
      <c r="M385" s="24">
        <v>349.8</v>
      </c>
    </row>
    <row r="386" spans="1:13" s="74" customFormat="1" ht="18" customHeight="1" x14ac:dyDescent="0.35">
      <c r="A386" s="11"/>
      <c r="B386" s="368" t="s">
        <v>354</v>
      </c>
      <c r="C386" s="23" t="s">
        <v>333</v>
      </c>
      <c r="D386" s="10" t="s">
        <v>188</v>
      </c>
      <c r="E386" s="10" t="s">
        <v>30</v>
      </c>
      <c r="F386" s="498" t="s">
        <v>30</v>
      </c>
      <c r="G386" s="499" t="s">
        <v>36</v>
      </c>
      <c r="H386" s="499" t="s">
        <v>30</v>
      </c>
      <c r="I386" s="500" t="s">
        <v>318</v>
      </c>
      <c r="J386" s="10"/>
      <c r="K386" s="24">
        <f>K388</f>
        <v>5986.3</v>
      </c>
      <c r="L386" s="24">
        <f>SUM(L387:L388)</f>
        <v>370.92043000000001</v>
      </c>
      <c r="M386" s="24">
        <f>SUM(M387:M388)</f>
        <v>6357.2204300000003</v>
      </c>
    </row>
    <row r="387" spans="1:13" s="74" customFormat="1" ht="54" x14ac:dyDescent="0.35">
      <c r="A387" s="11"/>
      <c r="B387" s="368" t="s">
        <v>45</v>
      </c>
      <c r="C387" s="23" t="s">
        <v>333</v>
      </c>
      <c r="D387" s="10" t="s">
        <v>188</v>
      </c>
      <c r="E387" s="10" t="s">
        <v>30</v>
      </c>
      <c r="F387" s="498" t="s">
        <v>30</v>
      </c>
      <c r="G387" s="499" t="s">
        <v>36</v>
      </c>
      <c r="H387" s="499" t="s">
        <v>30</v>
      </c>
      <c r="I387" s="500" t="s">
        <v>318</v>
      </c>
      <c r="J387" s="10" t="s">
        <v>46</v>
      </c>
      <c r="K387" s="24"/>
      <c r="L387" s="24">
        <f>M387-K387</f>
        <v>5.9204299999999996</v>
      </c>
      <c r="M387" s="24">
        <v>5.9204299999999996</v>
      </c>
    </row>
    <row r="388" spans="1:13" s="74" customFormat="1" ht="54" customHeight="1" x14ac:dyDescent="0.35">
      <c r="A388" s="11"/>
      <c r="B388" s="368" t="s">
        <v>66</v>
      </c>
      <c r="C388" s="23" t="s">
        <v>333</v>
      </c>
      <c r="D388" s="10" t="s">
        <v>188</v>
      </c>
      <c r="E388" s="10" t="s">
        <v>30</v>
      </c>
      <c r="F388" s="498" t="s">
        <v>30</v>
      </c>
      <c r="G388" s="499" t="s">
        <v>36</v>
      </c>
      <c r="H388" s="499" t="s">
        <v>30</v>
      </c>
      <c r="I388" s="500" t="s">
        <v>318</v>
      </c>
      <c r="J388" s="10" t="s">
        <v>67</v>
      </c>
      <c r="K388" s="24">
        <v>5986.3</v>
      </c>
      <c r="L388" s="24">
        <f>M388-K388</f>
        <v>365</v>
      </c>
      <c r="M388" s="24">
        <f>5986.3+365</f>
        <v>6351.3</v>
      </c>
    </row>
    <row r="389" spans="1:13" s="75" customFormat="1" ht="54" customHeight="1" x14ac:dyDescent="0.35">
      <c r="A389" s="11"/>
      <c r="B389" s="368" t="s">
        <v>172</v>
      </c>
      <c r="C389" s="23" t="s">
        <v>333</v>
      </c>
      <c r="D389" s="10" t="s">
        <v>188</v>
      </c>
      <c r="E389" s="10" t="s">
        <v>30</v>
      </c>
      <c r="F389" s="498" t="s">
        <v>30</v>
      </c>
      <c r="G389" s="499" t="s">
        <v>36</v>
      </c>
      <c r="H389" s="499" t="s">
        <v>30</v>
      </c>
      <c r="I389" s="500" t="s">
        <v>230</v>
      </c>
      <c r="J389" s="10"/>
      <c r="K389" s="24">
        <f>SUM(K390:K391)</f>
        <v>31306.3</v>
      </c>
      <c r="L389" s="24">
        <f t="shared" ref="L389" si="134">SUM(L390:L391)</f>
        <v>218.30000000000109</v>
      </c>
      <c r="M389" s="24">
        <f>SUM(M390:M391)</f>
        <v>31524.6</v>
      </c>
    </row>
    <row r="390" spans="1:13" s="75" customFormat="1" ht="54" customHeight="1" x14ac:dyDescent="0.35">
      <c r="A390" s="11"/>
      <c r="B390" s="368" t="s">
        <v>45</v>
      </c>
      <c r="C390" s="23" t="s">
        <v>333</v>
      </c>
      <c r="D390" s="10" t="s">
        <v>188</v>
      </c>
      <c r="E390" s="10" t="s">
        <v>30</v>
      </c>
      <c r="F390" s="498" t="s">
        <v>30</v>
      </c>
      <c r="G390" s="499" t="s">
        <v>36</v>
      </c>
      <c r="H390" s="499" t="s">
        <v>30</v>
      </c>
      <c r="I390" s="500" t="s">
        <v>230</v>
      </c>
      <c r="J390" s="10" t="s">
        <v>46</v>
      </c>
      <c r="K390" s="24">
        <f>4392+246</f>
        <v>4638</v>
      </c>
      <c r="L390" s="24">
        <f>M390-K390</f>
        <v>198.39999999999964</v>
      </c>
      <c r="M390" s="24">
        <f>4392+246+198.4</f>
        <v>4836.3999999999996</v>
      </c>
    </row>
    <row r="391" spans="1:13" s="75" customFormat="1" ht="54" customHeight="1" x14ac:dyDescent="0.35">
      <c r="A391" s="11"/>
      <c r="B391" s="368" t="s">
        <v>66</v>
      </c>
      <c r="C391" s="23" t="s">
        <v>333</v>
      </c>
      <c r="D391" s="10" t="s">
        <v>188</v>
      </c>
      <c r="E391" s="10" t="s">
        <v>30</v>
      </c>
      <c r="F391" s="498" t="s">
        <v>30</v>
      </c>
      <c r="G391" s="499" t="s">
        <v>36</v>
      </c>
      <c r="H391" s="499" t="s">
        <v>30</v>
      </c>
      <c r="I391" s="500" t="s">
        <v>230</v>
      </c>
      <c r="J391" s="10" t="s">
        <v>67</v>
      </c>
      <c r="K391" s="24">
        <f>25254+1414.3</f>
        <v>26668.3</v>
      </c>
      <c r="L391" s="24">
        <f>M391-K391</f>
        <v>19.900000000001455</v>
      </c>
      <c r="M391" s="24">
        <f>25254+1414.3+19.9</f>
        <v>26688.2</v>
      </c>
    </row>
    <row r="392" spans="1:13" s="75" customFormat="1" ht="36" customHeight="1" x14ac:dyDescent="0.35">
      <c r="A392" s="11"/>
      <c r="B392" s="368" t="s">
        <v>173</v>
      </c>
      <c r="C392" s="23" t="s">
        <v>333</v>
      </c>
      <c r="D392" s="10" t="s">
        <v>188</v>
      </c>
      <c r="E392" s="10" t="s">
        <v>30</v>
      </c>
      <c r="F392" s="498" t="s">
        <v>30</v>
      </c>
      <c r="G392" s="499" t="s">
        <v>36</v>
      </c>
      <c r="H392" s="499" t="s">
        <v>30</v>
      </c>
      <c r="I392" s="500" t="s">
        <v>231</v>
      </c>
      <c r="J392" s="10"/>
      <c r="K392" s="24">
        <f>SUM(K393:K394)</f>
        <v>23904.1</v>
      </c>
      <c r="L392" s="24">
        <f t="shared" ref="L392" si="135">SUM(L393:L394)</f>
        <v>29000</v>
      </c>
      <c r="M392" s="24">
        <f>SUM(M393:M394)</f>
        <v>52904.1</v>
      </c>
    </row>
    <row r="393" spans="1:13" s="75" customFormat="1" ht="54" customHeight="1" x14ac:dyDescent="0.35">
      <c r="A393" s="11"/>
      <c r="B393" s="368" t="s">
        <v>45</v>
      </c>
      <c r="C393" s="23" t="s">
        <v>333</v>
      </c>
      <c r="D393" s="10" t="s">
        <v>188</v>
      </c>
      <c r="E393" s="10" t="s">
        <v>30</v>
      </c>
      <c r="F393" s="498" t="s">
        <v>30</v>
      </c>
      <c r="G393" s="499" t="s">
        <v>36</v>
      </c>
      <c r="H393" s="499" t="s">
        <v>30</v>
      </c>
      <c r="I393" s="500" t="s">
        <v>231</v>
      </c>
      <c r="J393" s="10" t="s">
        <v>46</v>
      </c>
      <c r="K393" s="24">
        <v>609.1</v>
      </c>
      <c r="L393" s="24">
        <f>M393-K393</f>
        <v>28880</v>
      </c>
      <c r="M393" s="24">
        <f>609.1+28880</f>
        <v>29489.1</v>
      </c>
    </row>
    <row r="394" spans="1:13" s="75" customFormat="1" ht="54" customHeight="1" x14ac:dyDescent="0.35">
      <c r="A394" s="11"/>
      <c r="B394" s="368" t="s">
        <v>66</v>
      </c>
      <c r="C394" s="23" t="s">
        <v>333</v>
      </c>
      <c r="D394" s="10" t="s">
        <v>188</v>
      </c>
      <c r="E394" s="10" t="s">
        <v>30</v>
      </c>
      <c r="F394" s="498" t="s">
        <v>30</v>
      </c>
      <c r="G394" s="499" t="s">
        <v>36</v>
      </c>
      <c r="H394" s="499" t="s">
        <v>30</v>
      </c>
      <c r="I394" s="500" t="s">
        <v>231</v>
      </c>
      <c r="J394" s="10" t="s">
        <v>67</v>
      </c>
      <c r="K394" s="24">
        <v>23295</v>
      </c>
      <c r="L394" s="24">
        <f>M394-K394</f>
        <v>120</v>
      </c>
      <c r="M394" s="24">
        <f>23295+120</f>
        <v>23415</v>
      </c>
    </row>
    <row r="395" spans="1:13" s="75" customFormat="1" ht="54" customHeight="1" x14ac:dyDescent="0.35">
      <c r="A395" s="11"/>
      <c r="B395" s="368" t="s">
        <v>375</v>
      </c>
      <c r="C395" s="23" t="s">
        <v>333</v>
      </c>
      <c r="D395" s="10" t="s">
        <v>188</v>
      </c>
      <c r="E395" s="10" t="s">
        <v>30</v>
      </c>
      <c r="F395" s="498" t="s">
        <v>30</v>
      </c>
      <c r="G395" s="499" t="s">
        <v>36</v>
      </c>
      <c r="H395" s="499" t="s">
        <v>30</v>
      </c>
      <c r="I395" s="500" t="s">
        <v>376</v>
      </c>
      <c r="J395" s="10"/>
      <c r="K395" s="24">
        <f>K396</f>
        <v>30</v>
      </c>
      <c r="L395" s="24">
        <f t="shared" ref="L395" si="136">L396</f>
        <v>0</v>
      </c>
      <c r="M395" s="24">
        <f>M396</f>
        <v>30</v>
      </c>
    </row>
    <row r="396" spans="1:13" s="75" customFormat="1" ht="54" customHeight="1" x14ac:dyDescent="0.35">
      <c r="A396" s="11"/>
      <c r="B396" s="368" t="s">
        <v>66</v>
      </c>
      <c r="C396" s="23" t="s">
        <v>333</v>
      </c>
      <c r="D396" s="10" t="s">
        <v>188</v>
      </c>
      <c r="E396" s="10" t="s">
        <v>30</v>
      </c>
      <c r="F396" s="498" t="s">
        <v>30</v>
      </c>
      <c r="G396" s="499" t="s">
        <v>36</v>
      </c>
      <c r="H396" s="499" t="s">
        <v>30</v>
      </c>
      <c r="I396" s="500" t="s">
        <v>376</v>
      </c>
      <c r="J396" s="10" t="s">
        <v>67</v>
      </c>
      <c r="K396" s="24">
        <v>30</v>
      </c>
      <c r="L396" s="24">
        <f>M396-K396</f>
        <v>0</v>
      </c>
      <c r="M396" s="24">
        <v>30</v>
      </c>
    </row>
    <row r="397" spans="1:13" s="75" customFormat="1" ht="180" customHeight="1" x14ac:dyDescent="0.35">
      <c r="A397" s="11"/>
      <c r="B397" s="368" t="s">
        <v>225</v>
      </c>
      <c r="C397" s="23" t="s">
        <v>333</v>
      </c>
      <c r="D397" s="10" t="s">
        <v>188</v>
      </c>
      <c r="E397" s="10" t="s">
        <v>30</v>
      </c>
      <c r="F397" s="498" t="s">
        <v>30</v>
      </c>
      <c r="G397" s="499" t="s">
        <v>36</v>
      </c>
      <c r="H397" s="499" t="s">
        <v>30</v>
      </c>
      <c r="I397" s="500" t="s">
        <v>226</v>
      </c>
      <c r="J397" s="10"/>
      <c r="K397" s="24">
        <f>SUM(K398:K400)</f>
        <v>1468.6</v>
      </c>
      <c r="L397" s="24">
        <f t="shared" ref="L397" si="137">SUM(L398:L400)</f>
        <v>0</v>
      </c>
      <c r="M397" s="24">
        <f>SUM(M398:M400)</f>
        <v>1468.6</v>
      </c>
    </row>
    <row r="398" spans="1:13" s="75" customFormat="1" ht="108" customHeight="1" x14ac:dyDescent="0.35">
      <c r="A398" s="11"/>
      <c r="B398" s="368" t="s">
        <v>40</v>
      </c>
      <c r="C398" s="23" t="s">
        <v>333</v>
      </c>
      <c r="D398" s="10" t="s">
        <v>188</v>
      </c>
      <c r="E398" s="10" t="s">
        <v>30</v>
      </c>
      <c r="F398" s="498" t="s">
        <v>30</v>
      </c>
      <c r="G398" s="499" t="s">
        <v>36</v>
      </c>
      <c r="H398" s="499" t="s">
        <v>30</v>
      </c>
      <c r="I398" s="500" t="s">
        <v>226</v>
      </c>
      <c r="J398" s="10" t="s">
        <v>41</v>
      </c>
      <c r="K398" s="24">
        <v>77.599999999999994</v>
      </c>
      <c r="L398" s="24">
        <f>M398-K398</f>
        <v>0</v>
      </c>
      <c r="M398" s="24">
        <v>77.599999999999994</v>
      </c>
    </row>
    <row r="399" spans="1:13" s="75" customFormat="1" ht="36" customHeight="1" x14ac:dyDescent="0.35">
      <c r="A399" s="11"/>
      <c r="B399" s="368" t="s">
        <v>110</v>
      </c>
      <c r="C399" s="23" t="s">
        <v>333</v>
      </c>
      <c r="D399" s="10" t="s">
        <v>188</v>
      </c>
      <c r="E399" s="10" t="s">
        <v>30</v>
      </c>
      <c r="F399" s="498" t="s">
        <v>30</v>
      </c>
      <c r="G399" s="499" t="s">
        <v>36</v>
      </c>
      <c r="H399" s="499" t="s">
        <v>30</v>
      </c>
      <c r="I399" s="500" t="s">
        <v>226</v>
      </c>
      <c r="J399" s="10" t="s">
        <v>111</v>
      </c>
      <c r="K399" s="24">
        <v>5.5</v>
      </c>
      <c r="L399" s="24">
        <f>M399-K399</f>
        <v>0</v>
      </c>
      <c r="M399" s="24">
        <v>5.5</v>
      </c>
    </row>
    <row r="400" spans="1:13" s="75" customFormat="1" ht="54" customHeight="1" x14ac:dyDescent="0.35">
      <c r="A400" s="11"/>
      <c r="B400" s="368" t="s">
        <v>66</v>
      </c>
      <c r="C400" s="23" t="s">
        <v>333</v>
      </c>
      <c r="D400" s="10" t="s">
        <v>188</v>
      </c>
      <c r="E400" s="10" t="s">
        <v>30</v>
      </c>
      <c r="F400" s="498" t="s">
        <v>30</v>
      </c>
      <c r="G400" s="499" t="s">
        <v>36</v>
      </c>
      <c r="H400" s="499" t="s">
        <v>30</v>
      </c>
      <c r="I400" s="500" t="s">
        <v>226</v>
      </c>
      <c r="J400" s="10" t="s">
        <v>67</v>
      </c>
      <c r="K400" s="24">
        <v>1385.5</v>
      </c>
      <c r="L400" s="24">
        <f>M400-K400</f>
        <v>0</v>
      </c>
      <c r="M400" s="24">
        <v>1385.5</v>
      </c>
    </row>
    <row r="401" spans="1:13" s="75" customFormat="1" ht="108" customHeight="1" x14ac:dyDescent="0.35">
      <c r="A401" s="11"/>
      <c r="B401" s="368" t="s">
        <v>288</v>
      </c>
      <c r="C401" s="23" t="s">
        <v>333</v>
      </c>
      <c r="D401" s="10" t="s">
        <v>188</v>
      </c>
      <c r="E401" s="10" t="s">
        <v>30</v>
      </c>
      <c r="F401" s="498" t="s">
        <v>30</v>
      </c>
      <c r="G401" s="499" t="s">
        <v>36</v>
      </c>
      <c r="H401" s="499" t="s">
        <v>30</v>
      </c>
      <c r="I401" s="500" t="s">
        <v>227</v>
      </c>
      <c r="J401" s="10"/>
      <c r="K401" s="24">
        <f>K402+K403+K404</f>
        <v>517624.4</v>
      </c>
      <c r="L401" s="24">
        <f t="shared" ref="L401" si="138">L402+L403+L404</f>
        <v>0</v>
      </c>
      <c r="M401" s="24">
        <f>M402+M403+M404</f>
        <v>517624.4</v>
      </c>
    </row>
    <row r="402" spans="1:13" s="75" customFormat="1" ht="108" customHeight="1" x14ac:dyDescent="0.35">
      <c r="A402" s="11"/>
      <c r="B402" s="368" t="s">
        <v>40</v>
      </c>
      <c r="C402" s="23" t="s">
        <v>333</v>
      </c>
      <c r="D402" s="10" t="s">
        <v>188</v>
      </c>
      <c r="E402" s="10" t="s">
        <v>30</v>
      </c>
      <c r="F402" s="498" t="s">
        <v>30</v>
      </c>
      <c r="G402" s="499" t="s">
        <v>36</v>
      </c>
      <c r="H402" s="499" t="s">
        <v>30</v>
      </c>
      <c r="I402" s="500" t="s">
        <v>227</v>
      </c>
      <c r="J402" s="10" t="s">
        <v>41</v>
      </c>
      <c r="K402" s="24">
        <v>30000</v>
      </c>
      <c r="L402" s="24">
        <f>M402-K402</f>
        <v>0</v>
      </c>
      <c r="M402" s="24">
        <v>30000</v>
      </c>
    </row>
    <row r="403" spans="1:13" s="75" customFormat="1" ht="54" customHeight="1" x14ac:dyDescent="0.35">
      <c r="A403" s="11"/>
      <c r="B403" s="368" t="s">
        <v>45</v>
      </c>
      <c r="C403" s="23" t="s">
        <v>333</v>
      </c>
      <c r="D403" s="10" t="s">
        <v>188</v>
      </c>
      <c r="E403" s="10" t="s">
        <v>30</v>
      </c>
      <c r="F403" s="498" t="s">
        <v>30</v>
      </c>
      <c r="G403" s="499" t="s">
        <v>36</v>
      </c>
      <c r="H403" s="499" t="s">
        <v>30</v>
      </c>
      <c r="I403" s="500" t="s">
        <v>227</v>
      </c>
      <c r="J403" s="10" t="s">
        <v>46</v>
      </c>
      <c r="K403" s="24">
        <v>2062</v>
      </c>
      <c r="L403" s="24">
        <f>M403-K403</f>
        <v>0</v>
      </c>
      <c r="M403" s="24">
        <v>2062</v>
      </c>
    </row>
    <row r="404" spans="1:13" s="75" customFormat="1" ht="54" customHeight="1" x14ac:dyDescent="0.35">
      <c r="A404" s="11"/>
      <c r="B404" s="368" t="s">
        <v>66</v>
      </c>
      <c r="C404" s="23" t="s">
        <v>333</v>
      </c>
      <c r="D404" s="10" t="s">
        <v>188</v>
      </c>
      <c r="E404" s="10" t="s">
        <v>30</v>
      </c>
      <c r="F404" s="498" t="s">
        <v>30</v>
      </c>
      <c r="G404" s="499" t="s">
        <v>36</v>
      </c>
      <c r="H404" s="499" t="s">
        <v>30</v>
      </c>
      <c r="I404" s="500" t="s">
        <v>227</v>
      </c>
      <c r="J404" s="10" t="s">
        <v>67</v>
      </c>
      <c r="K404" s="24">
        <v>485562.4</v>
      </c>
      <c r="L404" s="24">
        <f>M404-K404</f>
        <v>0</v>
      </c>
      <c r="M404" s="24">
        <v>485562.4</v>
      </c>
    </row>
    <row r="405" spans="1:13" s="74" customFormat="1" ht="90" customHeight="1" x14ac:dyDescent="0.35">
      <c r="A405" s="11"/>
      <c r="B405" s="368" t="s">
        <v>174</v>
      </c>
      <c r="C405" s="23" t="s">
        <v>333</v>
      </c>
      <c r="D405" s="10" t="s">
        <v>188</v>
      </c>
      <c r="E405" s="10" t="s">
        <v>30</v>
      </c>
      <c r="F405" s="498" t="s">
        <v>30</v>
      </c>
      <c r="G405" s="499" t="s">
        <v>36</v>
      </c>
      <c r="H405" s="499" t="s">
        <v>30</v>
      </c>
      <c r="I405" s="500" t="s">
        <v>232</v>
      </c>
      <c r="J405" s="10"/>
      <c r="K405" s="24">
        <f>SUM(K406:K407)</f>
        <v>2391.3000000000002</v>
      </c>
      <c r="L405" s="24">
        <f t="shared" ref="L405" si="139">SUM(L406:L407)</f>
        <v>0</v>
      </c>
      <c r="M405" s="24">
        <f>SUM(M406:M407)</f>
        <v>2391.3000000000002</v>
      </c>
    </row>
    <row r="406" spans="1:13" s="74" customFormat="1" ht="54" customHeight="1" x14ac:dyDescent="0.35">
      <c r="A406" s="11"/>
      <c r="B406" s="368" t="s">
        <v>45</v>
      </c>
      <c r="C406" s="23" t="s">
        <v>333</v>
      </c>
      <c r="D406" s="10" t="s">
        <v>188</v>
      </c>
      <c r="E406" s="10" t="s">
        <v>30</v>
      </c>
      <c r="F406" s="498" t="s">
        <v>30</v>
      </c>
      <c r="G406" s="499" t="s">
        <v>36</v>
      </c>
      <c r="H406" s="499" t="s">
        <v>30</v>
      </c>
      <c r="I406" s="500" t="s">
        <v>232</v>
      </c>
      <c r="J406" s="10" t="s">
        <v>46</v>
      </c>
      <c r="K406" s="24">
        <v>102.4</v>
      </c>
      <c r="L406" s="24">
        <f>M406-K406</f>
        <v>0</v>
      </c>
      <c r="M406" s="24">
        <v>102.4</v>
      </c>
    </row>
    <row r="407" spans="1:13" s="74" customFormat="1" ht="54" customHeight="1" x14ac:dyDescent="0.35">
      <c r="A407" s="11"/>
      <c r="B407" s="368" t="s">
        <v>66</v>
      </c>
      <c r="C407" s="23" t="s">
        <v>333</v>
      </c>
      <c r="D407" s="10" t="s">
        <v>188</v>
      </c>
      <c r="E407" s="10" t="s">
        <v>30</v>
      </c>
      <c r="F407" s="498" t="s">
        <v>30</v>
      </c>
      <c r="G407" s="499" t="s">
        <v>36</v>
      </c>
      <c r="H407" s="499" t="s">
        <v>30</v>
      </c>
      <c r="I407" s="500" t="s">
        <v>232</v>
      </c>
      <c r="J407" s="10" t="s">
        <v>67</v>
      </c>
      <c r="K407" s="24">
        <v>2288.9</v>
      </c>
      <c r="L407" s="24">
        <f>M407-K407</f>
        <v>0</v>
      </c>
      <c r="M407" s="24">
        <v>2288.9</v>
      </c>
    </row>
    <row r="408" spans="1:13" s="74" customFormat="1" ht="162" customHeight="1" x14ac:dyDescent="0.35">
      <c r="A408" s="11"/>
      <c r="B408" s="368" t="s">
        <v>393</v>
      </c>
      <c r="C408" s="23" t="s">
        <v>333</v>
      </c>
      <c r="D408" s="10" t="s">
        <v>188</v>
      </c>
      <c r="E408" s="10" t="s">
        <v>30</v>
      </c>
      <c r="F408" s="498" t="s">
        <v>30</v>
      </c>
      <c r="G408" s="499" t="s">
        <v>36</v>
      </c>
      <c r="H408" s="499" t="s">
        <v>30</v>
      </c>
      <c r="I408" s="500" t="s">
        <v>392</v>
      </c>
      <c r="J408" s="10"/>
      <c r="K408" s="24">
        <f>SUM(K409:K409)</f>
        <v>1845.6</v>
      </c>
      <c r="L408" s="24">
        <f t="shared" ref="L408" si="140">SUM(L409:L409)</f>
        <v>0</v>
      </c>
      <c r="M408" s="24">
        <f>SUM(M409:M409)</f>
        <v>1845.6</v>
      </c>
    </row>
    <row r="409" spans="1:13" s="74" customFormat="1" ht="54" customHeight="1" x14ac:dyDescent="0.35">
      <c r="A409" s="11"/>
      <c r="B409" s="368" t="s">
        <v>66</v>
      </c>
      <c r="C409" s="23" t="s">
        <v>333</v>
      </c>
      <c r="D409" s="10" t="s">
        <v>188</v>
      </c>
      <c r="E409" s="10" t="s">
        <v>30</v>
      </c>
      <c r="F409" s="498" t="s">
        <v>30</v>
      </c>
      <c r="G409" s="499" t="s">
        <v>36</v>
      </c>
      <c r="H409" s="499" t="s">
        <v>30</v>
      </c>
      <c r="I409" s="500" t="s">
        <v>392</v>
      </c>
      <c r="J409" s="10" t="s">
        <v>67</v>
      </c>
      <c r="K409" s="24">
        <v>1845.6</v>
      </c>
      <c r="L409" s="24">
        <f>M409-K409</f>
        <v>0</v>
      </c>
      <c r="M409" s="24">
        <v>1845.6</v>
      </c>
    </row>
    <row r="410" spans="1:13" s="74" customFormat="1" ht="94.8" customHeight="1" x14ac:dyDescent="0.35">
      <c r="A410" s="11"/>
      <c r="B410" s="368" t="s">
        <v>349</v>
      </c>
      <c r="C410" s="23" t="s">
        <v>333</v>
      </c>
      <c r="D410" s="10" t="s">
        <v>188</v>
      </c>
      <c r="E410" s="10" t="s">
        <v>30</v>
      </c>
      <c r="F410" s="498" t="s">
        <v>30</v>
      </c>
      <c r="G410" s="499" t="s">
        <v>36</v>
      </c>
      <c r="H410" s="499" t="s">
        <v>30</v>
      </c>
      <c r="I410" s="500" t="s">
        <v>348</v>
      </c>
      <c r="J410" s="10"/>
      <c r="K410" s="24">
        <f>K411+K412</f>
        <v>65994.399999999994</v>
      </c>
      <c r="L410" s="24">
        <f t="shared" ref="L410" si="141">L411+L412</f>
        <v>0</v>
      </c>
      <c r="M410" s="24">
        <f>M411+M412</f>
        <v>65994.399999999994</v>
      </c>
    </row>
    <row r="411" spans="1:13" s="74" customFormat="1" ht="54" customHeight="1" x14ac:dyDescent="0.35">
      <c r="A411" s="11"/>
      <c r="B411" s="368" t="s">
        <v>45</v>
      </c>
      <c r="C411" s="23" t="s">
        <v>333</v>
      </c>
      <c r="D411" s="10" t="s">
        <v>188</v>
      </c>
      <c r="E411" s="10" t="s">
        <v>30</v>
      </c>
      <c r="F411" s="498" t="s">
        <v>30</v>
      </c>
      <c r="G411" s="499" t="s">
        <v>36</v>
      </c>
      <c r="H411" s="499" t="s">
        <v>30</v>
      </c>
      <c r="I411" s="500" t="s">
        <v>348</v>
      </c>
      <c r="J411" s="10" t="s">
        <v>46</v>
      </c>
      <c r="K411" s="24">
        <f>1564-3.1</f>
        <v>1560.9</v>
      </c>
      <c r="L411" s="24">
        <f>M411-K411</f>
        <v>0</v>
      </c>
      <c r="M411" s="24">
        <f>1564-3.1</f>
        <v>1560.9</v>
      </c>
    </row>
    <row r="412" spans="1:13" s="74" customFormat="1" ht="54" customHeight="1" x14ac:dyDescent="0.35">
      <c r="A412" s="11"/>
      <c r="B412" s="368" t="s">
        <v>66</v>
      </c>
      <c r="C412" s="23" t="s">
        <v>333</v>
      </c>
      <c r="D412" s="10" t="s">
        <v>188</v>
      </c>
      <c r="E412" s="10" t="s">
        <v>30</v>
      </c>
      <c r="F412" s="498" t="s">
        <v>30</v>
      </c>
      <c r="G412" s="499" t="s">
        <v>36</v>
      </c>
      <c r="H412" s="499" t="s">
        <v>30</v>
      </c>
      <c r="I412" s="500" t="s">
        <v>348</v>
      </c>
      <c r="J412" s="10" t="s">
        <v>67</v>
      </c>
      <c r="K412" s="24">
        <f>64350.2+83.3</f>
        <v>64433.5</v>
      </c>
      <c r="L412" s="24">
        <f>M412-K412</f>
        <v>0</v>
      </c>
      <c r="M412" s="24">
        <f>64350.2+83.3</f>
        <v>64433.5</v>
      </c>
    </row>
    <row r="413" spans="1:13" s="74" customFormat="1" ht="54" customHeight="1" x14ac:dyDescent="0.35">
      <c r="A413" s="11"/>
      <c r="B413" s="368" t="s">
        <v>402</v>
      </c>
      <c r="C413" s="23" t="s">
        <v>333</v>
      </c>
      <c r="D413" s="10" t="s">
        <v>188</v>
      </c>
      <c r="E413" s="10" t="s">
        <v>30</v>
      </c>
      <c r="F413" s="498" t="s">
        <v>30</v>
      </c>
      <c r="G413" s="499" t="s">
        <v>36</v>
      </c>
      <c r="H413" s="499" t="s">
        <v>30</v>
      </c>
      <c r="I413" s="500" t="s">
        <v>477</v>
      </c>
      <c r="J413" s="10"/>
      <c r="K413" s="24">
        <f>K414+K415</f>
        <v>35544.6</v>
      </c>
      <c r="L413" s="24">
        <f t="shared" ref="L413" si="142">L414+L415</f>
        <v>0</v>
      </c>
      <c r="M413" s="24">
        <f>M414+M415</f>
        <v>35544.6</v>
      </c>
    </row>
    <row r="414" spans="1:13" s="74" customFormat="1" ht="54" customHeight="1" x14ac:dyDescent="0.35">
      <c r="A414" s="11"/>
      <c r="B414" s="368" t="s">
        <v>40</v>
      </c>
      <c r="C414" s="23" t="s">
        <v>333</v>
      </c>
      <c r="D414" s="10" t="s">
        <v>188</v>
      </c>
      <c r="E414" s="10" t="s">
        <v>30</v>
      </c>
      <c r="F414" s="498" t="s">
        <v>30</v>
      </c>
      <c r="G414" s="499" t="s">
        <v>36</v>
      </c>
      <c r="H414" s="499" t="s">
        <v>30</v>
      </c>
      <c r="I414" s="500" t="s">
        <v>477</v>
      </c>
      <c r="J414" s="10" t="s">
        <v>41</v>
      </c>
      <c r="K414" s="24">
        <v>2968.6</v>
      </c>
      <c r="L414" s="24">
        <f>M414-K414</f>
        <v>0</v>
      </c>
      <c r="M414" s="24">
        <v>2968.6</v>
      </c>
    </row>
    <row r="415" spans="1:13" s="74" customFormat="1" ht="54" customHeight="1" x14ac:dyDescent="0.35">
      <c r="A415" s="11"/>
      <c r="B415" s="368" t="s">
        <v>66</v>
      </c>
      <c r="C415" s="23" t="s">
        <v>333</v>
      </c>
      <c r="D415" s="10" t="s">
        <v>188</v>
      </c>
      <c r="E415" s="10" t="s">
        <v>30</v>
      </c>
      <c r="F415" s="498" t="s">
        <v>30</v>
      </c>
      <c r="G415" s="499" t="s">
        <v>36</v>
      </c>
      <c r="H415" s="499" t="s">
        <v>30</v>
      </c>
      <c r="I415" s="500" t="s">
        <v>477</v>
      </c>
      <c r="J415" s="10" t="s">
        <v>67</v>
      </c>
      <c r="K415" s="24">
        <v>32576</v>
      </c>
      <c r="L415" s="24">
        <f>M415-K415</f>
        <v>0</v>
      </c>
      <c r="M415" s="24">
        <v>32576</v>
      </c>
    </row>
    <row r="416" spans="1:13" s="74" customFormat="1" ht="211.95" customHeight="1" x14ac:dyDescent="0.35">
      <c r="A416" s="11"/>
      <c r="B416" s="425" t="s">
        <v>474</v>
      </c>
      <c r="C416" s="23" t="s">
        <v>333</v>
      </c>
      <c r="D416" s="10" t="s">
        <v>188</v>
      </c>
      <c r="E416" s="10" t="s">
        <v>30</v>
      </c>
      <c r="F416" s="498" t="s">
        <v>30</v>
      </c>
      <c r="G416" s="499" t="s">
        <v>36</v>
      </c>
      <c r="H416" s="499" t="s">
        <v>30</v>
      </c>
      <c r="I416" s="500" t="s">
        <v>448</v>
      </c>
      <c r="J416" s="10"/>
      <c r="K416" s="24">
        <f>K417</f>
        <v>3900.6</v>
      </c>
      <c r="L416" s="24">
        <f t="shared" ref="L416" si="143">L417</f>
        <v>0</v>
      </c>
      <c r="M416" s="24">
        <f>M417</f>
        <v>3900.6</v>
      </c>
    </row>
    <row r="417" spans="1:13" s="74" customFormat="1" ht="54" customHeight="1" x14ac:dyDescent="0.35">
      <c r="A417" s="11"/>
      <c r="B417" s="368" t="s">
        <v>66</v>
      </c>
      <c r="C417" s="23" t="s">
        <v>333</v>
      </c>
      <c r="D417" s="10" t="s">
        <v>188</v>
      </c>
      <c r="E417" s="10" t="s">
        <v>30</v>
      </c>
      <c r="F417" s="498" t="s">
        <v>30</v>
      </c>
      <c r="G417" s="499" t="s">
        <v>36</v>
      </c>
      <c r="H417" s="499" t="s">
        <v>30</v>
      </c>
      <c r="I417" s="500" t="s">
        <v>448</v>
      </c>
      <c r="J417" s="10" t="s">
        <v>67</v>
      </c>
      <c r="K417" s="24">
        <v>3900.6</v>
      </c>
      <c r="L417" s="24">
        <f>M417-K417</f>
        <v>0</v>
      </c>
      <c r="M417" s="24">
        <v>3900.6</v>
      </c>
    </row>
    <row r="418" spans="1:13" s="74" customFormat="1" ht="90" customHeight="1" x14ac:dyDescent="0.35">
      <c r="A418" s="11"/>
      <c r="B418" s="368" t="s">
        <v>391</v>
      </c>
      <c r="C418" s="23" t="s">
        <v>333</v>
      </c>
      <c r="D418" s="10" t="s">
        <v>188</v>
      </c>
      <c r="E418" s="10" t="s">
        <v>30</v>
      </c>
      <c r="F418" s="498" t="s">
        <v>30</v>
      </c>
      <c r="G418" s="499" t="s">
        <v>36</v>
      </c>
      <c r="H418" s="499" t="s">
        <v>30</v>
      </c>
      <c r="I418" s="500" t="s">
        <v>390</v>
      </c>
      <c r="J418" s="10"/>
      <c r="K418" s="24">
        <f>SUM(K419:K421)</f>
        <v>14388.6</v>
      </c>
      <c r="L418" s="24">
        <f t="shared" ref="L418" si="144">SUM(L419:L421)</f>
        <v>0</v>
      </c>
      <c r="M418" s="24">
        <f>SUM(M419:M421)</f>
        <v>14388.6</v>
      </c>
    </row>
    <row r="419" spans="1:13" s="74" customFormat="1" ht="54" customHeight="1" x14ac:dyDescent="0.35">
      <c r="A419" s="11"/>
      <c r="B419" s="368" t="s">
        <v>45</v>
      </c>
      <c r="C419" s="23" t="s">
        <v>333</v>
      </c>
      <c r="D419" s="10" t="s">
        <v>188</v>
      </c>
      <c r="E419" s="10" t="s">
        <v>30</v>
      </c>
      <c r="F419" s="498" t="s">
        <v>30</v>
      </c>
      <c r="G419" s="499" t="s">
        <v>36</v>
      </c>
      <c r="H419" s="499" t="s">
        <v>30</v>
      </c>
      <c r="I419" s="500" t="s">
        <v>390</v>
      </c>
      <c r="J419" s="10" t="s">
        <v>46</v>
      </c>
      <c r="K419" s="24">
        <v>149.9</v>
      </c>
      <c r="L419" s="24">
        <f>M419-K419</f>
        <v>0</v>
      </c>
      <c r="M419" s="24">
        <v>149.9</v>
      </c>
    </row>
    <row r="420" spans="1:13" s="74" customFormat="1" ht="36" customHeight="1" x14ac:dyDescent="0.35">
      <c r="A420" s="11"/>
      <c r="B420" s="368" t="s">
        <v>110</v>
      </c>
      <c r="C420" s="23" t="s">
        <v>333</v>
      </c>
      <c r="D420" s="10" t="s">
        <v>188</v>
      </c>
      <c r="E420" s="10" t="s">
        <v>30</v>
      </c>
      <c r="F420" s="498" t="s">
        <v>30</v>
      </c>
      <c r="G420" s="499" t="s">
        <v>36</v>
      </c>
      <c r="H420" s="499" t="s">
        <v>30</v>
      </c>
      <c r="I420" s="500" t="s">
        <v>390</v>
      </c>
      <c r="J420" s="10" t="s">
        <v>111</v>
      </c>
      <c r="K420" s="24">
        <v>97.8</v>
      </c>
      <c r="L420" s="24">
        <f>M420-K420</f>
        <v>0</v>
      </c>
      <c r="M420" s="24">
        <v>97.8</v>
      </c>
    </row>
    <row r="421" spans="1:13" s="74" customFormat="1" ht="54" customHeight="1" x14ac:dyDescent="0.35">
      <c r="A421" s="11"/>
      <c r="B421" s="368" t="s">
        <v>66</v>
      </c>
      <c r="C421" s="23" t="s">
        <v>333</v>
      </c>
      <c r="D421" s="10" t="s">
        <v>188</v>
      </c>
      <c r="E421" s="10" t="s">
        <v>30</v>
      </c>
      <c r="F421" s="498" t="s">
        <v>30</v>
      </c>
      <c r="G421" s="499" t="s">
        <v>36</v>
      </c>
      <c r="H421" s="499" t="s">
        <v>30</v>
      </c>
      <c r="I421" s="500" t="s">
        <v>390</v>
      </c>
      <c r="J421" s="10" t="s">
        <v>67</v>
      </c>
      <c r="K421" s="24">
        <v>14140.9</v>
      </c>
      <c r="L421" s="24">
        <f>M421-K421</f>
        <v>0</v>
      </c>
      <c r="M421" s="24">
        <v>14140.9</v>
      </c>
    </row>
    <row r="422" spans="1:13" s="74" customFormat="1" ht="54" customHeight="1" x14ac:dyDescent="0.35">
      <c r="A422" s="11"/>
      <c r="B422" s="368" t="s">
        <v>467</v>
      </c>
      <c r="C422" s="23" t="s">
        <v>333</v>
      </c>
      <c r="D422" s="10" t="s">
        <v>188</v>
      </c>
      <c r="E422" s="10" t="s">
        <v>30</v>
      </c>
      <c r="F422" s="498" t="s">
        <v>30</v>
      </c>
      <c r="G422" s="499" t="s">
        <v>36</v>
      </c>
      <c r="H422" s="499" t="s">
        <v>468</v>
      </c>
      <c r="I422" s="500" t="s">
        <v>35</v>
      </c>
      <c r="J422" s="10"/>
      <c r="K422" s="24">
        <f>K423</f>
        <v>5745.9</v>
      </c>
      <c r="L422" s="24">
        <f>L423</f>
        <v>0</v>
      </c>
      <c r="M422" s="24">
        <f>M423</f>
        <v>5745.9</v>
      </c>
    </row>
    <row r="423" spans="1:13" s="74" customFormat="1" ht="54" customHeight="1" x14ac:dyDescent="0.35">
      <c r="A423" s="11"/>
      <c r="B423" s="368" t="s">
        <v>469</v>
      </c>
      <c r="C423" s="23" t="s">
        <v>333</v>
      </c>
      <c r="D423" s="10" t="s">
        <v>188</v>
      </c>
      <c r="E423" s="10" t="s">
        <v>30</v>
      </c>
      <c r="F423" s="498" t="s">
        <v>30</v>
      </c>
      <c r="G423" s="499" t="s">
        <v>36</v>
      </c>
      <c r="H423" s="499" t="s">
        <v>468</v>
      </c>
      <c r="I423" s="500" t="s">
        <v>470</v>
      </c>
      <c r="J423" s="10"/>
      <c r="K423" s="24">
        <f>K424+K425</f>
        <v>5745.9</v>
      </c>
      <c r="L423" s="24">
        <f>L424+L425</f>
        <v>0</v>
      </c>
      <c r="M423" s="24">
        <f>M424+M425</f>
        <v>5745.9</v>
      </c>
    </row>
    <row r="424" spans="1:13" s="74" customFormat="1" ht="54" customHeight="1" x14ac:dyDescent="0.35">
      <c r="A424" s="11"/>
      <c r="B424" s="368" t="s">
        <v>40</v>
      </c>
      <c r="C424" s="23" t="s">
        <v>333</v>
      </c>
      <c r="D424" s="10" t="s">
        <v>188</v>
      </c>
      <c r="E424" s="10" t="s">
        <v>30</v>
      </c>
      <c r="F424" s="498" t="s">
        <v>30</v>
      </c>
      <c r="G424" s="499" t="s">
        <v>36</v>
      </c>
      <c r="H424" s="499" t="s">
        <v>468</v>
      </c>
      <c r="I424" s="500" t="s">
        <v>470</v>
      </c>
      <c r="J424" s="10" t="s">
        <v>41</v>
      </c>
      <c r="K424" s="24">
        <v>420.4</v>
      </c>
      <c r="L424" s="24">
        <f>M424-K424</f>
        <v>0</v>
      </c>
      <c r="M424" s="24">
        <v>420.4</v>
      </c>
    </row>
    <row r="425" spans="1:13" s="74" customFormat="1" ht="54" customHeight="1" x14ac:dyDescent="0.35">
      <c r="A425" s="11"/>
      <c r="B425" s="368" t="s">
        <v>66</v>
      </c>
      <c r="C425" s="23" t="s">
        <v>333</v>
      </c>
      <c r="D425" s="10" t="s">
        <v>188</v>
      </c>
      <c r="E425" s="10" t="s">
        <v>30</v>
      </c>
      <c r="F425" s="498" t="s">
        <v>30</v>
      </c>
      <c r="G425" s="499" t="s">
        <v>36</v>
      </c>
      <c r="H425" s="499" t="s">
        <v>468</v>
      </c>
      <c r="I425" s="500" t="s">
        <v>470</v>
      </c>
      <c r="J425" s="10" t="s">
        <v>67</v>
      </c>
      <c r="K425" s="24">
        <v>5325.5</v>
      </c>
      <c r="L425" s="24">
        <f>M425-K425</f>
        <v>0</v>
      </c>
      <c r="M425" s="24">
        <v>5325.5</v>
      </c>
    </row>
    <row r="426" spans="1:13" s="75" customFormat="1" ht="54" customHeight="1" x14ac:dyDescent="0.35">
      <c r="A426" s="11"/>
      <c r="B426" s="368" t="s">
        <v>177</v>
      </c>
      <c r="C426" s="23" t="s">
        <v>333</v>
      </c>
      <c r="D426" s="10" t="s">
        <v>188</v>
      </c>
      <c r="E426" s="10" t="s">
        <v>30</v>
      </c>
      <c r="F426" s="498" t="s">
        <v>30</v>
      </c>
      <c r="G426" s="499" t="s">
        <v>21</v>
      </c>
      <c r="H426" s="499" t="s">
        <v>34</v>
      </c>
      <c r="I426" s="500" t="s">
        <v>35</v>
      </c>
      <c r="J426" s="10"/>
      <c r="K426" s="24">
        <f t="shared" ref="K426:M428" si="145">K427</f>
        <v>2379.1</v>
      </c>
      <c r="L426" s="24">
        <f t="shared" si="145"/>
        <v>0</v>
      </c>
      <c r="M426" s="24">
        <f t="shared" si="145"/>
        <v>2379.1</v>
      </c>
    </row>
    <row r="427" spans="1:13" s="75" customFormat="1" ht="36" customHeight="1" x14ac:dyDescent="0.35">
      <c r="A427" s="11"/>
      <c r="B427" s="368" t="s">
        <v>239</v>
      </c>
      <c r="C427" s="23" t="s">
        <v>333</v>
      </c>
      <c r="D427" s="10" t="s">
        <v>188</v>
      </c>
      <c r="E427" s="10" t="s">
        <v>30</v>
      </c>
      <c r="F427" s="498" t="s">
        <v>30</v>
      </c>
      <c r="G427" s="499" t="s">
        <v>21</v>
      </c>
      <c r="H427" s="499" t="s">
        <v>28</v>
      </c>
      <c r="I427" s="500" t="s">
        <v>35</v>
      </c>
      <c r="J427" s="10"/>
      <c r="K427" s="24">
        <f t="shared" si="145"/>
        <v>2379.1</v>
      </c>
      <c r="L427" s="24">
        <f t="shared" si="145"/>
        <v>0</v>
      </c>
      <c r="M427" s="24">
        <f t="shared" si="145"/>
        <v>2379.1</v>
      </c>
    </row>
    <row r="428" spans="1:13" s="75" customFormat="1" ht="252" customHeight="1" x14ac:dyDescent="0.35">
      <c r="A428" s="11"/>
      <c r="B428" s="368" t="s">
        <v>334</v>
      </c>
      <c r="C428" s="23" t="s">
        <v>333</v>
      </c>
      <c r="D428" s="10" t="s">
        <v>188</v>
      </c>
      <c r="E428" s="10" t="s">
        <v>30</v>
      </c>
      <c r="F428" s="498" t="s">
        <v>30</v>
      </c>
      <c r="G428" s="499" t="s">
        <v>21</v>
      </c>
      <c r="H428" s="499" t="s">
        <v>28</v>
      </c>
      <c r="I428" s="500" t="s">
        <v>289</v>
      </c>
      <c r="J428" s="10"/>
      <c r="K428" s="24">
        <f>K429</f>
        <v>2379.1</v>
      </c>
      <c r="L428" s="24">
        <f t="shared" si="145"/>
        <v>0</v>
      </c>
      <c r="M428" s="24">
        <f>M429</f>
        <v>2379.1</v>
      </c>
    </row>
    <row r="429" spans="1:13" s="75" customFormat="1" ht="54" customHeight="1" x14ac:dyDescent="0.35">
      <c r="A429" s="11"/>
      <c r="B429" s="368" t="s">
        <v>66</v>
      </c>
      <c r="C429" s="23" t="s">
        <v>333</v>
      </c>
      <c r="D429" s="10" t="s">
        <v>188</v>
      </c>
      <c r="E429" s="10" t="s">
        <v>30</v>
      </c>
      <c r="F429" s="498" t="s">
        <v>30</v>
      </c>
      <c r="G429" s="499" t="s">
        <v>21</v>
      </c>
      <c r="H429" s="499" t="s">
        <v>28</v>
      </c>
      <c r="I429" s="500" t="s">
        <v>289</v>
      </c>
      <c r="J429" s="10" t="s">
        <v>67</v>
      </c>
      <c r="K429" s="24">
        <v>2379.1</v>
      </c>
      <c r="L429" s="24">
        <f>M429-K429</f>
        <v>0</v>
      </c>
      <c r="M429" s="24">
        <v>2379.1</v>
      </c>
    </row>
    <row r="430" spans="1:13" s="75" customFormat="1" ht="18" customHeight="1" x14ac:dyDescent="0.35">
      <c r="A430" s="11"/>
      <c r="B430" s="368" t="s">
        <v>291</v>
      </c>
      <c r="C430" s="23" t="s">
        <v>333</v>
      </c>
      <c r="D430" s="10" t="s">
        <v>188</v>
      </c>
      <c r="E430" s="10" t="s">
        <v>53</v>
      </c>
      <c r="F430" s="498"/>
      <c r="G430" s="499"/>
      <c r="H430" s="499"/>
      <c r="I430" s="500"/>
      <c r="J430" s="10"/>
      <c r="K430" s="24">
        <f>K431</f>
        <v>65815.199999999997</v>
      </c>
      <c r="L430" s="24">
        <f t="shared" ref="L430" si="146">L431</f>
        <v>0</v>
      </c>
      <c r="M430" s="24">
        <f>M431</f>
        <v>65815.199999999997</v>
      </c>
    </row>
    <row r="431" spans="1:13" s="75" customFormat="1" ht="54" customHeight="1" x14ac:dyDescent="0.35">
      <c r="A431" s="11"/>
      <c r="B431" s="425" t="s">
        <v>170</v>
      </c>
      <c r="C431" s="23" t="s">
        <v>333</v>
      </c>
      <c r="D431" s="10" t="s">
        <v>188</v>
      </c>
      <c r="E431" s="10" t="s">
        <v>53</v>
      </c>
      <c r="F431" s="498" t="s">
        <v>30</v>
      </c>
      <c r="G431" s="499" t="s">
        <v>33</v>
      </c>
      <c r="H431" s="499" t="s">
        <v>34</v>
      </c>
      <c r="I431" s="500" t="s">
        <v>35</v>
      </c>
      <c r="J431" s="10"/>
      <c r="K431" s="24">
        <f t="shared" ref="K431:M432" si="147">K432</f>
        <v>65815.199999999997</v>
      </c>
      <c r="L431" s="24">
        <f t="shared" si="147"/>
        <v>0</v>
      </c>
      <c r="M431" s="24">
        <f t="shared" si="147"/>
        <v>65815.199999999997</v>
      </c>
    </row>
    <row r="432" spans="1:13" s="75" customFormat="1" ht="18" customHeight="1" x14ac:dyDescent="0.35">
      <c r="A432" s="11"/>
      <c r="B432" s="368" t="s">
        <v>175</v>
      </c>
      <c r="C432" s="23" t="s">
        <v>333</v>
      </c>
      <c r="D432" s="10" t="s">
        <v>188</v>
      </c>
      <c r="E432" s="10" t="s">
        <v>53</v>
      </c>
      <c r="F432" s="498" t="s">
        <v>30</v>
      </c>
      <c r="G432" s="499" t="s">
        <v>79</v>
      </c>
      <c r="H432" s="499" t="s">
        <v>34</v>
      </c>
      <c r="I432" s="500" t="s">
        <v>35</v>
      </c>
      <c r="J432" s="10"/>
      <c r="K432" s="24">
        <f t="shared" si="147"/>
        <v>65815.199999999997</v>
      </c>
      <c r="L432" s="24">
        <f t="shared" si="147"/>
        <v>0</v>
      </c>
      <c r="M432" s="24">
        <f t="shared" si="147"/>
        <v>65815.199999999997</v>
      </c>
    </row>
    <row r="433" spans="1:13" s="75" customFormat="1" ht="36" customHeight="1" x14ac:dyDescent="0.35">
      <c r="A433" s="11"/>
      <c r="B433" s="368" t="s">
        <v>233</v>
      </c>
      <c r="C433" s="23" t="s">
        <v>333</v>
      </c>
      <c r="D433" s="10" t="s">
        <v>188</v>
      </c>
      <c r="E433" s="10" t="s">
        <v>53</v>
      </c>
      <c r="F433" s="498" t="s">
        <v>30</v>
      </c>
      <c r="G433" s="499" t="s">
        <v>79</v>
      </c>
      <c r="H433" s="499" t="s">
        <v>28</v>
      </c>
      <c r="I433" s="500" t="s">
        <v>35</v>
      </c>
      <c r="J433" s="10"/>
      <c r="K433" s="24">
        <f>K434+K445+K438+K447+K440+K436+K442</f>
        <v>65815.199999999997</v>
      </c>
      <c r="L433" s="24">
        <f>L434+L445+L438+L447+L440+L436</f>
        <v>0</v>
      </c>
      <c r="M433" s="24">
        <f>M434+M445+M438+M447+M440+M436+M442</f>
        <v>65815.199999999997</v>
      </c>
    </row>
    <row r="434" spans="1:13" s="75" customFormat="1" ht="36" customHeight="1" x14ac:dyDescent="0.35">
      <c r="A434" s="11"/>
      <c r="B434" s="400" t="s">
        <v>353</v>
      </c>
      <c r="C434" s="23" t="s">
        <v>333</v>
      </c>
      <c r="D434" s="10" t="s">
        <v>188</v>
      </c>
      <c r="E434" s="10" t="s">
        <v>53</v>
      </c>
      <c r="F434" s="498" t="s">
        <v>30</v>
      </c>
      <c r="G434" s="499" t="s">
        <v>79</v>
      </c>
      <c r="H434" s="499" t="s">
        <v>28</v>
      </c>
      <c r="I434" s="500" t="s">
        <v>81</v>
      </c>
      <c r="J434" s="10"/>
      <c r="K434" s="24">
        <f>K435</f>
        <v>40696.6</v>
      </c>
      <c r="L434" s="24">
        <f>L435</f>
        <v>0</v>
      </c>
      <c r="M434" s="24">
        <f>M435</f>
        <v>40696.6</v>
      </c>
    </row>
    <row r="435" spans="1:13" s="75" customFormat="1" ht="54" customHeight="1" x14ac:dyDescent="0.35">
      <c r="A435" s="11"/>
      <c r="B435" s="368" t="s">
        <v>66</v>
      </c>
      <c r="C435" s="23" t="s">
        <v>333</v>
      </c>
      <c r="D435" s="10" t="s">
        <v>188</v>
      </c>
      <c r="E435" s="10" t="s">
        <v>53</v>
      </c>
      <c r="F435" s="498" t="s">
        <v>30</v>
      </c>
      <c r="G435" s="499" t="s">
        <v>79</v>
      </c>
      <c r="H435" s="499" t="s">
        <v>28</v>
      </c>
      <c r="I435" s="500" t="s">
        <v>81</v>
      </c>
      <c r="J435" s="10" t="s">
        <v>67</v>
      </c>
      <c r="K435" s="24">
        <v>40696.6</v>
      </c>
      <c r="L435" s="24">
        <f>M435-K435</f>
        <v>0</v>
      </c>
      <c r="M435" s="24">
        <v>40696.6</v>
      </c>
    </row>
    <row r="436" spans="1:13" s="75" customFormat="1" ht="18" customHeight="1" x14ac:dyDescent="0.35">
      <c r="A436" s="11"/>
      <c r="B436" s="368" t="s">
        <v>354</v>
      </c>
      <c r="C436" s="23" t="s">
        <v>333</v>
      </c>
      <c r="D436" s="10" t="s">
        <v>188</v>
      </c>
      <c r="E436" s="10" t="s">
        <v>53</v>
      </c>
      <c r="F436" s="498" t="s">
        <v>30</v>
      </c>
      <c r="G436" s="499" t="s">
        <v>79</v>
      </c>
      <c r="H436" s="499" t="s">
        <v>28</v>
      </c>
      <c r="I436" s="500" t="s">
        <v>318</v>
      </c>
      <c r="J436" s="10"/>
      <c r="K436" s="24">
        <f>K437</f>
        <v>972.4</v>
      </c>
      <c r="L436" s="24">
        <f t="shared" ref="L436" si="148">L437</f>
        <v>0</v>
      </c>
      <c r="M436" s="24">
        <f>M437</f>
        <v>972.4</v>
      </c>
    </row>
    <row r="437" spans="1:13" s="75" customFormat="1" ht="54" customHeight="1" x14ac:dyDescent="0.35">
      <c r="A437" s="11"/>
      <c r="B437" s="368" t="s">
        <v>66</v>
      </c>
      <c r="C437" s="23" t="s">
        <v>333</v>
      </c>
      <c r="D437" s="10" t="s">
        <v>188</v>
      </c>
      <c r="E437" s="10" t="s">
        <v>53</v>
      </c>
      <c r="F437" s="498" t="s">
        <v>30</v>
      </c>
      <c r="G437" s="499" t="s">
        <v>79</v>
      </c>
      <c r="H437" s="499" t="s">
        <v>28</v>
      </c>
      <c r="I437" s="500" t="s">
        <v>318</v>
      </c>
      <c r="J437" s="10" t="s">
        <v>67</v>
      </c>
      <c r="K437" s="24">
        <v>972.4</v>
      </c>
      <c r="L437" s="24">
        <f>M437-K437</f>
        <v>0</v>
      </c>
      <c r="M437" s="24">
        <v>972.4</v>
      </c>
    </row>
    <row r="438" spans="1:13" s="75" customFormat="1" ht="54" customHeight="1" x14ac:dyDescent="0.35">
      <c r="A438" s="11"/>
      <c r="B438" s="368" t="s">
        <v>172</v>
      </c>
      <c r="C438" s="23" t="s">
        <v>333</v>
      </c>
      <c r="D438" s="10" t="s">
        <v>188</v>
      </c>
      <c r="E438" s="10" t="s">
        <v>53</v>
      </c>
      <c r="F438" s="498" t="s">
        <v>30</v>
      </c>
      <c r="G438" s="499" t="s">
        <v>79</v>
      </c>
      <c r="H438" s="499" t="s">
        <v>28</v>
      </c>
      <c r="I438" s="500" t="s">
        <v>230</v>
      </c>
      <c r="J438" s="10"/>
      <c r="K438" s="24">
        <f>K439</f>
        <v>4638</v>
      </c>
      <c r="L438" s="24">
        <f>L439</f>
        <v>0</v>
      </c>
      <c r="M438" s="24">
        <f>M439</f>
        <v>4638</v>
      </c>
    </row>
    <row r="439" spans="1:13" s="75" customFormat="1" ht="54" customHeight="1" x14ac:dyDescent="0.35">
      <c r="A439" s="11"/>
      <c r="B439" s="425" t="s">
        <v>66</v>
      </c>
      <c r="C439" s="23" t="s">
        <v>333</v>
      </c>
      <c r="D439" s="10" t="s">
        <v>188</v>
      </c>
      <c r="E439" s="10" t="s">
        <v>53</v>
      </c>
      <c r="F439" s="498" t="s">
        <v>30</v>
      </c>
      <c r="G439" s="499" t="s">
        <v>79</v>
      </c>
      <c r="H439" s="499" t="s">
        <v>28</v>
      </c>
      <c r="I439" s="500" t="s">
        <v>230</v>
      </c>
      <c r="J439" s="10" t="s">
        <v>67</v>
      </c>
      <c r="K439" s="24">
        <f>4392+246</f>
        <v>4638</v>
      </c>
      <c r="L439" s="24">
        <f>M439-K439</f>
        <v>0</v>
      </c>
      <c r="M439" s="24">
        <f>4392+246</f>
        <v>4638</v>
      </c>
    </row>
    <row r="440" spans="1:13" s="75" customFormat="1" ht="36" customHeight="1" x14ac:dyDescent="0.35">
      <c r="A440" s="11"/>
      <c r="B440" s="368" t="s">
        <v>173</v>
      </c>
      <c r="C440" s="23" t="s">
        <v>333</v>
      </c>
      <c r="D440" s="10" t="s">
        <v>188</v>
      </c>
      <c r="E440" s="10" t="s">
        <v>53</v>
      </c>
      <c r="F440" s="498" t="s">
        <v>30</v>
      </c>
      <c r="G440" s="499" t="s">
        <v>79</v>
      </c>
      <c r="H440" s="499" t="s">
        <v>28</v>
      </c>
      <c r="I440" s="500" t="s">
        <v>231</v>
      </c>
      <c r="J440" s="10"/>
      <c r="K440" s="24">
        <f>K441</f>
        <v>272.39999999999998</v>
      </c>
      <c r="L440" s="24">
        <f t="shared" ref="L440" si="149">L441</f>
        <v>0</v>
      </c>
      <c r="M440" s="24">
        <f>M441</f>
        <v>272.39999999999998</v>
      </c>
    </row>
    <row r="441" spans="1:13" s="75" customFormat="1" ht="54" customHeight="1" x14ac:dyDescent="0.35">
      <c r="A441" s="11"/>
      <c r="B441" s="425" t="s">
        <v>66</v>
      </c>
      <c r="C441" s="23" t="s">
        <v>333</v>
      </c>
      <c r="D441" s="10" t="s">
        <v>188</v>
      </c>
      <c r="E441" s="10" t="s">
        <v>53</v>
      </c>
      <c r="F441" s="498" t="s">
        <v>30</v>
      </c>
      <c r="G441" s="499" t="s">
        <v>79</v>
      </c>
      <c r="H441" s="499" t="s">
        <v>28</v>
      </c>
      <c r="I441" s="500" t="s">
        <v>231</v>
      </c>
      <c r="J441" s="10" t="s">
        <v>67</v>
      </c>
      <c r="K441" s="24">
        <v>272.39999999999998</v>
      </c>
      <c r="L441" s="24">
        <f>M441-K441</f>
        <v>0</v>
      </c>
      <c r="M441" s="24">
        <v>272.39999999999998</v>
      </c>
    </row>
    <row r="442" spans="1:13" s="75" customFormat="1" ht="54" customHeight="1" x14ac:dyDescent="0.35">
      <c r="A442" s="11"/>
      <c r="B442" s="425" t="s">
        <v>472</v>
      </c>
      <c r="C442" s="23" t="s">
        <v>333</v>
      </c>
      <c r="D442" s="10" t="s">
        <v>188</v>
      </c>
      <c r="E442" s="10" t="s">
        <v>53</v>
      </c>
      <c r="F442" s="498" t="s">
        <v>30</v>
      </c>
      <c r="G442" s="499" t="s">
        <v>79</v>
      </c>
      <c r="H442" s="499" t="s">
        <v>28</v>
      </c>
      <c r="I442" s="500" t="s">
        <v>473</v>
      </c>
      <c r="J442" s="10"/>
      <c r="K442" s="24">
        <f>K443+K444</f>
        <v>6127.4999999999991</v>
      </c>
      <c r="L442" s="24">
        <f>L443</f>
        <v>0</v>
      </c>
      <c r="M442" s="24">
        <f>M443+M444</f>
        <v>6127.4999999999991</v>
      </c>
    </row>
    <row r="443" spans="1:13" s="75" customFormat="1" ht="54" customHeight="1" x14ac:dyDescent="0.35">
      <c r="A443" s="11"/>
      <c r="B443" s="425" t="s">
        <v>66</v>
      </c>
      <c r="C443" s="23" t="s">
        <v>333</v>
      </c>
      <c r="D443" s="10" t="s">
        <v>188</v>
      </c>
      <c r="E443" s="10" t="s">
        <v>53</v>
      </c>
      <c r="F443" s="498" t="s">
        <v>30</v>
      </c>
      <c r="G443" s="499" t="s">
        <v>79</v>
      </c>
      <c r="H443" s="499" t="s">
        <v>28</v>
      </c>
      <c r="I443" s="500" t="s">
        <v>473</v>
      </c>
      <c r="J443" s="10" t="s">
        <v>67</v>
      </c>
      <c r="K443" s="24">
        <v>6072.5999999999995</v>
      </c>
      <c r="L443" s="24">
        <f t="shared" ref="L443:L444" si="150">M443-K443</f>
        <v>0</v>
      </c>
      <c r="M443" s="24">
        <v>6072.5999999999995</v>
      </c>
    </row>
    <row r="444" spans="1:13" s="75" customFormat="1" ht="18" x14ac:dyDescent="0.35">
      <c r="A444" s="11"/>
      <c r="B444" s="425" t="s">
        <v>47</v>
      </c>
      <c r="C444" s="23" t="s">
        <v>333</v>
      </c>
      <c r="D444" s="10" t="s">
        <v>188</v>
      </c>
      <c r="E444" s="10" t="s">
        <v>53</v>
      </c>
      <c r="F444" s="498" t="s">
        <v>30</v>
      </c>
      <c r="G444" s="499" t="s">
        <v>79</v>
      </c>
      <c r="H444" s="499" t="s">
        <v>28</v>
      </c>
      <c r="I444" s="500" t="s">
        <v>473</v>
      </c>
      <c r="J444" s="10" t="s">
        <v>48</v>
      </c>
      <c r="K444" s="24">
        <v>54.9</v>
      </c>
      <c r="L444" s="24">
        <f t="shared" si="150"/>
        <v>0</v>
      </c>
      <c r="M444" s="24">
        <v>54.9</v>
      </c>
    </row>
    <row r="445" spans="1:13" s="75" customFormat="1" ht="180" customHeight="1" x14ac:dyDescent="0.35">
      <c r="A445" s="11"/>
      <c r="B445" s="368" t="s">
        <v>225</v>
      </c>
      <c r="C445" s="23" t="s">
        <v>333</v>
      </c>
      <c r="D445" s="10" t="s">
        <v>188</v>
      </c>
      <c r="E445" s="10" t="s">
        <v>53</v>
      </c>
      <c r="F445" s="498" t="s">
        <v>30</v>
      </c>
      <c r="G445" s="499" t="s">
        <v>79</v>
      </c>
      <c r="H445" s="499" t="s">
        <v>28</v>
      </c>
      <c r="I445" s="500" t="s">
        <v>226</v>
      </c>
      <c r="J445" s="10"/>
      <c r="K445" s="24">
        <f>K446</f>
        <v>108.3</v>
      </c>
      <c r="L445" s="24">
        <f t="shared" ref="L445" si="151">L446</f>
        <v>0</v>
      </c>
      <c r="M445" s="24">
        <f>M446</f>
        <v>108.3</v>
      </c>
    </row>
    <row r="446" spans="1:13" s="75" customFormat="1" ht="54" customHeight="1" x14ac:dyDescent="0.35">
      <c r="A446" s="11"/>
      <c r="B446" s="368" t="s">
        <v>66</v>
      </c>
      <c r="C446" s="23" t="s">
        <v>333</v>
      </c>
      <c r="D446" s="10" t="s">
        <v>188</v>
      </c>
      <c r="E446" s="10" t="s">
        <v>53</v>
      </c>
      <c r="F446" s="498" t="s">
        <v>30</v>
      </c>
      <c r="G446" s="499" t="s">
        <v>79</v>
      </c>
      <c r="H446" s="499" t="s">
        <v>28</v>
      </c>
      <c r="I446" s="500" t="s">
        <v>226</v>
      </c>
      <c r="J446" s="10" t="s">
        <v>67</v>
      </c>
      <c r="K446" s="24">
        <v>108.3</v>
      </c>
      <c r="L446" s="24">
        <f>M446-K446</f>
        <v>0</v>
      </c>
      <c r="M446" s="24">
        <v>108.3</v>
      </c>
    </row>
    <row r="447" spans="1:13" s="75" customFormat="1" ht="108" customHeight="1" x14ac:dyDescent="0.35">
      <c r="A447" s="11"/>
      <c r="B447" s="368" t="s">
        <v>288</v>
      </c>
      <c r="C447" s="23" t="s">
        <v>333</v>
      </c>
      <c r="D447" s="10" t="s">
        <v>188</v>
      </c>
      <c r="E447" s="10" t="s">
        <v>53</v>
      </c>
      <c r="F447" s="498" t="s">
        <v>30</v>
      </c>
      <c r="G447" s="499" t="s">
        <v>79</v>
      </c>
      <c r="H447" s="499" t="s">
        <v>28</v>
      </c>
      <c r="I447" s="500" t="s">
        <v>227</v>
      </c>
      <c r="J447" s="10"/>
      <c r="K447" s="24">
        <f>K449+K448</f>
        <v>13000</v>
      </c>
      <c r="L447" s="24">
        <f t="shared" ref="L447" si="152">L449+L448</f>
        <v>0</v>
      </c>
      <c r="M447" s="24">
        <f>M449+M448</f>
        <v>13000</v>
      </c>
    </row>
    <row r="448" spans="1:13" s="75" customFormat="1" ht="108" x14ac:dyDescent="0.35">
      <c r="A448" s="11"/>
      <c r="B448" s="368" t="s">
        <v>40</v>
      </c>
      <c r="C448" s="23" t="s">
        <v>333</v>
      </c>
      <c r="D448" s="10" t="s">
        <v>188</v>
      </c>
      <c r="E448" s="10" t="s">
        <v>53</v>
      </c>
      <c r="F448" s="498" t="s">
        <v>30</v>
      </c>
      <c r="G448" s="499" t="s">
        <v>79</v>
      </c>
      <c r="H448" s="499" t="s">
        <v>28</v>
      </c>
      <c r="I448" s="500" t="s">
        <v>227</v>
      </c>
      <c r="J448" s="10" t="s">
        <v>41</v>
      </c>
      <c r="K448" s="24">
        <v>900</v>
      </c>
      <c r="L448" s="24">
        <f>M448-K448</f>
        <v>0</v>
      </c>
      <c r="M448" s="24">
        <v>900</v>
      </c>
    </row>
    <row r="449" spans="1:13" s="75" customFormat="1" ht="54" customHeight="1" x14ac:dyDescent="0.35">
      <c r="A449" s="11"/>
      <c r="B449" s="368" t="s">
        <v>66</v>
      </c>
      <c r="C449" s="23" t="s">
        <v>333</v>
      </c>
      <c r="D449" s="10" t="s">
        <v>188</v>
      </c>
      <c r="E449" s="10" t="s">
        <v>53</v>
      </c>
      <c r="F449" s="498" t="s">
        <v>30</v>
      </c>
      <c r="G449" s="499" t="s">
        <v>79</v>
      </c>
      <c r="H449" s="499" t="s">
        <v>28</v>
      </c>
      <c r="I449" s="500" t="s">
        <v>227</v>
      </c>
      <c r="J449" s="10" t="s">
        <v>67</v>
      </c>
      <c r="K449" s="24">
        <v>12100</v>
      </c>
      <c r="L449" s="24">
        <f>M449-K449</f>
        <v>0</v>
      </c>
      <c r="M449" s="24">
        <v>12100</v>
      </c>
    </row>
    <row r="450" spans="1:13" s="75" customFormat="1" ht="54" customHeight="1" x14ac:dyDescent="0.35">
      <c r="A450" s="11"/>
      <c r="B450" s="368" t="s">
        <v>379</v>
      </c>
      <c r="C450" s="151" t="s">
        <v>333</v>
      </c>
      <c r="D450" s="28" t="s">
        <v>188</v>
      </c>
      <c r="E450" s="28" t="s">
        <v>55</v>
      </c>
      <c r="F450" s="41"/>
      <c r="G450" s="41"/>
      <c r="H450" s="41"/>
      <c r="I450" s="41"/>
      <c r="J450" s="10"/>
      <c r="K450" s="146">
        <f>K451</f>
        <v>4.5</v>
      </c>
      <c r="L450" s="146">
        <f t="shared" ref="L450:L451" si="153">L451</f>
        <v>0</v>
      </c>
      <c r="M450" s="146">
        <f>M451</f>
        <v>4.5</v>
      </c>
    </row>
    <row r="451" spans="1:13" s="75" customFormat="1" ht="54" customHeight="1" x14ac:dyDescent="0.35">
      <c r="A451" s="11"/>
      <c r="B451" s="368" t="s">
        <v>170</v>
      </c>
      <c r="C451" s="151" t="s">
        <v>333</v>
      </c>
      <c r="D451" s="28" t="s">
        <v>188</v>
      </c>
      <c r="E451" s="28" t="s">
        <v>55</v>
      </c>
      <c r="F451" s="58" t="s">
        <v>30</v>
      </c>
      <c r="G451" s="49" t="s">
        <v>33</v>
      </c>
      <c r="H451" s="49" t="s">
        <v>34</v>
      </c>
      <c r="I451" s="50" t="s">
        <v>35</v>
      </c>
      <c r="J451" s="434"/>
      <c r="K451" s="24">
        <f>K452</f>
        <v>4.5</v>
      </c>
      <c r="L451" s="24">
        <f t="shared" si="153"/>
        <v>0</v>
      </c>
      <c r="M451" s="24">
        <f>M452</f>
        <v>4.5</v>
      </c>
    </row>
    <row r="452" spans="1:13" s="75" customFormat="1" ht="54" customHeight="1" x14ac:dyDescent="0.35">
      <c r="A452" s="11"/>
      <c r="B452" s="368" t="s">
        <v>177</v>
      </c>
      <c r="C452" s="151" t="s">
        <v>333</v>
      </c>
      <c r="D452" s="28" t="s">
        <v>188</v>
      </c>
      <c r="E452" s="28" t="s">
        <v>55</v>
      </c>
      <c r="F452" s="58" t="s">
        <v>30</v>
      </c>
      <c r="G452" s="49" t="s">
        <v>21</v>
      </c>
      <c r="H452" s="49" t="s">
        <v>34</v>
      </c>
      <c r="I452" s="50" t="s">
        <v>35</v>
      </c>
      <c r="J452" s="51"/>
      <c r="K452" s="146">
        <f t="shared" ref="K452:M454" si="154">K453</f>
        <v>4.5</v>
      </c>
      <c r="L452" s="146">
        <f t="shared" si="154"/>
        <v>0</v>
      </c>
      <c r="M452" s="146">
        <f t="shared" si="154"/>
        <v>4.5</v>
      </c>
    </row>
    <row r="453" spans="1:13" s="75" customFormat="1" ht="36" x14ac:dyDescent="0.35">
      <c r="A453" s="11"/>
      <c r="B453" s="368" t="s">
        <v>239</v>
      </c>
      <c r="C453" s="151" t="s">
        <v>333</v>
      </c>
      <c r="D453" s="28" t="s">
        <v>188</v>
      </c>
      <c r="E453" s="28" t="s">
        <v>55</v>
      </c>
      <c r="F453" s="58" t="s">
        <v>30</v>
      </c>
      <c r="G453" s="49" t="s">
        <v>21</v>
      </c>
      <c r="H453" s="49" t="s">
        <v>28</v>
      </c>
      <c r="I453" s="50" t="s">
        <v>35</v>
      </c>
      <c r="J453" s="51"/>
      <c r="K453" s="146">
        <f t="shared" si="154"/>
        <v>4.5</v>
      </c>
      <c r="L453" s="146">
        <f t="shared" si="154"/>
        <v>0</v>
      </c>
      <c r="M453" s="146">
        <f t="shared" si="154"/>
        <v>4.5</v>
      </c>
    </row>
    <row r="454" spans="1:13" s="75" customFormat="1" ht="36" x14ac:dyDescent="0.35">
      <c r="A454" s="11"/>
      <c r="B454" s="400" t="s">
        <v>381</v>
      </c>
      <c r="C454" s="23" t="s">
        <v>333</v>
      </c>
      <c r="D454" s="10" t="s">
        <v>188</v>
      </c>
      <c r="E454" s="10" t="s">
        <v>55</v>
      </c>
      <c r="F454" s="58" t="s">
        <v>30</v>
      </c>
      <c r="G454" s="49" t="s">
        <v>21</v>
      </c>
      <c r="H454" s="49" t="s">
        <v>28</v>
      </c>
      <c r="I454" s="50" t="s">
        <v>380</v>
      </c>
      <c r="J454" s="51"/>
      <c r="K454" s="24">
        <f t="shared" si="154"/>
        <v>4.5</v>
      </c>
      <c r="L454" s="24">
        <f t="shared" si="154"/>
        <v>0</v>
      </c>
      <c r="M454" s="24">
        <f t="shared" si="154"/>
        <v>4.5</v>
      </c>
    </row>
    <row r="455" spans="1:13" s="75" customFormat="1" ht="54" customHeight="1" x14ac:dyDescent="0.35">
      <c r="A455" s="11"/>
      <c r="B455" s="368" t="s">
        <v>45</v>
      </c>
      <c r="C455" s="23" t="s">
        <v>333</v>
      </c>
      <c r="D455" s="10" t="s">
        <v>188</v>
      </c>
      <c r="E455" s="10" t="s">
        <v>55</v>
      </c>
      <c r="F455" s="91" t="s">
        <v>30</v>
      </c>
      <c r="G455" s="89" t="s">
        <v>21</v>
      </c>
      <c r="H455" s="89" t="s">
        <v>28</v>
      </c>
      <c r="I455" s="90" t="s">
        <v>380</v>
      </c>
      <c r="J455" s="351" t="s">
        <v>46</v>
      </c>
      <c r="K455" s="24">
        <v>4.5</v>
      </c>
      <c r="L455" s="24">
        <f>M455-K455</f>
        <v>0</v>
      </c>
      <c r="M455" s="24">
        <v>4.5</v>
      </c>
    </row>
    <row r="456" spans="1:13" s="75" customFormat="1" ht="18" customHeight="1" x14ac:dyDescent="0.35">
      <c r="A456" s="11"/>
      <c r="B456" s="368" t="s">
        <v>151</v>
      </c>
      <c r="C456" s="23" t="s">
        <v>333</v>
      </c>
      <c r="D456" s="10" t="s">
        <v>188</v>
      </c>
      <c r="E456" s="10" t="s">
        <v>69</v>
      </c>
      <c r="F456" s="498"/>
      <c r="G456" s="499"/>
      <c r="H456" s="499"/>
      <c r="I456" s="500"/>
      <c r="J456" s="10"/>
      <c r="K456" s="24">
        <f>K457</f>
        <v>97769.8</v>
      </c>
      <c r="L456" s="24">
        <f t="shared" ref="L456" si="155">L457</f>
        <v>0</v>
      </c>
      <c r="M456" s="24">
        <f>M457</f>
        <v>97769.8</v>
      </c>
    </row>
    <row r="457" spans="1:13" s="75" customFormat="1" ht="54" customHeight="1" x14ac:dyDescent="0.35">
      <c r="A457" s="11"/>
      <c r="B457" s="368" t="s">
        <v>170</v>
      </c>
      <c r="C457" s="23" t="s">
        <v>333</v>
      </c>
      <c r="D457" s="10" t="s">
        <v>188</v>
      </c>
      <c r="E457" s="10" t="s">
        <v>69</v>
      </c>
      <c r="F457" s="498" t="s">
        <v>30</v>
      </c>
      <c r="G457" s="499" t="s">
        <v>33</v>
      </c>
      <c r="H457" s="499" t="s">
        <v>34</v>
      </c>
      <c r="I457" s="500" t="s">
        <v>35</v>
      </c>
      <c r="J457" s="10"/>
      <c r="K457" s="24">
        <f>K462+K458</f>
        <v>97769.8</v>
      </c>
      <c r="L457" s="24">
        <f t="shared" ref="L457" si="156">L462+L458</f>
        <v>0</v>
      </c>
      <c r="M457" s="24">
        <f>M462+M458</f>
        <v>97769.8</v>
      </c>
    </row>
    <row r="458" spans="1:13" s="75" customFormat="1" ht="18" customHeight="1" x14ac:dyDescent="0.35">
      <c r="A458" s="11"/>
      <c r="B458" s="368" t="s">
        <v>175</v>
      </c>
      <c r="C458" s="23" t="s">
        <v>333</v>
      </c>
      <c r="D458" s="10" t="s">
        <v>188</v>
      </c>
      <c r="E458" s="10" t="s">
        <v>69</v>
      </c>
      <c r="F458" s="498" t="s">
        <v>30</v>
      </c>
      <c r="G458" s="499" t="s">
        <v>79</v>
      </c>
      <c r="H458" s="499" t="s">
        <v>34</v>
      </c>
      <c r="I458" s="500" t="s">
        <v>35</v>
      </c>
      <c r="J458" s="10"/>
      <c r="K458" s="24">
        <f t="shared" ref="K458:M460" si="157">K459</f>
        <v>54</v>
      </c>
      <c r="L458" s="24">
        <f t="shared" si="157"/>
        <v>0</v>
      </c>
      <c r="M458" s="24">
        <f t="shared" si="157"/>
        <v>54</v>
      </c>
    </row>
    <row r="459" spans="1:13" s="75" customFormat="1" ht="18" customHeight="1" x14ac:dyDescent="0.35">
      <c r="A459" s="11"/>
      <c r="B459" s="368" t="s">
        <v>234</v>
      </c>
      <c r="C459" s="23" t="s">
        <v>333</v>
      </c>
      <c r="D459" s="10" t="s">
        <v>188</v>
      </c>
      <c r="E459" s="10" t="s">
        <v>69</v>
      </c>
      <c r="F459" s="498" t="s">
        <v>30</v>
      </c>
      <c r="G459" s="499" t="s">
        <v>79</v>
      </c>
      <c r="H459" s="499" t="s">
        <v>30</v>
      </c>
      <c r="I459" s="500" t="s">
        <v>35</v>
      </c>
      <c r="J459" s="10"/>
      <c r="K459" s="24">
        <f t="shared" si="157"/>
        <v>54</v>
      </c>
      <c r="L459" s="24">
        <f t="shared" si="157"/>
        <v>0</v>
      </c>
      <c r="M459" s="24">
        <f t="shared" si="157"/>
        <v>54</v>
      </c>
    </row>
    <row r="460" spans="1:13" s="75" customFormat="1" ht="36" customHeight="1" x14ac:dyDescent="0.35">
      <c r="A460" s="11"/>
      <c r="B460" s="368" t="s">
        <v>235</v>
      </c>
      <c r="C460" s="23" t="s">
        <v>333</v>
      </c>
      <c r="D460" s="10" t="s">
        <v>188</v>
      </c>
      <c r="E460" s="10" t="s">
        <v>69</v>
      </c>
      <c r="F460" s="498" t="s">
        <v>30</v>
      </c>
      <c r="G460" s="499" t="s">
        <v>79</v>
      </c>
      <c r="H460" s="499" t="s">
        <v>30</v>
      </c>
      <c r="I460" s="500" t="s">
        <v>236</v>
      </c>
      <c r="J460" s="10"/>
      <c r="K460" s="24">
        <f t="shared" si="157"/>
        <v>54</v>
      </c>
      <c r="L460" s="24">
        <f t="shared" si="157"/>
        <v>0</v>
      </c>
      <c r="M460" s="24">
        <f t="shared" si="157"/>
        <v>54</v>
      </c>
    </row>
    <row r="461" spans="1:13" s="75" customFormat="1" ht="36" customHeight="1" x14ac:dyDescent="0.35">
      <c r="A461" s="11"/>
      <c r="B461" s="368" t="s">
        <v>110</v>
      </c>
      <c r="C461" s="23" t="s">
        <v>333</v>
      </c>
      <c r="D461" s="10" t="s">
        <v>188</v>
      </c>
      <c r="E461" s="10" t="s">
        <v>69</v>
      </c>
      <c r="F461" s="498" t="s">
        <v>30</v>
      </c>
      <c r="G461" s="499" t="s">
        <v>79</v>
      </c>
      <c r="H461" s="499" t="s">
        <v>30</v>
      </c>
      <c r="I461" s="500" t="s">
        <v>236</v>
      </c>
      <c r="J461" s="10" t="s">
        <v>111</v>
      </c>
      <c r="K461" s="24">
        <v>54</v>
      </c>
      <c r="L461" s="24">
        <f>M461-K461</f>
        <v>0</v>
      </c>
      <c r="M461" s="24">
        <v>54</v>
      </c>
    </row>
    <row r="462" spans="1:13" s="75" customFormat="1" ht="54" customHeight="1" x14ac:dyDescent="0.35">
      <c r="A462" s="11"/>
      <c r="B462" s="368" t="s">
        <v>177</v>
      </c>
      <c r="C462" s="23" t="s">
        <v>333</v>
      </c>
      <c r="D462" s="10" t="s">
        <v>188</v>
      </c>
      <c r="E462" s="10" t="s">
        <v>69</v>
      </c>
      <c r="F462" s="498" t="s">
        <v>30</v>
      </c>
      <c r="G462" s="499" t="s">
        <v>21</v>
      </c>
      <c r="H462" s="499" t="s">
        <v>34</v>
      </c>
      <c r="I462" s="500" t="s">
        <v>35</v>
      </c>
      <c r="J462" s="10"/>
      <c r="K462" s="24">
        <f>K463+K479</f>
        <v>97715.8</v>
      </c>
      <c r="L462" s="24">
        <f t="shared" ref="L462" si="158">L463+L479</f>
        <v>0</v>
      </c>
      <c r="M462" s="24">
        <f>M463+M479</f>
        <v>97715.8</v>
      </c>
    </row>
    <row r="463" spans="1:13" s="75" customFormat="1" ht="36" customHeight="1" x14ac:dyDescent="0.35">
      <c r="A463" s="11"/>
      <c r="B463" s="368" t="s">
        <v>239</v>
      </c>
      <c r="C463" s="23" t="s">
        <v>333</v>
      </c>
      <c r="D463" s="10" t="s">
        <v>188</v>
      </c>
      <c r="E463" s="10" t="s">
        <v>69</v>
      </c>
      <c r="F463" s="498" t="s">
        <v>30</v>
      </c>
      <c r="G463" s="499" t="s">
        <v>21</v>
      </c>
      <c r="H463" s="499" t="s">
        <v>28</v>
      </c>
      <c r="I463" s="500" t="s">
        <v>35</v>
      </c>
      <c r="J463" s="10"/>
      <c r="K463" s="24">
        <f>K464+K468+K476+K473</f>
        <v>89904.5</v>
      </c>
      <c r="L463" s="24">
        <f t="shared" ref="L463" si="159">L464+L468+L476+L473</f>
        <v>0</v>
      </c>
      <c r="M463" s="24">
        <f>M464+M468+M476+M473</f>
        <v>89904.5</v>
      </c>
    </row>
    <row r="464" spans="1:13" s="75" customFormat="1" ht="36" customHeight="1" x14ac:dyDescent="0.35">
      <c r="A464" s="11"/>
      <c r="B464" s="368" t="s">
        <v>38</v>
      </c>
      <c r="C464" s="23" t="s">
        <v>333</v>
      </c>
      <c r="D464" s="10" t="s">
        <v>188</v>
      </c>
      <c r="E464" s="10" t="s">
        <v>69</v>
      </c>
      <c r="F464" s="498" t="s">
        <v>30</v>
      </c>
      <c r="G464" s="499" t="s">
        <v>21</v>
      </c>
      <c r="H464" s="499" t="s">
        <v>28</v>
      </c>
      <c r="I464" s="500" t="s">
        <v>39</v>
      </c>
      <c r="J464" s="10"/>
      <c r="K464" s="24">
        <f>K465+K466+K467</f>
        <v>13703.5</v>
      </c>
      <c r="L464" s="24">
        <f t="shared" ref="L464" si="160">L465+L466+L467</f>
        <v>0</v>
      </c>
      <c r="M464" s="24">
        <f>M465+M466+M467</f>
        <v>13703.5</v>
      </c>
    </row>
    <row r="465" spans="1:13" s="75" customFormat="1" ht="108" customHeight="1" x14ac:dyDescent="0.35">
      <c r="A465" s="11"/>
      <c r="B465" s="368" t="s">
        <v>40</v>
      </c>
      <c r="C465" s="23" t="s">
        <v>333</v>
      </c>
      <c r="D465" s="10" t="s">
        <v>188</v>
      </c>
      <c r="E465" s="10" t="s">
        <v>69</v>
      </c>
      <c r="F465" s="498" t="s">
        <v>30</v>
      </c>
      <c r="G465" s="499" t="s">
        <v>21</v>
      </c>
      <c r="H465" s="499" t="s">
        <v>28</v>
      </c>
      <c r="I465" s="500" t="s">
        <v>39</v>
      </c>
      <c r="J465" s="10" t="s">
        <v>41</v>
      </c>
      <c r="K465" s="24">
        <f>12837.9+43.6</f>
        <v>12881.5</v>
      </c>
      <c r="L465" s="24">
        <f>M465-K465</f>
        <v>0</v>
      </c>
      <c r="M465" s="24">
        <f>12837.9+43.6</f>
        <v>12881.5</v>
      </c>
    </row>
    <row r="466" spans="1:13" s="75" customFormat="1" ht="54" customHeight="1" x14ac:dyDescent="0.35">
      <c r="A466" s="11"/>
      <c r="B466" s="368" t="s">
        <v>45</v>
      </c>
      <c r="C466" s="23" t="s">
        <v>333</v>
      </c>
      <c r="D466" s="10" t="s">
        <v>188</v>
      </c>
      <c r="E466" s="10" t="s">
        <v>69</v>
      </c>
      <c r="F466" s="498" t="s">
        <v>30</v>
      </c>
      <c r="G466" s="499" t="s">
        <v>21</v>
      </c>
      <c r="H466" s="499" t="s">
        <v>28</v>
      </c>
      <c r="I466" s="500" t="s">
        <v>39</v>
      </c>
      <c r="J466" s="10" t="s">
        <v>46</v>
      </c>
      <c r="K466" s="24">
        <v>805.5</v>
      </c>
      <c r="L466" s="24">
        <f>M466-K466</f>
        <v>0</v>
      </c>
      <c r="M466" s="24">
        <v>805.5</v>
      </c>
    </row>
    <row r="467" spans="1:13" s="75" customFormat="1" ht="18" customHeight="1" x14ac:dyDescent="0.35">
      <c r="A467" s="11"/>
      <c r="B467" s="368" t="s">
        <v>47</v>
      </c>
      <c r="C467" s="23" t="s">
        <v>333</v>
      </c>
      <c r="D467" s="10" t="s">
        <v>188</v>
      </c>
      <c r="E467" s="10" t="s">
        <v>69</v>
      </c>
      <c r="F467" s="498" t="s">
        <v>30</v>
      </c>
      <c r="G467" s="499" t="s">
        <v>21</v>
      </c>
      <c r="H467" s="499" t="s">
        <v>28</v>
      </c>
      <c r="I467" s="500" t="s">
        <v>39</v>
      </c>
      <c r="J467" s="10" t="s">
        <v>48</v>
      </c>
      <c r="K467" s="24">
        <v>16.5</v>
      </c>
      <c r="L467" s="24">
        <f>M467-K467</f>
        <v>0</v>
      </c>
      <c r="M467" s="24">
        <v>16.5</v>
      </c>
    </row>
    <row r="468" spans="1:13" s="75" customFormat="1" ht="36" customHeight="1" x14ac:dyDescent="0.35">
      <c r="A468" s="11"/>
      <c r="B468" s="400" t="s">
        <v>353</v>
      </c>
      <c r="C468" s="23" t="s">
        <v>333</v>
      </c>
      <c r="D468" s="10" t="s">
        <v>188</v>
      </c>
      <c r="E468" s="10" t="s">
        <v>69</v>
      </c>
      <c r="F468" s="498" t="s">
        <v>30</v>
      </c>
      <c r="G468" s="499" t="s">
        <v>21</v>
      </c>
      <c r="H468" s="499" t="s">
        <v>28</v>
      </c>
      <c r="I468" s="500" t="s">
        <v>81</v>
      </c>
      <c r="J468" s="10"/>
      <c r="K468" s="24">
        <f>K469+K470+K472+K471</f>
        <v>64027.899999999994</v>
      </c>
      <c r="L468" s="24">
        <f t="shared" ref="L468" si="161">L469+L470+L472+L471</f>
        <v>0</v>
      </c>
      <c r="M468" s="24">
        <f>M469+M470+M472+M471</f>
        <v>64027.899999999994</v>
      </c>
    </row>
    <row r="469" spans="1:13" s="75" customFormat="1" ht="108" customHeight="1" x14ac:dyDescent="0.35">
      <c r="A469" s="11"/>
      <c r="B469" s="368" t="s">
        <v>40</v>
      </c>
      <c r="C469" s="23" t="s">
        <v>333</v>
      </c>
      <c r="D469" s="10" t="s">
        <v>188</v>
      </c>
      <c r="E469" s="10" t="s">
        <v>69</v>
      </c>
      <c r="F469" s="498" t="s">
        <v>30</v>
      </c>
      <c r="G469" s="499" t="s">
        <v>21</v>
      </c>
      <c r="H469" s="499" t="s">
        <v>28</v>
      </c>
      <c r="I469" s="500" t="s">
        <v>81</v>
      </c>
      <c r="J469" s="10" t="s">
        <v>41</v>
      </c>
      <c r="K469" s="24">
        <f>38846.2+48.1</f>
        <v>38894.299999999996</v>
      </c>
      <c r="L469" s="24">
        <f>M469-K469</f>
        <v>0</v>
      </c>
      <c r="M469" s="24">
        <f>38846.2+48.1</f>
        <v>38894.299999999996</v>
      </c>
    </row>
    <row r="470" spans="1:13" s="75" customFormat="1" ht="54" customHeight="1" x14ac:dyDescent="0.35">
      <c r="A470" s="11"/>
      <c r="B470" s="368" t="s">
        <v>45</v>
      </c>
      <c r="C470" s="23" t="s">
        <v>333</v>
      </c>
      <c r="D470" s="10" t="s">
        <v>188</v>
      </c>
      <c r="E470" s="10" t="s">
        <v>69</v>
      </c>
      <c r="F470" s="498" t="s">
        <v>30</v>
      </c>
      <c r="G470" s="499" t="s">
        <v>21</v>
      </c>
      <c r="H470" s="499" t="s">
        <v>28</v>
      </c>
      <c r="I470" s="500" t="s">
        <v>81</v>
      </c>
      <c r="J470" s="10" t="s">
        <v>46</v>
      </c>
      <c r="K470" s="24">
        <v>3258.2</v>
      </c>
      <c r="L470" s="24">
        <f>M470-K470</f>
        <v>0</v>
      </c>
      <c r="M470" s="24">
        <v>3258.2</v>
      </c>
    </row>
    <row r="471" spans="1:13" s="75" customFormat="1" ht="54" customHeight="1" x14ac:dyDescent="0.35">
      <c r="A471" s="11"/>
      <c r="B471" s="368" t="s">
        <v>66</v>
      </c>
      <c r="C471" s="23" t="s">
        <v>333</v>
      </c>
      <c r="D471" s="10" t="s">
        <v>188</v>
      </c>
      <c r="E471" s="10" t="s">
        <v>69</v>
      </c>
      <c r="F471" s="498" t="s">
        <v>30</v>
      </c>
      <c r="G471" s="499" t="s">
        <v>21</v>
      </c>
      <c r="H471" s="499" t="s">
        <v>28</v>
      </c>
      <c r="I471" s="500" t="s">
        <v>81</v>
      </c>
      <c r="J471" s="10" t="s">
        <v>67</v>
      </c>
      <c r="K471" s="24">
        <f>20856.4+14.2+1000</f>
        <v>21870.600000000002</v>
      </c>
      <c r="L471" s="24">
        <f>M471-K471</f>
        <v>0</v>
      </c>
      <c r="M471" s="24">
        <f>20856.4+14.2+1000</f>
        <v>21870.600000000002</v>
      </c>
    </row>
    <row r="472" spans="1:13" s="75" customFormat="1" ht="18" customHeight="1" x14ac:dyDescent="0.35">
      <c r="A472" s="11"/>
      <c r="B472" s="368" t="s">
        <v>47</v>
      </c>
      <c r="C472" s="23" t="s">
        <v>333</v>
      </c>
      <c r="D472" s="10" t="s">
        <v>188</v>
      </c>
      <c r="E472" s="10" t="s">
        <v>69</v>
      </c>
      <c r="F472" s="498" t="s">
        <v>30</v>
      </c>
      <c r="G472" s="499" t="s">
        <v>21</v>
      </c>
      <c r="H472" s="499" t="s">
        <v>28</v>
      </c>
      <c r="I472" s="500" t="s">
        <v>81</v>
      </c>
      <c r="J472" s="10" t="s">
        <v>48</v>
      </c>
      <c r="K472" s="24">
        <v>4.8</v>
      </c>
      <c r="L472" s="24">
        <f>M472-K472</f>
        <v>0</v>
      </c>
      <c r="M472" s="24">
        <v>4.8</v>
      </c>
    </row>
    <row r="473" spans="1:13" s="75" customFormat="1" ht="36" customHeight="1" x14ac:dyDescent="0.35">
      <c r="A473" s="11"/>
      <c r="B473" s="368" t="s">
        <v>173</v>
      </c>
      <c r="C473" s="23" t="s">
        <v>333</v>
      </c>
      <c r="D473" s="10" t="s">
        <v>188</v>
      </c>
      <c r="E473" s="10" t="s">
        <v>69</v>
      </c>
      <c r="F473" s="498" t="s">
        <v>30</v>
      </c>
      <c r="G473" s="499" t="s">
        <v>21</v>
      </c>
      <c r="H473" s="499" t="s">
        <v>28</v>
      </c>
      <c r="I473" s="500" t="s">
        <v>231</v>
      </c>
      <c r="J473" s="10"/>
      <c r="K473" s="24">
        <f>K474+K475</f>
        <v>4213.8</v>
      </c>
      <c r="L473" s="24">
        <f t="shared" ref="L473" si="162">L474+L475</f>
        <v>0</v>
      </c>
      <c r="M473" s="24">
        <f>M474+M475</f>
        <v>4213.8</v>
      </c>
    </row>
    <row r="474" spans="1:13" s="75" customFormat="1" ht="54" customHeight="1" x14ac:dyDescent="0.35">
      <c r="A474" s="11"/>
      <c r="B474" s="368" t="s">
        <v>45</v>
      </c>
      <c r="C474" s="23" t="s">
        <v>333</v>
      </c>
      <c r="D474" s="10" t="s">
        <v>188</v>
      </c>
      <c r="E474" s="10" t="s">
        <v>69</v>
      </c>
      <c r="F474" s="498" t="s">
        <v>30</v>
      </c>
      <c r="G474" s="499" t="s">
        <v>21</v>
      </c>
      <c r="H474" s="499" t="s">
        <v>28</v>
      </c>
      <c r="I474" s="500" t="s">
        <v>231</v>
      </c>
      <c r="J474" s="10" t="s">
        <v>46</v>
      </c>
      <c r="K474" s="24">
        <v>10</v>
      </c>
      <c r="L474" s="24">
        <f>M474-K474</f>
        <v>0</v>
      </c>
      <c r="M474" s="24">
        <v>10</v>
      </c>
    </row>
    <row r="475" spans="1:13" s="75" customFormat="1" ht="54" customHeight="1" x14ac:dyDescent="0.35">
      <c r="A475" s="11"/>
      <c r="B475" s="368" t="s">
        <v>66</v>
      </c>
      <c r="C475" s="23" t="s">
        <v>333</v>
      </c>
      <c r="D475" s="10" t="s">
        <v>188</v>
      </c>
      <c r="E475" s="10" t="s">
        <v>69</v>
      </c>
      <c r="F475" s="498" t="s">
        <v>30</v>
      </c>
      <c r="G475" s="499" t="s">
        <v>21</v>
      </c>
      <c r="H475" s="499" t="s">
        <v>28</v>
      </c>
      <c r="I475" s="500" t="s">
        <v>231</v>
      </c>
      <c r="J475" s="10" t="s">
        <v>67</v>
      </c>
      <c r="K475" s="24">
        <f>313.8+3890</f>
        <v>4203.8</v>
      </c>
      <c r="L475" s="24">
        <f>M475-K475</f>
        <v>0</v>
      </c>
      <c r="M475" s="24">
        <f>313.8+3890</f>
        <v>4203.8</v>
      </c>
    </row>
    <row r="476" spans="1:13" s="75" customFormat="1" ht="108" customHeight="1" x14ac:dyDescent="0.35">
      <c r="A476" s="11"/>
      <c r="B476" s="368" t="s">
        <v>288</v>
      </c>
      <c r="C476" s="23" t="s">
        <v>333</v>
      </c>
      <c r="D476" s="10" t="s">
        <v>188</v>
      </c>
      <c r="E476" s="10" t="s">
        <v>69</v>
      </c>
      <c r="F476" s="498" t="s">
        <v>30</v>
      </c>
      <c r="G476" s="499" t="s">
        <v>21</v>
      </c>
      <c r="H476" s="499" t="s">
        <v>28</v>
      </c>
      <c r="I476" s="500" t="s">
        <v>227</v>
      </c>
      <c r="J476" s="10"/>
      <c r="K476" s="24">
        <f>K477+K478</f>
        <v>7959.3</v>
      </c>
      <c r="L476" s="24">
        <f t="shared" ref="L476" si="163">L477+L478</f>
        <v>0</v>
      </c>
      <c r="M476" s="24">
        <f>M477+M478</f>
        <v>7959.3</v>
      </c>
    </row>
    <row r="477" spans="1:13" s="75" customFormat="1" ht="108" customHeight="1" x14ac:dyDescent="0.35">
      <c r="A477" s="11"/>
      <c r="B477" s="368" t="s">
        <v>40</v>
      </c>
      <c r="C477" s="23" t="s">
        <v>333</v>
      </c>
      <c r="D477" s="10" t="s">
        <v>188</v>
      </c>
      <c r="E477" s="10" t="s">
        <v>69</v>
      </c>
      <c r="F477" s="498" t="s">
        <v>30</v>
      </c>
      <c r="G477" s="499" t="s">
        <v>21</v>
      </c>
      <c r="H477" s="499" t="s">
        <v>28</v>
      </c>
      <c r="I477" s="500" t="s">
        <v>227</v>
      </c>
      <c r="J477" s="10" t="s">
        <v>41</v>
      </c>
      <c r="K477" s="24">
        <v>7200</v>
      </c>
      <c r="L477" s="24">
        <f>M477-K477</f>
        <v>0</v>
      </c>
      <c r="M477" s="24">
        <v>7200</v>
      </c>
    </row>
    <row r="478" spans="1:13" s="75" customFormat="1" ht="54" customHeight="1" x14ac:dyDescent="0.35">
      <c r="A478" s="11"/>
      <c r="B478" s="368" t="s">
        <v>45</v>
      </c>
      <c r="C478" s="23" t="s">
        <v>333</v>
      </c>
      <c r="D478" s="10" t="s">
        <v>188</v>
      </c>
      <c r="E478" s="10" t="s">
        <v>69</v>
      </c>
      <c r="F478" s="498" t="s">
        <v>30</v>
      </c>
      <c r="G478" s="499" t="s">
        <v>21</v>
      </c>
      <c r="H478" s="499" t="s">
        <v>28</v>
      </c>
      <c r="I478" s="500" t="s">
        <v>227</v>
      </c>
      <c r="J478" s="10" t="s">
        <v>46</v>
      </c>
      <c r="K478" s="24">
        <v>759.3</v>
      </c>
      <c r="L478" s="24">
        <f>M478-K478</f>
        <v>0</v>
      </c>
      <c r="M478" s="24">
        <v>759.3</v>
      </c>
    </row>
    <row r="479" spans="1:13" s="75" customFormat="1" ht="54" customHeight="1" x14ac:dyDescent="0.35">
      <c r="A479" s="11"/>
      <c r="B479" s="366" t="s">
        <v>238</v>
      </c>
      <c r="C479" s="151" t="s">
        <v>333</v>
      </c>
      <c r="D479" s="28" t="s">
        <v>188</v>
      </c>
      <c r="E479" s="28" t="s">
        <v>69</v>
      </c>
      <c r="F479" s="143" t="s">
        <v>30</v>
      </c>
      <c r="G479" s="144" t="s">
        <v>21</v>
      </c>
      <c r="H479" s="144" t="s">
        <v>30</v>
      </c>
      <c r="I479" s="145" t="s">
        <v>35</v>
      </c>
      <c r="J479" s="28"/>
      <c r="K479" s="146">
        <f>K480+K482</f>
        <v>7811.3</v>
      </c>
      <c r="L479" s="146">
        <f t="shared" ref="L479" si="164">L480+L482</f>
        <v>0</v>
      </c>
      <c r="M479" s="146">
        <f>M480+M482</f>
        <v>7811.3</v>
      </c>
    </row>
    <row r="480" spans="1:13" s="75" customFormat="1" ht="36" customHeight="1" x14ac:dyDescent="0.35">
      <c r="A480" s="11"/>
      <c r="B480" s="366" t="s">
        <v>359</v>
      </c>
      <c r="C480" s="151" t="s">
        <v>333</v>
      </c>
      <c r="D480" s="28" t="s">
        <v>188</v>
      </c>
      <c r="E480" s="28" t="s">
        <v>69</v>
      </c>
      <c r="F480" s="143" t="s">
        <v>30</v>
      </c>
      <c r="G480" s="144" t="s">
        <v>21</v>
      </c>
      <c r="H480" s="144" t="s">
        <v>30</v>
      </c>
      <c r="I480" s="145" t="s">
        <v>358</v>
      </c>
      <c r="J480" s="28"/>
      <c r="K480" s="146">
        <f>K481</f>
        <v>2243.3000000000002</v>
      </c>
      <c r="L480" s="146">
        <f t="shared" ref="L480" si="165">L481</f>
        <v>0</v>
      </c>
      <c r="M480" s="146">
        <f>M481</f>
        <v>2243.3000000000002</v>
      </c>
    </row>
    <row r="481" spans="1:13" s="75" customFormat="1" ht="54" customHeight="1" x14ac:dyDescent="0.35">
      <c r="A481" s="11"/>
      <c r="B481" s="366" t="s">
        <v>66</v>
      </c>
      <c r="C481" s="151" t="s">
        <v>333</v>
      </c>
      <c r="D481" s="28" t="s">
        <v>188</v>
      </c>
      <c r="E481" s="28" t="s">
        <v>69</v>
      </c>
      <c r="F481" s="143" t="s">
        <v>30</v>
      </c>
      <c r="G481" s="144" t="s">
        <v>21</v>
      </c>
      <c r="H481" s="144" t="s">
        <v>30</v>
      </c>
      <c r="I481" s="145" t="s">
        <v>358</v>
      </c>
      <c r="J481" s="28" t="s">
        <v>67</v>
      </c>
      <c r="K481" s="146">
        <v>2243.3000000000002</v>
      </c>
      <c r="L481" s="24">
        <f>M481-K481</f>
        <v>0</v>
      </c>
      <c r="M481" s="146">
        <v>2243.3000000000002</v>
      </c>
    </row>
    <row r="482" spans="1:13" s="75" customFormat="1" ht="108" customHeight="1" x14ac:dyDescent="0.35">
      <c r="A482" s="11"/>
      <c r="B482" s="366" t="s">
        <v>339</v>
      </c>
      <c r="C482" s="151" t="s">
        <v>333</v>
      </c>
      <c r="D482" s="28" t="s">
        <v>188</v>
      </c>
      <c r="E482" s="28" t="s">
        <v>69</v>
      </c>
      <c r="F482" s="143" t="s">
        <v>30</v>
      </c>
      <c r="G482" s="144" t="s">
        <v>21</v>
      </c>
      <c r="H482" s="144" t="s">
        <v>30</v>
      </c>
      <c r="I482" s="145" t="s">
        <v>338</v>
      </c>
      <c r="J482" s="28"/>
      <c r="K482" s="146">
        <f>K483</f>
        <v>5568</v>
      </c>
      <c r="L482" s="146">
        <f t="shared" ref="L482" si="166">L483</f>
        <v>0</v>
      </c>
      <c r="M482" s="146">
        <f>M483</f>
        <v>5568</v>
      </c>
    </row>
    <row r="483" spans="1:13" s="75" customFormat="1" ht="54" customHeight="1" x14ac:dyDescent="0.35">
      <c r="A483" s="11"/>
      <c r="B483" s="366" t="s">
        <v>66</v>
      </c>
      <c r="C483" s="151" t="s">
        <v>333</v>
      </c>
      <c r="D483" s="28" t="s">
        <v>188</v>
      </c>
      <c r="E483" s="28" t="s">
        <v>69</v>
      </c>
      <c r="F483" s="143" t="s">
        <v>30</v>
      </c>
      <c r="G483" s="144" t="s">
        <v>21</v>
      </c>
      <c r="H483" s="144" t="s">
        <v>30</v>
      </c>
      <c r="I483" s="145" t="s">
        <v>338</v>
      </c>
      <c r="J483" s="28" t="s">
        <v>67</v>
      </c>
      <c r="K483" s="146">
        <v>5568</v>
      </c>
      <c r="L483" s="24">
        <f>M483-K483</f>
        <v>0</v>
      </c>
      <c r="M483" s="146">
        <v>5568</v>
      </c>
    </row>
    <row r="484" spans="1:13" s="75" customFormat="1" ht="18" customHeight="1" x14ac:dyDescent="0.35">
      <c r="A484" s="11"/>
      <c r="B484" s="406" t="s">
        <v>109</v>
      </c>
      <c r="C484" s="23" t="s">
        <v>333</v>
      </c>
      <c r="D484" s="10" t="s">
        <v>94</v>
      </c>
      <c r="E484" s="10"/>
      <c r="F484" s="498"/>
      <c r="G484" s="499"/>
      <c r="H484" s="499"/>
      <c r="I484" s="500"/>
      <c r="J484" s="10"/>
      <c r="K484" s="24">
        <f>K485</f>
        <v>8438.2000000000007</v>
      </c>
      <c r="L484" s="24">
        <f t="shared" ref="L484" si="167">L485</f>
        <v>0</v>
      </c>
      <c r="M484" s="24">
        <f>M485</f>
        <v>8438.2000000000007</v>
      </c>
    </row>
    <row r="485" spans="1:13" s="75" customFormat="1" ht="18" x14ac:dyDescent="0.35">
      <c r="A485" s="11"/>
      <c r="B485" s="406" t="s">
        <v>158</v>
      </c>
      <c r="C485" s="23" t="s">
        <v>333</v>
      </c>
      <c r="D485" s="10" t="s">
        <v>94</v>
      </c>
      <c r="E485" s="10" t="s">
        <v>42</v>
      </c>
      <c r="F485" s="498"/>
      <c r="G485" s="499"/>
      <c r="H485" s="499"/>
      <c r="I485" s="500"/>
      <c r="J485" s="10"/>
      <c r="K485" s="24">
        <f t="shared" ref="K485:M485" si="168">K486</f>
        <v>8438.2000000000007</v>
      </c>
      <c r="L485" s="24">
        <f t="shared" si="168"/>
        <v>0</v>
      </c>
      <c r="M485" s="24">
        <f t="shared" si="168"/>
        <v>8438.2000000000007</v>
      </c>
    </row>
    <row r="486" spans="1:13" s="75" customFormat="1" ht="54" customHeight="1" x14ac:dyDescent="0.35">
      <c r="A486" s="11"/>
      <c r="B486" s="368" t="s">
        <v>170</v>
      </c>
      <c r="C486" s="23" t="s">
        <v>333</v>
      </c>
      <c r="D486" s="10" t="s">
        <v>94</v>
      </c>
      <c r="E486" s="10" t="s">
        <v>42</v>
      </c>
      <c r="F486" s="498" t="s">
        <v>30</v>
      </c>
      <c r="G486" s="499" t="s">
        <v>33</v>
      </c>
      <c r="H486" s="499" t="s">
        <v>34</v>
      </c>
      <c r="I486" s="500" t="s">
        <v>35</v>
      </c>
      <c r="J486" s="10"/>
      <c r="K486" s="24">
        <f t="shared" ref="K486:M488" si="169">K487</f>
        <v>8438.2000000000007</v>
      </c>
      <c r="L486" s="24">
        <f t="shared" si="169"/>
        <v>0</v>
      </c>
      <c r="M486" s="24">
        <f t="shared" si="169"/>
        <v>8438.2000000000007</v>
      </c>
    </row>
    <row r="487" spans="1:13" s="75" customFormat="1" ht="36" customHeight="1" x14ac:dyDescent="0.35">
      <c r="A487" s="11"/>
      <c r="B487" s="368" t="s">
        <v>171</v>
      </c>
      <c r="C487" s="23" t="s">
        <v>333</v>
      </c>
      <c r="D487" s="10" t="s">
        <v>94</v>
      </c>
      <c r="E487" s="10" t="s">
        <v>42</v>
      </c>
      <c r="F487" s="498" t="s">
        <v>30</v>
      </c>
      <c r="G487" s="499" t="s">
        <v>36</v>
      </c>
      <c r="H487" s="499" t="s">
        <v>34</v>
      </c>
      <c r="I487" s="500" t="s">
        <v>35</v>
      </c>
      <c r="J487" s="10"/>
      <c r="K487" s="24">
        <f t="shared" si="169"/>
        <v>8438.2000000000007</v>
      </c>
      <c r="L487" s="24">
        <f t="shared" si="169"/>
        <v>0</v>
      </c>
      <c r="M487" s="24">
        <f t="shared" si="169"/>
        <v>8438.2000000000007</v>
      </c>
    </row>
    <row r="488" spans="1:13" s="75" customFormat="1" ht="36" customHeight="1" x14ac:dyDescent="0.35">
      <c r="A488" s="11"/>
      <c r="B488" s="368" t="s">
        <v>224</v>
      </c>
      <c r="C488" s="23" t="s">
        <v>333</v>
      </c>
      <c r="D488" s="10" t="s">
        <v>94</v>
      </c>
      <c r="E488" s="10" t="s">
        <v>42</v>
      </c>
      <c r="F488" s="498" t="s">
        <v>30</v>
      </c>
      <c r="G488" s="499" t="s">
        <v>36</v>
      </c>
      <c r="H488" s="499" t="s">
        <v>28</v>
      </c>
      <c r="I488" s="500" t="s">
        <v>35</v>
      </c>
      <c r="J488" s="10"/>
      <c r="K488" s="24">
        <f t="shared" si="169"/>
        <v>8438.2000000000007</v>
      </c>
      <c r="L488" s="24">
        <f t="shared" si="169"/>
        <v>0</v>
      </c>
      <c r="M488" s="24">
        <f t="shared" si="169"/>
        <v>8438.2000000000007</v>
      </c>
    </row>
    <row r="489" spans="1:13" s="75" customFormat="1" ht="126" customHeight="1" x14ac:dyDescent="0.35">
      <c r="A489" s="11"/>
      <c r="B489" s="368" t="s">
        <v>240</v>
      </c>
      <c r="C489" s="23" t="s">
        <v>333</v>
      </c>
      <c r="D489" s="10" t="s">
        <v>94</v>
      </c>
      <c r="E489" s="10" t="s">
        <v>42</v>
      </c>
      <c r="F489" s="498" t="s">
        <v>30</v>
      </c>
      <c r="G489" s="499" t="s">
        <v>36</v>
      </c>
      <c r="H489" s="499" t="s">
        <v>28</v>
      </c>
      <c r="I489" s="500" t="s">
        <v>241</v>
      </c>
      <c r="J489" s="10"/>
      <c r="K489" s="24">
        <f>K490+K491</f>
        <v>8438.2000000000007</v>
      </c>
      <c r="L489" s="24">
        <f t="shared" ref="L489" si="170">L490+L491</f>
        <v>0</v>
      </c>
      <c r="M489" s="24">
        <f>M490+M491</f>
        <v>8438.2000000000007</v>
      </c>
    </row>
    <row r="490" spans="1:13" s="75" customFormat="1" ht="54" customHeight="1" x14ac:dyDescent="0.35">
      <c r="A490" s="11"/>
      <c r="B490" s="368" t="s">
        <v>45</v>
      </c>
      <c r="C490" s="23" t="s">
        <v>333</v>
      </c>
      <c r="D490" s="10" t="s">
        <v>94</v>
      </c>
      <c r="E490" s="10" t="s">
        <v>42</v>
      </c>
      <c r="F490" s="498" t="s">
        <v>30</v>
      </c>
      <c r="G490" s="499" t="s">
        <v>36</v>
      </c>
      <c r="H490" s="499" t="s">
        <v>28</v>
      </c>
      <c r="I490" s="500" t="s">
        <v>241</v>
      </c>
      <c r="J490" s="10" t="s">
        <v>46</v>
      </c>
      <c r="K490" s="24">
        <v>124.7</v>
      </c>
      <c r="L490" s="24">
        <f>M490-K490</f>
        <v>0</v>
      </c>
      <c r="M490" s="24">
        <v>124.7</v>
      </c>
    </row>
    <row r="491" spans="1:13" s="75" customFormat="1" ht="36" customHeight="1" x14ac:dyDescent="0.35">
      <c r="A491" s="11"/>
      <c r="B491" s="375" t="s">
        <v>110</v>
      </c>
      <c r="C491" s="23" t="s">
        <v>333</v>
      </c>
      <c r="D491" s="10" t="s">
        <v>94</v>
      </c>
      <c r="E491" s="10" t="s">
        <v>42</v>
      </c>
      <c r="F491" s="498" t="s">
        <v>30</v>
      </c>
      <c r="G491" s="499" t="s">
        <v>36</v>
      </c>
      <c r="H491" s="499" t="s">
        <v>28</v>
      </c>
      <c r="I491" s="500" t="s">
        <v>241</v>
      </c>
      <c r="J491" s="10" t="s">
        <v>111</v>
      </c>
      <c r="K491" s="24">
        <v>8313.5</v>
      </c>
      <c r="L491" s="24">
        <f>M491-K491</f>
        <v>0</v>
      </c>
      <c r="M491" s="24">
        <v>8313.5</v>
      </c>
    </row>
    <row r="492" spans="1:13" s="75" customFormat="1" ht="18" x14ac:dyDescent="0.35">
      <c r="A492" s="11"/>
      <c r="B492" s="372" t="s">
        <v>271</v>
      </c>
      <c r="C492" s="23" t="s">
        <v>333</v>
      </c>
      <c r="D492" s="10" t="s">
        <v>57</v>
      </c>
      <c r="E492" s="10"/>
      <c r="F492" s="498"/>
      <c r="G492" s="499"/>
      <c r="H492" s="499"/>
      <c r="I492" s="500"/>
      <c r="J492" s="10"/>
      <c r="K492" s="24">
        <f t="shared" ref="K492:M495" si="171">K493</f>
        <v>22455.200000000001</v>
      </c>
      <c r="L492" s="24">
        <f t="shared" si="171"/>
        <v>0</v>
      </c>
      <c r="M492" s="24">
        <f t="shared" si="171"/>
        <v>22455.200000000001</v>
      </c>
    </row>
    <row r="493" spans="1:13" s="75" customFormat="1" ht="18" x14ac:dyDescent="0.35">
      <c r="A493" s="11"/>
      <c r="B493" s="433" t="s">
        <v>426</v>
      </c>
      <c r="C493" s="23" t="s">
        <v>333</v>
      </c>
      <c r="D493" s="10" t="s">
        <v>57</v>
      </c>
      <c r="E493" s="10" t="s">
        <v>53</v>
      </c>
      <c r="F493" s="498"/>
      <c r="G493" s="499"/>
      <c r="H493" s="499"/>
      <c r="I493" s="500"/>
      <c r="J493" s="10"/>
      <c r="K493" s="24">
        <f t="shared" si="171"/>
        <v>22455.200000000001</v>
      </c>
      <c r="L493" s="24">
        <f t="shared" si="171"/>
        <v>0</v>
      </c>
      <c r="M493" s="24">
        <f t="shared" si="171"/>
        <v>22455.200000000001</v>
      </c>
    </row>
    <row r="494" spans="1:13" s="75" customFormat="1" ht="36" customHeight="1" x14ac:dyDescent="0.35">
      <c r="A494" s="11"/>
      <c r="B494" s="433" t="s">
        <v>170</v>
      </c>
      <c r="C494" s="23" t="s">
        <v>333</v>
      </c>
      <c r="D494" s="10" t="s">
        <v>57</v>
      </c>
      <c r="E494" s="10" t="s">
        <v>53</v>
      </c>
      <c r="F494" s="498" t="s">
        <v>30</v>
      </c>
      <c r="G494" s="499" t="s">
        <v>33</v>
      </c>
      <c r="H494" s="499" t="s">
        <v>34</v>
      </c>
      <c r="I494" s="500" t="s">
        <v>35</v>
      </c>
      <c r="J494" s="10"/>
      <c r="K494" s="24">
        <f t="shared" si="171"/>
        <v>22455.200000000001</v>
      </c>
      <c r="L494" s="24">
        <f>L495</f>
        <v>0</v>
      </c>
      <c r="M494" s="24">
        <f t="shared" si="171"/>
        <v>22455.200000000001</v>
      </c>
    </row>
    <row r="495" spans="1:13" s="75" customFormat="1" ht="18" x14ac:dyDescent="0.35">
      <c r="A495" s="11"/>
      <c r="B495" s="433" t="s">
        <v>175</v>
      </c>
      <c r="C495" s="23" t="s">
        <v>333</v>
      </c>
      <c r="D495" s="10" t="s">
        <v>57</v>
      </c>
      <c r="E495" s="10" t="s">
        <v>53</v>
      </c>
      <c r="F495" s="498" t="s">
        <v>30</v>
      </c>
      <c r="G495" s="499" t="s">
        <v>79</v>
      </c>
      <c r="H495" s="499" t="s">
        <v>34</v>
      </c>
      <c r="I495" s="500" t="s">
        <v>35</v>
      </c>
      <c r="J495" s="10"/>
      <c r="K495" s="24">
        <f t="shared" si="171"/>
        <v>22455.200000000001</v>
      </c>
      <c r="L495" s="24">
        <f>L496</f>
        <v>0</v>
      </c>
      <c r="M495" s="24">
        <f t="shared" si="171"/>
        <v>22455.200000000001</v>
      </c>
    </row>
    <row r="496" spans="1:13" s="75" customFormat="1" ht="36" customHeight="1" x14ac:dyDescent="0.35">
      <c r="A496" s="11"/>
      <c r="B496" s="433" t="s">
        <v>233</v>
      </c>
      <c r="C496" s="23" t="s">
        <v>333</v>
      </c>
      <c r="D496" s="10" t="s">
        <v>57</v>
      </c>
      <c r="E496" s="10" t="s">
        <v>53</v>
      </c>
      <c r="F496" s="498" t="s">
        <v>30</v>
      </c>
      <c r="G496" s="499" t="s">
        <v>79</v>
      </c>
      <c r="H496" s="499" t="s">
        <v>28</v>
      </c>
      <c r="I496" s="500" t="s">
        <v>35</v>
      </c>
      <c r="J496" s="10"/>
      <c r="K496" s="24">
        <f>K497+K501</f>
        <v>22455.200000000001</v>
      </c>
      <c r="L496" s="24">
        <f>L497+L501</f>
        <v>0</v>
      </c>
      <c r="M496" s="24">
        <f>M497+M501</f>
        <v>22455.200000000001</v>
      </c>
    </row>
    <row r="497" spans="1:13" s="75" customFormat="1" ht="36" customHeight="1" x14ac:dyDescent="0.35">
      <c r="A497" s="11"/>
      <c r="B497" s="479" t="s">
        <v>353</v>
      </c>
      <c r="C497" s="23" t="s">
        <v>333</v>
      </c>
      <c r="D497" s="10" t="s">
        <v>57</v>
      </c>
      <c r="E497" s="10" t="s">
        <v>53</v>
      </c>
      <c r="F497" s="498" t="s">
        <v>30</v>
      </c>
      <c r="G497" s="499" t="s">
        <v>79</v>
      </c>
      <c r="H497" s="499" t="s">
        <v>28</v>
      </c>
      <c r="I497" s="500" t="s">
        <v>81</v>
      </c>
      <c r="J497" s="10"/>
      <c r="K497" s="24">
        <f>K498+K499+K500</f>
        <v>21295.7</v>
      </c>
      <c r="L497" s="24">
        <f>SUM(L498:L500)</f>
        <v>0</v>
      </c>
      <c r="M497" s="24">
        <f>M498+M499+M500</f>
        <v>21295.7</v>
      </c>
    </row>
    <row r="498" spans="1:13" s="75" customFormat="1" ht="108" x14ac:dyDescent="0.35">
      <c r="A498" s="11"/>
      <c r="B498" s="368" t="s">
        <v>40</v>
      </c>
      <c r="C498" s="23" t="s">
        <v>333</v>
      </c>
      <c r="D498" s="10" t="s">
        <v>57</v>
      </c>
      <c r="E498" s="10" t="s">
        <v>53</v>
      </c>
      <c r="F498" s="498" t="s">
        <v>30</v>
      </c>
      <c r="G498" s="499" t="s">
        <v>79</v>
      </c>
      <c r="H498" s="499" t="s">
        <v>28</v>
      </c>
      <c r="I498" s="500" t="s">
        <v>81</v>
      </c>
      <c r="J498" s="10" t="s">
        <v>41</v>
      </c>
      <c r="K498" s="24">
        <f>17038.2+396.2</f>
        <v>17434.400000000001</v>
      </c>
      <c r="L498" s="24">
        <f>M498-K498</f>
        <v>0</v>
      </c>
      <c r="M498" s="24">
        <f>17038.2+396.2</f>
        <v>17434.400000000001</v>
      </c>
    </row>
    <row r="499" spans="1:13" s="75" customFormat="1" ht="36" customHeight="1" x14ac:dyDescent="0.35">
      <c r="A499" s="11"/>
      <c r="B499" s="433" t="s">
        <v>45</v>
      </c>
      <c r="C499" s="23" t="s">
        <v>333</v>
      </c>
      <c r="D499" s="10" t="s">
        <v>57</v>
      </c>
      <c r="E499" s="10" t="s">
        <v>53</v>
      </c>
      <c r="F499" s="498" t="s">
        <v>30</v>
      </c>
      <c r="G499" s="499" t="s">
        <v>79</v>
      </c>
      <c r="H499" s="499" t="s">
        <v>28</v>
      </c>
      <c r="I499" s="500" t="s">
        <v>81</v>
      </c>
      <c r="J499" s="10" t="s">
        <v>46</v>
      </c>
      <c r="K499" s="24">
        <f>1296.2+2261.9</f>
        <v>3558.1000000000004</v>
      </c>
      <c r="L499" s="24">
        <f>M499-K499</f>
        <v>0</v>
      </c>
      <c r="M499" s="24">
        <f>1296.2+2261.9</f>
        <v>3558.1000000000004</v>
      </c>
    </row>
    <row r="500" spans="1:13" s="75" customFormat="1" ht="18" x14ac:dyDescent="0.35">
      <c r="A500" s="11"/>
      <c r="B500" s="368" t="s">
        <v>47</v>
      </c>
      <c r="C500" s="23" t="s">
        <v>333</v>
      </c>
      <c r="D500" s="10" t="s">
        <v>57</v>
      </c>
      <c r="E500" s="10" t="s">
        <v>53</v>
      </c>
      <c r="F500" s="498" t="s">
        <v>30</v>
      </c>
      <c r="G500" s="499" t="s">
        <v>79</v>
      </c>
      <c r="H500" s="499" t="s">
        <v>28</v>
      </c>
      <c r="I500" s="500" t="s">
        <v>81</v>
      </c>
      <c r="J500" s="10" t="s">
        <v>48</v>
      </c>
      <c r="K500" s="24">
        <v>303.2</v>
      </c>
      <c r="L500" s="24">
        <f>M500-K500</f>
        <v>0</v>
      </c>
      <c r="M500" s="24">
        <v>303.2</v>
      </c>
    </row>
    <row r="501" spans="1:13" s="75" customFormat="1" ht="54" x14ac:dyDescent="0.35">
      <c r="A501" s="11"/>
      <c r="B501" s="368" t="s">
        <v>172</v>
      </c>
      <c r="C501" s="23" t="s">
        <v>333</v>
      </c>
      <c r="D501" s="10" t="s">
        <v>57</v>
      </c>
      <c r="E501" s="10" t="s">
        <v>53</v>
      </c>
      <c r="F501" s="498" t="s">
        <v>30</v>
      </c>
      <c r="G501" s="499" t="s">
        <v>79</v>
      </c>
      <c r="H501" s="499" t="s">
        <v>28</v>
      </c>
      <c r="I501" s="500" t="s">
        <v>230</v>
      </c>
      <c r="J501" s="10"/>
      <c r="K501" s="24">
        <f>K502</f>
        <v>1159.5</v>
      </c>
      <c r="L501" s="24">
        <f>L502</f>
        <v>0</v>
      </c>
      <c r="M501" s="24">
        <f>M502</f>
        <v>1159.5</v>
      </c>
    </row>
    <row r="502" spans="1:13" s="75" customFormat="1" ht="54" x14ac:dyDescent="0.35">
      <c r="A502" s="11"/>
      <c r="B502" s="368" t="s">
        <v>45</v>
      </c>
      <c r="C502" s="23" t="s">
        <v>333</v>
      </c>
      <c r="D502" s="10" t="s">
        <v>57</v>
      </c>
      <c r="E502" s="10" t="s">
        <v>53</v>
      </c>
      <c r="F502" s="498" t="s">
        <v>30</v>
      </c>
      <c r="G502" s="499" t="s">
        <v>79</v>
      </c>
      <c r="H502" s="499" t="s">
        <v>28</v>
      </c>
      <c r="I502" s="500" t="s">
        <v>230</v>
      </c>
      <c r="J502" s="10" t="s">
        <v>46</v>
      </c>
      <c r="K502" s="24">
        <v>1159.5</v>
      </c>
      <c r="L502" s="24">
        <f>M502-K502</f>
        <v>0</v>
      </c>
      <c r="M502" s="24">
        <v>1159.5</v>
      </c>
    </row>
    <row r="503" spans="1:13" s="87" customFormat="1" ht="18" customHeight="1" x14ac:dyDescent="0.35">
      <c r="A503" s="457"/>
      <c r="B503" s="473"/>
      <c r="C503" s="486"/>
      <c r="D503" s="487"/>
      <c r="E503" s="487"/>
      <c r="F503" s="108"/>
      <c r="G503" s="109"/>
      <c r="H503" s="109"/>
      <c r="I503" s="110"/>
      <c r="J503" s="487"/>
      <c r="K503" s="187"/>
      <c r="L503" s="187"/>
      <c r="M503" s="187"/>
    </row>
    <row r="504" spans="1:13" s="74" customFormat="1" ht="52.2" customHeight="1" x14ac:dyDescent="0.3">
      <c r="A504" s="73">
        <v>6</v>
      </c>
      <c r="B504" s="426" t="s">
        <v>7</v>
      </c>
      <c r="C504" s="18" t="s">
        <v>263</v>
      </c>
      <c r="D504" s="19"/>
      <c r="E504" s="19"/>
      <c r="F504" s="20"/>
      <c r="G504" s="21"/>
      <c r="H504" s="21"/>
      <c r="I504" s="22"/>
      <c r="J504" s="19"/>
      <c r="K504" s="32">
        <f>K515+K537+K505</f>
        <v>132125.29999999999</v>
      </c>
      <c r="L504" s="32">
        <f t="shared" ref="L504" si="172">L515+L537+L505</f>
        <v>2676.599999999994</v>
      </c>
      <c r="M504" s="32">
        <f>M515+M537+M505</f>
        <v>134801.89999999997</v>
      </c>
    </row>
    <row r="505" spans="1:13" s="74" customFormat="1" ht="18" customHeight="1" x14ac:dyDescent="0.35">
      <c r="A505" s="73"/>
      <c r="B505" s="368" t="s">
        <v>27</v>
      </c>
      <c r="C505" s="23" t="s">
        <v>263</v>
      </c>
      <c r="D505" s="28" t="s">
        <v>28</v>
      </c>
      <c r="E505" s="19"/>
      <c r="F505" s="20"/>
      <c r="G505" s="21"/>
      <c r="H505" s="21"/>
      <c r="I505" s="22"/>
      <c r="J505" s="19"/>
      <c r="K505" s="146">
        <f>K506</f>
        <v>76</v>
      </c>
      <c r="L505" s="146">
        <f t="shared" ref="L505:L507" si="173">L506</f>
        <v>0</v>
      </c>
      <c r="M505" s="146">
        <f>M506</f>
        <v>76</v>
      </c>
    </row>
    <row r="506" spans="1:13" s="74" customFormat="1" ht="18" customHeight="1" x14ac:dyDescent="0.35">
      <c r="A506" s="73"/>
      <c r="B506" s="368" t="s">
        <v>60</v>
      </c>
      <c r="C506" s="23" t="s">
        <v>263</v>
      </c>
      <c r="D506" s="28" t="s">
        <v>28</v>
      </c>
      <c r="E506" s="28" t="s">
        <v>61</v>
      </c>
      <c r="F506" s="20"/>
      <c r="G506" s="21"/>
      <c r="H506" s="21"/>
      <c r="I506" s="22"/>
      <c r="J506" s="19"/>
      <c r="K506" s="146">
        <f>K507</f>
        <v>76</v>
      </c>
      <c r="L506" s="146">
        <f t="shared" si="173"/>
        <v>0</v>
      </c>
      <c r="M506" s="146">
        <f>M507</f>
        <v>76</v>
      </c>
    </row>
    <row r="507" spans="1:13" s="74" customFormat="1" ht="54" customHeight="1" x14ac:dyDescent="0.35">
      <c r="A507" s="73"/>
      <c r="B507" s="407" t="s">
        <v>178</v>
      </c>
      <c r="C507" s="23" t="s">
        <v>263</v>
      </c>
      <c r="D507" s="10" t="s">
        <v>28</v>
      </c>
      <c r="E507" s="10" t="s">
        <v>61</v>
      </c>
      <c r="F507" s="498" t="s">
        <v>53</v>
      </c>
      <c r="G507" s="499" t="s">
        <v>33</v>
      </c>
      <c r="H507" s="499" t="s">
        <v>34</v>
      </c>
      <c r="I507" s="500" t="s">
        <v>35</v>
      </c>
      <c r="J507" s="19"/>
      <c r="K507" s="146">
        <f>K508</f>
        <v>76</v>
      </c>
      <c r="L507" s="146">
        <f t="shared" si="173"/>
        <v>0</v>
      </c>
      <c r="M507" s="146">
        <f>M508</f>
        <v>76</v>
      </c>
    </row>
    <row r="508" spans="1:13" s="74" customFormat="1" ht="54" customHeight="1" x14ac:dyDescent="0.35">
      <c r="A508" s="73"/>
      <c r="B508" s="407" t="s">
        <v>180</v>
      </c>
      <c r="C508" s="23" t="s">
        <v>263</v>
      </c>
      <c r="D508" s="10" t="s">
        <v>28</v>
      </c>
      <c r="E508" s="10" t="s">
        <v>61</v>
      </c>
      <c r="F508" s="143" t="s">
        <v>53</v>
      </c>
      <c r="G508" s="144" t="s">
        <v>21</v>
      </c>
      <c r="H508" s="499" t="s">
        <v>34</v>
      </c>
      <c r="I508" s="500" t="s">
        <v>35</v>
      </c>
      <c r="J508" s="19"/>
      <c r="K508" s="146">
        <f>K509+K512</f>
        <v>76</v>
      </c>
      <c r="L508" s="146">
        <f t="shared" ref="L508" si="174">L509+L512</f>
        <v>0</v>
      </c>
      <c r="M508" s="146">
        <f>M509+M512</f>
        <v>76</v>
      </c>
    </row>
    <row r="509" spans="1:13" s="74" customFormat="1" ht="54" customHeight="1" x14ac:dyDescent="0.35">
      <c r="A509" s="73"/>
      <c r="B509" s="407" t="s">
        <v>239</v>
      </c>
      <c r="C509" s="23" t="s">
        <v>263</v>
      </c>
      <c r="D509" s="10" t="s">
        <v>28</v>
      </c>
      <c r="E509" s="10" t="s">
        <v>61</v>
      </c>
      <c r="F509" s="143" t="s">
        <v>53</v>
      </c>
      <c r="G509" s="144" t="s">
        <v>21</v>
      </c>
      <c r="H509" s="144" t="s">
        <v>28</v>
      </c>
      <c r="I509" s="500" t="s">
        <v>35</v>
      </c>
      <c r="J509" s="19"/>
      <c r="K509" s="146">
        <f>K510</f>
        <v>19.7</v>
      </c>
      <c r="L509" s="146">
        <f t="shared" ref="L509:L510" si="175">L510</f>
        <v>0</v>
      </c>
      <c r="M509" s="146">
        <f>M510</f>
        <v>19.7</v>
      </c>
    </row>
    <row r="510" spans="1:13" s="74" customFormat="1" ht="54" customHeight="1" x14ac:dyDescent="0.35">
      <c r="A510" s="73"/>
      <c r="B510" s="368" t="s">
        <v>317</v>
      </c>
      <c r="C510" s="23" t="s">
        <v>263</v>
      </c>
      <c r="D510" s="10" t="s">
        <v>28</v>
      </c>
      <c r="E510" s="10" t="s">
        <v>61</v>
      </c>
      <c r="F510" s="143" t="s">
        <v>53</v>
      </c>
      <c r="G510" s="144" t="s">
        <v>21</v>
      </c>
      <c r="H510" s="144" t="s">
        <v>28</v>
      </c>
      <c r="I510" s="145" t="s">
        <v>316</v>
      </c>
      <c r="J510" s="28"/>
      <c r="K510" s="146">
        <f>K511</f>
        <v>19.7</v>
      </c>
      <c r="L510" s="146">
        <f t="shared" si="175"/>
        <v>0</v>
      </c>
      <c r="M510" s="146">
        <f>M511</f>
        <v>19.7</v>
      </c>
    </row>
    <row r="511" spans="1:13" s="74" customFormat="1" ht="54" customHeight="1" x14ac:dyDescent="0.35">
      <c r="A511" s="73"/>
      <c r="B511" s="368" t="s">
        <v>45</v>
      </c>
      <c r="C511" s="23" t="s">
        <v>263</v>
      </c>
      <c r="D511" s="28" t="s">
        <v>28</v>
      </c>
      <c r="E511" s="28" t="s">
        <v>61</v>
      </c>
      <c r="F511" s="143" t="s">
        <v>53</v>
      </c>
      <c r="G511" s="144" t="s">
        <v>21</v>
      </c>
      <c r="H511" s="144" t="s">
        <v>28</v>
      </c>
      <c r="I511" s="145" t="s">
        <v>316</v>
      </c>
      <c r="J511" s="28" t="s">
        <v>46</v>
      </c>
      <c r="K511" s="146">
        <v>19.7</v>
      </c>
      <c r="L511" s="24">
        <f>M511-K511</f>
        <v>0</v>
      </c>
      <c r="M511" s="146">
        <v>19.7</v>
      </c>
    </row>
    <row r="512" spans="1:13" s="74" customFormat="1" ht="36" customHeight="1" x14ac:dyDescent="0.35">
      <c r="A512" s="73"/>
      <c r="B512" s="368" t="s">
        <v>293</v>
      </c>
      <c r="C512" s="23" t="s">
        <v>263</v>
      </c>
      <c r="D512" s="28" t="s">
        <v>28</v>
      </c>
      <c r="E512" s="28" t="s">
        <v>61</v>
      </c>
      <c r="F512" s="143" t="s">
        <v>53</v>
      </c>
      <c r="G512" s="144" t="s">
        <v>21</v>
      </c>
      <c r="H512" s="144" t="s">
        <v>30</v>
      </c>
      <c r="I512" s="145" t="s">
        <v>35</v>
      </c>
      <c r="J512" s="19"/>
      <c r="K512" s="146">
        <f t="shared" ref="K512:M513" si="176">K513</f>
        <v>56.3</v>
      </c>
      <c r="L512" s="146">
        <f t="shared" si="176"/>
        <v>0</v>
      </c>
      <c r="M512" s="146">
        <f t="shared" si="176"/>
        <v>56.3</v>
      </c>
    </row>
    <row r="513" spans="1:13" s="74" customFormat="1" ht="54" customHeight="1" x14ac:dyDescent="0.35">
      <c r="A513" s="73"/>
      <c r="B513" s="368" t="s">
        <v>294</v>
      </c>
      <c r="C513" s="23" t="s">
        <v>263</v>
      </c>
      <c r="D513" s="28" t="s">
        <v>28</v>
      </c>
      <c r="E513" s="28" t="s">
        <v>61</v>
      </c>
      <c r="F513" s="143" t="s">
        <v>53</v>
      </c>
      <c r="G513" s="144" t="s">
        <v>21</v>
      </c>
      <c r="H513" s="144" t="s">
        <v>30</v>
      </c>
      <c r="I513" s="145" t="s">
        <v>95</v>
      </c>
      <c r="J513" s="19"/>
      <c r="K513" s="146">
        <f t="shared" si="176"/>
        <v>56.3</v>
      </c>
      <c r="L513" s="146">
        <f t="shared" si="176"/>
        <v>0</v>
      </c>
      <c r="M513" s="146">
        <f t="shared" si="176"/>
        <v>56.3</v>
      </c>
    </row>
    <row r="514" spans="1:13" s="74" customFormat="1" ht="54" customHeight="1" x14ac:dyDescent="0.35">
      <c r="A514" s="73"/>
      <c r="B514" s="368" t="s">
        <v>45</v>
      </c>
      <c r="C514" s="23" t="s">
        <v>263</v>
      </c>
      <c r="D514" s="28" t="s">
        <v>28</v>
      </c>
      <c r="E514" s="28" t="s">
        <v>61</v>
      </c>
      <c r="F514" s="143" t="s">
        <v>53</v>
      </c>
      <c r="G514" s="144" t="s">
        <v>21</v>
      </c>
      <c r="H514" s="144" t="s">
        <v>30</v>
      </c>
      <c r="I514" s="145" t="s">
        <v>95</v>
      </c>
      <c r="J514" s="28" t="s">
        <v>46</v>
      </c>
      <c r="K514" s="146">
        <v>56.3</v>
      </c>
      <c r="L514" s="24">
        <f>M514-K514</f>
        <v>0</v>
      </c>
      <c r="M514" s="146">
        <v>56.3</v>
      </c>
    </row>
    <row r="515" spans="1:13" s="7" customFormat="1" ht="18" customHeight="1" x14ac:dyDescent="0.35">
      <c r="A515" s="11"/>
      <c r="B515" s="407" t="s">
        <v>144</v>
      </c>
      <c r="C515" s="23" t="s">
        <v>263</v>
      </c>
      <c r="D515" s="10" t="s">
        <v>188</v>
      </c>
      <c r="E515" s="10"/>
      <c r="F515" s="498"/>
      <c r="G515" s="499"/>
      <c r="H515" s="499"/>
      <c r="I515" s="500"/>
      <c r="J515" s="10"/>
      <c r="K515" s="24">
        <f>K516+K528</f>
        <v>83461.199999999983</v>
      </c>
      <c r="L515" s="24">
        <f t="shared" ref="L515" si="177">L516+L528</f>
        <v>1153.5999999999942</v>
      </c>
      <c r="M515" s="24">
        <f>M516+M528</f>
        <v>84614.799999999974</v>
      </c>
    </row>
    <row r="516" spans="1:13" s="74" customFormat="1" ht="18" customHeight="1" x14ac:dyDescent="0.35">
      <c r="A516" s="11"/>
      <c r="B516" s="407" t="s">
        <v>291</v>
      </c>
      <c r="C516" s="23" t="s">
        <v>263</v>
      </c>
      <c r="D516" s="10" t="s">
        <v>188</v>
      </c>
      <c r="E516" s="10" t="s">
        <v>53</v>
      </c>
      <c r="F516" s="498"/>
      <c r="G516" s="499"/>
      <c r="H516" s="499"/>
      <c r="I516" s="500"/>
      <c r="J516" s="10"/>
      <c r="K516" s="24">
        <f t="shared" ref="K516:M518" si="178">K517</f>
        <v>82698.599999999977</v>
      </c>
      <c r="L516" s="24">
        <f t="shared" si="178"/>
        <v>1153.5999999999942</v>
      </c>
      <c r="M516" s="24">
        <f t="shared" si="178"/>
        <v>83852.199999999968</v>
      </c>
    </row>
    <row r="517" spans="1:13" s="74" customFormat="1" ht="54" customHeight="1" x14ac:dyDescent="0.35">
      <c r="A517" s="11"/>
      <c r="B517" s="407" t="s">
        <v>178</v>
      </c>
      <c r="C517" s="23" t="s">
        <v>263</v>
      </c>
      <c r="D517" s="10" t="s">
        <v>188</v>
      </c>
      <c r="E517" s="10" t="s">
        <v>53</v>
      </c>
      <c r="F517" s="498" t="s">
        <v>53</v>
      </c>
      <c r="G517" s="499" t="s">
        <v>33</v>
      </c>
      <c r="H517" s="499" t="s">
        <v>34</v>
      </c>
      <c r="I517" s="500" t="s">
        <v>35</v>
      </c>
      <c r="J517" s="10"/>
      <c r="K517" s="24">
        <f t="shared" si="178"/>
        <v>82698.599999999977</v>
      </c>
      <c r="L517" s="24">
        <f t="shared" si="178"/>
        <v>1153.5999999999942</v>
      </c>
      <c r="M517" s="24">
        <f t="shared" si="178"/>
        <v>83852.199999999968</v>
      </c>
    </row>
    <row r="518" spans="1:13" s="74" customFormat="1" ht="72" customHeight="1" x14ac:dyDescent="0.35">
      <c r="A518" s="11"/>
      <c r="B518" s="407" t="s">
        <v>179</v>
      </c>
      <c r="C518" s="23" t="s">
        <v>263</v>
      </c>
      <c r="D518" s="10" t="s">
        <v>188</v>
      </c>
      <c r="E518" s="10" t="s">
        <v>53</v>
      </c>
      <c r="F518" s="498" t="s">
        <v>53</v>
      </c>
      <c r="G518" s="499" t="s">
        <v>36</v>
      </c>
      <c r="H518" s="499" t="s">
        <v>34</v>
      </c>
      <c r="I518" s="500" t="s">
        <v>35</v>
      </c>
      <c r="J518" s="10"/>
      <c r="K518" s="24">
        <f>K519</f>
        <v>82698.599999999977</v>
      </c>
      <c r="L518" s="24">
        <f t="shared" si="178"/>
        <v>1153.5999999999942</v>
      </c>
      <c r="M518" s="24">
        <f>M519</f>
        <v>83852.199999999968</v>
      </c>
    </row>
    <row r="519" spans="1:13" s="74" customFormat="1" ht="36" customHeight="1" x14ac:dyDescent="0.35">
      <c r="A519" s="11"/>
      <c r="B519" s="407" t="s">
        <v>233</v>
      </c>
      <c r="C519" s="23" t="s">
        <v>263</v>
      </c>
      <c r="D519" s="10" t="s">
        <v>188</v>
      </c>
      <c r="E519" s="10" t="s">
        <v>53</v>
      </c>
      <c r="F519" s="498" t="s">
        <v>53</v>
      </c>
      <c r="G519" s="499" t="s">
        <v>36</v>
      </c>
      <c r="H519" s="499" t="s">
        <v>28</v>
      </c>
      <c r="I519" s="500" t="s">
        <v>35</v>
      </c>
      <c r="J519" s="10"/>
      <c r="K519" s="24">
        <f t="shared" ref="K519" si="179">K520+K524+K522+K526</f>
        <v>82698.599999999977</v>
      </c>
      <c r="L519" s="24">
        <f t="shared" ref="L519:M519" si="180">L520+L524+L522+L526</f>
        <v>1153.5999999999942</v>
      </c>
      <c r="M519" s="24">
        <f t="shared" si="180"/>
        <v>83852.199999999968</v>
      </c>
    </row>
    <row r="520" spans="1:13" s="74" customFormat="1" ht="36" customHeight="1" x14ac:dyDescent="0.35">
      <c r="A520" s="11"/>
      <c r="B520" s="400" t="s">
        <v>353</v>
      </c>
      <c r="C520" s="23" t="s">
        <v>263</v>
      </c>
      <c r="D520" s="10" t="s">
        <v>188</v>
      </c>
      <c r="E520" s="10" t="s">
        <v>53</v>
      </c>
      <c r="F520" s="498" t="s">
        <v>53</v>
      </c>
      <c r="G520" s="499" t="s">
        <v>36</v>
      </c>
      <c r="H520" s="499" t="s">
        <v>28</v>
      </c>
      <c r="I520" s="500" t="s">
        <v>81</v>
      </c>
      <c r="J520" s="10"/>
      <c r="K520" s="24">
        <f>K521</f>
        <v>66896.599999999991</v>
      </c>
      <c r="L520" s="24">
        <f t="shared" ref="L520" si="181">L521</f>
        <v>565.89999999999418</v>
      </c>
      <c r="M520" s="24">
        <f>M521</f>
        <v>67462.499999999985</v>
      </c>
    </row>
    <row r="521" spans="1:13" s="7" customFormat="1" ht="54" customHeight="1" x14ac:dyDescent="0.35">
      <c r="A521" s="11"/>
      <c r="B521" s="375" t="s">
        <v>66</v>
      </c>
      <c r="C521" s="23" t="s">
        <v>263</v>
      </c>
      <c r="D521" s="10" t="s">
        <v>188</v>
      </c>
      <c r="E521" s="10" t="s">
        <v>53</v>
      </c>
      <c r="F521" s="498" t="s">
        <v>53</v>
      </c>
      <c r="G521" s="499" t="s">
        <v>36</v>
      </c>
      <c r="H521" s="499" t="s">
        <v>28</v>
      </c>
      <c r="I521" s="500" t="s">
        <v>81</v>
      </c>
      <c r="J521" s="10" t="s">
        <v>67</v>
      </c>
      <c r="K521" s="24">
        <f>65654.9+1241.7</f>
        <v>66896.599999999991</v>
      </c>
      <c r="L521" s="24">
        <f>M521-K521</f>
        <v>565.89999999999418</v>
      </c>
      <c r="M521" s="24">
        <f>65654.9+1241.7+418.5+147.4</f>
        <v>67462.499999999985</v>
      </c>
    </row>
    <row r="522" spans="1:13" s="7" customFormat="1" ht="18" customHeight="1" x14ac:dyDescent="0.35">
      <c r="A522" s="11"/>
      <c r="B522" s="375" t="s">
        <v>354</v>
      </c>
      <c r="C522" s="23" t="s">
        <v>263</v>
      </c>
      <c r="D522" s="10" t="s">
        <v>188</v>
      </c>
      <c r="E522" s="10" t="s">
        <v>53</v>
      </c>
      <c r="F522" s="498" t="s">
        <v>53</v>
      </c>
      <c r="G522" s="499" t="s">
        <v>36</v>
      </c>
      <c r="H522" s="499" t="s">
        <v>28</v>
      </c>
      <c r="I522" s="500" t="s">
        <v>318</v>
      </c>
      <c r="J522" s="10"/>
      <c r="K522" s="24">
        <f>K523</f>
        <v>704.2</v>
      </c>
      <c r="L522" s="24">
        <f t="shared" ref="L522" si="182">L523</f>
        <v>587.70000000000005</v>
      </c>
      <c r="M522" s="24">
        <f>M523</f>
        <v>1291.9000000000001</v>
      </c>
    </row>
    <row r="523" spans="1:13" s="7" customFormat="1" ht="54" customHeight="1" x14ac:dyDescent="0.35">
      <c r="A523" s="11"/>
      <c r="B523" s="375" t="s">
        <v>66</v>
      </c>
      <c r="C523" s="23" t="s">
        <v>263</v>
      </c>
      <c r="D523" s="10" t="s">
        <v>188</v>
      </c>
      <c r="E523" s="10" t="s">
        <v>53</v>
      </c>
      <c r="F523" s="498" t="s">
        <v>53</v>
      </c>
      <c r="G523" s="499" t="s">
        <v>36</v>
      </c>
      <c r="H523" s="499" t="s">
        <v>28</v>
      </c>
      <c r="I523" s="500" t="s">
        <v>318</v>
      </c>
      <c r="J523" s="10" t="s">
        <v>67</v>
      </c>
      <c r="K523" s="24">
        <v>704.2</v>
      </c>
      <c r="L523" s="24">
        <f>M523-K523</f>
        <v>587.70000000000005</v>
      </c>
      <c r="M523" s="24">
        <f>704.2+47.3+540.4</f>
        <v>1291.9000000000001</v>
      </c>
    </row>
    <row r="524" spans="1:13" s="7" customFormat="1" ht="36" customHeight="1" x14ac:dyDescent="0.35">
      <c r="A524" s="11"/>
      <c r="B524" s="375" t="s">
        <v>264</v>
      </c>
      <c r="C524" s="23" t="s">
        <v>263</v>
      </c>
      <c r="D524" s="10" t="s">
        <v>188</v>
      </c>
      <c r="E524" s="10" t="s">
        <v>53</v>
      </c>
      <c r="F524" s="498" t="s">
        <v>53</v>
      </c>
      <c r="G524" s="499" t="s">
        <v>36</v>
      </c>
      <c r="H524" s="499" t="s">
        <v>28</v>
      </c>
      <c r="I524" s="500" t="s">
        <v>265</v>
      </c>
      <c r="J524" s="10"/>
      <c r="K524" s="24">
        <f>K525</f>
        <v>9015.9</v>
      </c>
      <c r="L524" s="24">
        <f t="shared" ref="L524" si="183">L525</f>
        <v>0</v>
      </c>
      <c r="M524" s="24">
        <f>M525</f>
        <v>9015.9</v>
      </c>
    </row>
    <row r="525" spans="1:13" s="7" customFormat="1" ht="54" customHeight="1" x14ac:dyDescent="0.35">
      <c r="A525" s="11"/>
      <c r="B525" s="375" t="s">
        <v>66</v>
      </c>
      <c r="C525" s="23" t="s">
        <v>263</v>
      </c>
      <c r="D525" s="10" t="s">
        <v>188</v>
      </c>
      <c r="E525" s="10" t="s">
        <v>53</v>
      </c>
      <c r="F525" s="498" t="s">
        <v>53</v>
      </c>
      <c r="G525" s="499" t="s">
        <v>36</v>
      </c>
      <c r="H525" s="499" t="s">
        <v>28</v>
      </c>
      <c r="I525" s="500" t="s">
        <v>265</v>
      </c>
      <c r="J525" s="10" t="s">
        <v>67</v>
      </c>
      <c r="K525" s="24">
        <f>8462.5+553.4</f>
        <v>9015.9</v>
      </c>
      <c r="L525" s="24">
        <f>M525-K525</f>
        <v>0</v>
      </c>
      <c r="M525" s="24">
        <f>8462.5+553.4</f>
        <v>9015.9</v>
      </c>
    </row>
    <row r="526" spans="1:13" s="7" customFormat="1" ht="198" x14ac:dyDescent="0.35">
      <c r="A526" s="11"/>
      <c r="B526" s="375" t="s">
        <v>465</v>
      </c>
      <c r="C526" s="23" t="s">
        <v>263</v>
      </c>
      <c r="D526" s="10" t="s">
        <v>188</v>
      </c>
      <c r="E526" s="10" t="s">
        <v>53</v>
      </c>
      <c r="F526" s="498" t="s">
        <v>53</v>
      </c>
      <c r="G526" s="499" t="s">
        <v>36</v>
      </c>
      <c r="H526" s="499" t="s">
        <v>28</v>
      </c>
      <c r="I526" s="500" t="s">
        <v>463</v>
      </c>
      <c r="J526" s="10"/>
      <c r="K526" s="24">
        <f>K527</f>
        <v>6081.9</v>
      </c>
      <c r="L526" s="24">
        <f>L527</f>
        <v>0</v>
      </c>
      <c r="M526" s="24">
        <f>M527</f>
        <v>6081.9</v>
      </c>
    </row>
    <row r="527" spans="1:13" s="7" customFormat="1" ht="54" customHeight="1" x14ac:dyDescent="0.35">
      <c r="A527" s="11"/>
      <c r="B527" s="375" t="s">
        <v>66</v>
      </c>
      <c r="C527" s="23" t="s">
        <v>263</v>
      </c>
      <c r="D527" s="10" t="s">
        <v>188</v>
      </c>
      <c r="E527" s="10" t="s">
        <v>53</v>
      </c>
      <c r="F527" s="498" t="s">
        <v>53</v>
      </c>
      <c r="G527" s="499" t="s">
        <v>36</v>
      </c>
      <c r="H527" s="499" t="s">
        <v>28</v>
      </c>
      <c r="I527" s="500" t="s">
        <v>463</v>
      </c>
      <c r="J527" s="10" t="s">
        <v>67</v>
      </c>
      <c r="K527" s="24">
        <f>5473.7+608.2</f>
        <v>6081.9</v>
      </c>
      <c r="L527" s="24">
        <f>M527-K527</f>
        <v>0</v>
      </c>
      <c r="M527" s="24">
        <f>5473.7+608.2</f>
        <v>6081.9</v>
      </c>
    </row>
    <row r="528" spans="1:13" s="7" customFormat="1" ht="18" customHeight="1" x14ac:dyDescent="0.35">
      <c r="A528" s="11"/>
      <c r="B528" s="368" t="s">
        <v>151</v>
      </c>
      <c r="C528" s="23" t="s">
        <v>263</v>
      </c>
      <c r="D528" s="10" t="s">
        <v>188</v>
      </c>
      <c r="E528" s="10" t="s">
        <v>69</v>
      </c>
      <c r="F528" s="498"/>
      <c r="G528" s="499"/>
      <c r="H528" s="499"/>
      <c r="I528" s="500"/>
      <c r="J528" s="10"/>
      <c r="K528" s="24">
        <f t="shared" ref="K528:M532" si="184">K529</f>
        <v>762.6</v>
      </c>
      <c r="L528" s="24">
        <f t="shared" si="184"/>
        <v>0</v>
      </c>
      <c r="M528" s="24">
        <f t="shared" si="184"/>
        <v>762.6</v>
      </c>
    </row>
    <row r="529" spans="1:13" s="7" customFormat="1" ht="54" customHeight="1" x14ac:dyDescent="0.35">
      <c r="A529" s="11"/>
      <c r="B529" s="407" t="s">
        <v>178</v>
      </c>
      <c r="C529" s="23" t="s">
        <v>263</v>
      </c>
      <c r="D529" s="10" t="s">
        <v>188</v>
      </c>
      <c r="E529" s="10" t="s">
        <v>69</v>
      </c>
      <c r="F529" s="498" t="s">
        <v>53</v>
      </c>
      <c r="G529" s="499" t="s">
        <v>33</v>
      </c>
      <c r="H529" s="499" t="s">
        <v>34</v>
      </c>
      <c r="I529" s="500" t="s">
        <v>35</v>
      </c>
      <c r="J529" s="10"/>
      <c r="K529" s="24">
        <f t="shared" si="184"/>
        <v>762.6</v>
      </c>
      <c r="L529" s="24">
        <f t="shared" si="184"/>
        <v>0</v>
      </c>
      <c r="M529" s="24">
        <f t="shared" si="184"/>
        <v>762.6</v>
      </c>
    </row>
    <row r="530" spans="1:13" s="7" customFormat="1" ht="72" customHeight="1" x14ac:dyDescent="0.35">
      <c r="A530" s="11"/>
      <c r="B530" s="407" t="s">
        <v>179</v>
      </c>
      <c r="C530" s="23" t="s">
        <v>263</v>
      </c>
      <c r="D530" s="10" t="s">
        <v>188</v>
      </c>
      <c r="E530" s="10" t="s">
        <v>69</v>
      </c>
      <c r="F530" s="498" t="s">
        <v>53</v>
      </c>
      <c r="G530" s="499" t="s">
        <v>36</v>
      </c>
      <c r="H530" s="499" t="s">
        <v>34</v>
      </c>
      <c r="I530" s="500" t="s">
        <v>35</v>
      </c>
      <c r="J530" s="10"/>
      <c r="K530" s="24">
        <f>K531+K534</f>
        <v>762.6</v>
      </c>
      <c r="L530" s="24">
        <f t="shared" ref="L530" si="185">L531+L534</f>
        <v>0</v>
      </c>
      <c r="M530" s="24">
        <f>M531+M534</f>
        <v>762.6</v>
      </c>
    </row>
    <row r="531" spans="1:13" s="7" customFormat="1" ht="18" customHeight="1" x14ac:dyDescent="0.35">
      <c r="A531" s="11"/>
      <c r="B531" s="375" t="s">
        <v>234</v>
      </c>
      <c r="C531" s="23" t="s">
        <v>263</v>
      </c>
      <c r="D531" s="10" t="s">
        <v>188</v>
      </c>
      <c r="E531" s="10" t="s">
        <v>69</v>
      </c>
      <c r="F531" s="498" t="s">
        <v>53</v>
      </c>
      <c r="G531" s="499" t="s">
        <v>36</v>
      </c>
      <c r="H531" s="499" t="s">
        <v>30</v>
      </c>
      <c r="I531" s="500" t="s">
        <v>35</v>
      </c>
      <c r="J531" s="10"/>
      <c r="K531" s="24">
        <f t="shared" si="184"/>
        <v>450</v>
      </c>
      <c r="L531" s="24">
        <f t="shared" si="184"/>
        <v>0</v>
      </c>
      <c r="M531" s="24">
        <f t="shared" si="184"/>
        <v>450</v>
      </c>
    </row>
    <row r="532" spans="1:13" s="7" customFormat="1" ht="36" customHeight="1" x14ac:dyDescent="0.35">
      <c r="A532" s="11"/>
      <c r="B532" s="375" t="s">
        <v>176</v>
      </c>
      <c r="C532" s="23" t="s">
        <v>263</v>
      </c>
      <c r="D532" s="10" t="s">
        <v>188</v>
      </c>
      <c r="E532" s="10" t="s">
        <v>69</v>
      </c>
      <c r="F532" s="498" t="s">
        <v>53</v>
      </c>
      <c r="G532" s="499" t="s">
        <v>36</v>
      </c>
      <c r="H532" s="499" t="s">
        <v>30</v>
      </c>
      <c r="I532" s="500" t="s">
        <v>236</v>
      </c>
      <c r="J532" s="10"/>
      <c r="K532" s="24">
        <f t="shared" si="184"/>
        <v>450</v>
      </c>
      <c r="L532" s="24">
        <f t="shared" si="184"/>
        <v>0</v>
      </c>
      <c r="M532" s="24">
        <f t="shared" si="184"/>
        <v>450</v>
      </c>
    </row>
    <row r="533" spans="1:13" s="7" customFormat="1" ht="36" customHeight="1" x14ac:dyDescent="0.35">
      <c r="A533" s="11"/>
      <c r="B533" s="375" t="s">
        <v>110</v>
      </c>
      <c r="C533" s="23" t="s">
        <v>263</v>
      </c>
      <c r="D533" s="10" t="s">
        <v>188</v>
      </c>
      <c r="E533" s="10" t="s">
        <v>69</v>
      </c>
      <c r="F533" s="498" t="s">
        <v>53</v>
      </c>
      <c r="G533" s="499" t="s">
        <v>36</v>
      </c>
      <c r="H533" s="499" t="s">
        <v>30</v>
      </c>
      <c r="I533" s="500" t="s">
        <v>236</v>
      </c>
      <c r="J533" s="10" t="s">
        <v>111</v>
      </c>
      <c r="K533" s="24">
        <v>450</v>
      </c>
      <c r="L533" s="24">
        <f>M533-K533</f>
        <v>0</v>
      </c>
      <c r="M533" s="24">
        <v>450</v>
      </c>
    </row>
    <row r="534" spans="1:13" s="7" customFormat="1" ht="54" customHeight="1" x14ac:dyDescent="0.35">
      <c r="A534" s="11"/>
      <c r="B534" s="375" t="s">
        <v>238</v>
      </c>
      <c r="C534" s="23" t="s">
        <v>263</v>
      </c>
      <c r="D534" s="10" t="s">
        <v>188</v>
      </c>
      <c r="E534" s="10" t="s">
        <v>69</v>
      </c>
      <c r="F534" s="498" t="s">
        <v>53</v>
      </c>
      <c r="G534" s="499" t="s">
        <v>36</v>
      </c>
      <c r="H534" s="499" t="s">
        <v>55</v>
      </c>
      <c r="I534" s="500" t="s">
        <v>35</v>
      </c>
      <c r="J534" s="10"/>
      <c r="K534" s="24">
        <f t="shared" ref="K534:M535" si="186">K535</f>
        <v>312.60000000000002</v>
      </c>
      <c r="L534" s="24">
        <f t="shared" si="186"/>
        <v>0</v>
      </c>
      <c r="M534" s="24">
        <f t="shared" si="186"/>
        <v>312.60000000000002</v>
      </c>
    </row>
    <row r="535" spans="1:13" s="7" customFormat="1" ht="36" customHeight="1" x14ac:dyDescent="0.35">
      <c r="A535" s="11"/>
      <c r="B535" s="375" t="s">
        <v>359</v>
      </c>
      <c r="C535" s="23" t="s">
        <v>263</v>
      </c>
      <c r="D535" s="10" t="s">
        <v>188</v>
      </c>
      <c r="E535" s="10" t="s">
        <v>69</v>
      </c>
      <c r="F535" s="498" t="s">
        <v>53</v>
      </c>
      <c r="G535" s="499" t="s">
        <v>36</v>
      </c>
      <c r="H535" s="499" t="s">
        <v>55</v>
      </c>
      <c r="I535" s="500" t="s">
        <v>358</v>
      </c>
      <c r="J535" s="10"/>
      <c r="K535" s="24">
        <f t="shared" si="186"/>
        <v>312.60000000000002</v>
      </c>
      <c r="L535" s="24">
        <f t="shared" si="186"/>
        <v>0</v>
      </c>
      <c r="M535" s="24">
        <f t="shared" si="186"/>
        <v>312.60000000000002</v>
      </c>
    </row>
    <row r="536" spans="1:13" s="7" customFormat="1" ht="54" customHeight="1" x14ac:dyDescent="0.35">
      <c r="A536" s="11"/>
      <c r="B536" s="375" t="s">
        <v>66</v>
      </c>
      <c r="C536" s="23" t="s">
        <v>263</v>
      </c>
      <c r="D536" s="10" t="s">
        <v>188</v>
      </c>
      <c r="E536" s="10" t="s">
        <v>69</v>
      </c>
      <c r="F536" s="498" t="s">
        <v>53</v>
      </c>
      <c r="G536" s="499" t="s">
        <v>36</v>
      </c>
      <c r="H536" s="499" t="s">
        <v>55</v>
      </c>
      <c r="I536" s="500" t="s">
        <v>358</v>
      </c>
      <c r="J536" s="10" t="s">
        <v>67</v>
      </c>
      <c r="K536" s="24">
        <v>312.60000000000002</v>
      </c>
      <c r="L536" s="24">
        <f>M536-K536</f>
        <v>0</v>
      </c>
      <c r="M536" s="24">
        <v>312.60000000000002</v>
      </c>
    </row>
    <row r="537" spans="1:13" s="7" customFormat="1" ht="18" customHeight="1" x14ac:dyDescent="0.35">
      <c r="A537" s="11"/>
      <c r="B537" s="368" t="s">
        <v>153</v>
      </c>
      <c r="C537" s="23" t="s">
        <v>263</v>
      </c>
      <c r="D537" s="10" t="s">
        <v>190</v>
      </c>
      <c r="E537" s="10"/>
      <c r="F537" s="498"/>
      <c r="G537" s="499"/>
      <c r="H537" s="499"/>
      <c r="I537" s="500"/>
      <c r="J537" s="10"/>
      <c r="K537" s="24">
        <f>K538+K566</f>
        <v>48588.100000000006</v>
      </c>
      <c r="L537" s="24">
        <f t="shared" ref="L537" si="187">L538+L566</f>
        <v>1523</v>
      </c>
      <c r="M537" s="24">
        <f>M538+M566</f>
        <v>50111.100000000006</v>
      </c>
    </row>
    <row r="538" spans="1:13" s="7" customFormat="1" ht="18" customHeight="1" x14ac:dyDescent="0.35">
      <c r="A538" s="11"/>
      <c r="B538" s="368" t="s">
        <v>155</v>
      </c>
      <c r="C538" s="23" t="s">
        <v>263</v>
      </c>
      <c r="D538" s="10" t="s">
        <v>190</v>
      </c>
      <c r="E538" s="10" t="s">
        <v>28</v>
      </c>
      <c r="F538" s="498"/>
      <c r="G538" s="499"/>
      <c r="H538" s="499"/>
      <c r="I538" s="500"/>
      <c r="J538" s="10"/>
      <c r="K538" s="24">
        <f>K539</f>
        <v>35815.900000000009</v>
      </c>
      <c r="L538" s="24">
        <f t="shared" ref="L538" si="188">L539</f>
        <v>616.20000000000005</v>
      </c>
      <c r="M538" s="24">
        <f>M539</f>
        <v>36432.100000000006</v>
      </c>
    </row>
    <row r="539" spans="1:13" s="7" customFormat="1" ht="54" customHeight="1" x14ac:dyDescent="0.35">
      <c r="A539" s="11"/>
      <c r="B539" s="407" t="s">
        <v>178</v>
      </c>
      <c r="C539" s="23" t="s">
        <v>263</v>
      </c>
      <c r="D539" s="10" t="s">
        <v>190</v>
      </c>
      <c r="E539" s="10" t="s">
        <v>28</v>
      </c>
      <c r="F539" s="498" t="s">
        <v>53</v>
      </c>
      <c r="G539" s="499" t="s">
        <v>33</v>
      </c>
      <c r="H539" s="499" t="s">
        <v>34</v>
      </c>
      <c r="I539" s="500" t="s">
        <v>35</v>
      </c>
      <c r="J539" s="10"/>
      <c r="K539" s="24">
        <f>K540+K559</f>
        <v>35815.900000000009</v>
      </c>
      <c r="L539" s="24">
        <f t="shared" ref="L539" si="189">L540+L559</f>
        <v>616.20000000000005</v>
      </c>
      <c r="M539" s="24">
        <f>M540+M559</f>
        <v>36432.100000000006</v>
      </c>
    </row>
    <row r="540" spans="1:13" s="7" customFormat="1" ht="72" customHeight="1" x14ac:dyDescent="0.35">
      <c r="A540" s="11"/>
      <c r="B540" s="407" t="s">
        <v>179</v>
      </c>
      <c r="C540" s="23" t="s">
        <v>263</v>
      </c>
      <c r="D540" s="10" t="s">
        <v>190</v>
      </c>
      <c r="E540" s="10" t="s">
        <v>28</v>
      </c>
      <c r="F540" s="27" t="s">
        <v>53</v>
      </c>
      <c r="G540" s="54" t="s">
        <v>36</v>
      </c>
      <c r="H540" s="54" t="s">
        <v>34</v>
      </c>
      <c r="I540" s="55" t="s">
        <v>35</v>
      </c>
      <c r="J540" s="56"/>
      <c r="K540" s="24">
        <f>K541+K552</f>
        <v>35321.100000000006</v>
      </c>
      <c r="L540" s="24">
        <f t="shared" ref="L540" si="190">L541+L552</f>
        <v>139.50000000000006</v>
      </c>
      <c r="M540" s="24">
        <f>M541+M552</f>
        <v>35460.600000000006</v>
      </c>
    </row>
    <row r="541" spans="1:13" s="7" customFormat="1" ht="18" customHeight="1" x14ac:dyDescent="0.35">
      <c r="A541" s="11"/>
      <c r="B541" s="368" t="s">
        <v>266</v>
      </c>
      <c r="C541" s="23" t="s">
        <v>263</v>
      </c>
      <c r="D541" s="10" t="s">
        <v>190</v>
      </c>
      <c r="E541" s="10" t="s">
        <v>28</v>
      </c>
      <c r="F541" s="27" t="s">
        <v>53</v>
      </c>
      <c r="G541" s="54" t="s">
        <v>36</v>
      </c>
      <c r="H541" s="54" t="s">
        <v>53</v>
      </c>
      <c r="I541" s="55" t="s">
        <v>35</v>
      </c>
      <c r="J541" s="56"/>
      <c r="K541" s="24">
        <f>K542+K544+K546+K548+K550</f>
        <v>18771.600000000002</v>
      </c>
      <c r="L541" s="24">
        <f t="shared" ref="L541" si="191">L542+L544+L546+L548+L550</f>
        <v>0</v>
      </c>
      <c r="M541" s="24">
        <f>M542+M544+M546+M548+M550</f>
        <v>18771.600000000002</v>
      </c>
    </row>
    <row r="542" spans="1:13" s="7" customFormat="1" ht="36" customHeight="1" x14ac:dyDescent="0.35">
      <c r="A542" s="11"/>
      <c r="B542" s="400" t="s">
        <v>353</v>
      </c>
      <c r="C542" s="23" t="s">
        <v>263</v>
      </c>
      <c r="D542" s="10" t="s">
        <v>190</v>
      </c>
      <c r="E542" s="10" t="s">
        <v>28</v>
      </c>
      <c r="F542" s="27" t="s">
        <v>53</v>
      </c>
      <c r="G542" s="54" t="s">
        <v>36</v>
      </c>
      <c r="H542" s="54" t="s">
        <v>53</v>
      </c>
      <c r="I542" s="55" t="s">
        <v>81</v>
      </c>
      <c r="J542" s="56"/>
      <c r="K542" s="24">
        <f>K543</f>
        <v>15939.5</v>
      </c>
      <c r="L542" s="24">
        <f t="shared" ref="L542" si="192">L543</f>
        <v>0</v>
      </c>
      <c r="M542" s="24">
        <f>M543</f>
        <v>15939.5</v>
      </c>
    </row>
    <row r="543" spans="1:13" s="7" customFormat="1" ht="54" customHeight="1" x14ac:dyDescent="0.35">
      <c r="A543" s="11"/>
      <c r="B543" s="375" t="s">
        <v>66</v>
      </c>
      <c r="C543" s="23" t="s">
        <v>263</v>
      </c>
      <c r="D543" s="10" t="s">
        <v>190</v>
      </c>
      <c r="E543" s="10" t="s">
        <v>28</v>
      </c>
      <c r="F543" s="498" t="s">
        <v>53</v>
      </c>
      <c r="G543" s="499" t="s">
        <v>36</v>
      </c>
      <c r="H543" s="499" t="s">
        <v>53</v>
      </c>
      <c r="I543" s="500" t="s">
        <v>81</v>
      </c>
      <c r="J543" s="10" t="s">
        <v>67</v>
      </c>
      <c r="K543" s="24">
        <f>15582.2+357.3</f>
        <v>15939.5</v>
      </c>
      <c r="L543" s="24">
        <f>M543-K543</f>
        <v>0</v>
      </c>
      <c r="M543" s="24">
        <f>15582.2+357.3</f>
        <v>15939.5</v>
      </c>
    </row>
    <row r="544" spans="1:13" s="7" customFormat="1" ht="18" customHeight="1" x14ac:dyDescent="0.35">
      <c r="A544" s="11"/>
      <c r="B544" s="374" t="s">
        <v>354</v>
      </c>
      <c r="C544" s="23" t="s">
        <v>263</v>
      </c>
      <c r="D544" s="10" t="s">
        <v>190</v>
      </c>
      <c r="E544" s="10" t="s">
        <v>28</v>
      </c>
      <c r="F544" s="498" t="s">
        <v>53</v>
      </c>
      <c r="G544" s="499" t="s">
        <v>36</v>
      </c>
      <c r="H544" s="499" t="s">
        <v>53</v>
      </c>
      <c r="I544" s="500" t="s">
        <v>318</v>
      </c>
      <c r="J544" s="10"/>
      <c r="K544" s="24">
        <f>K545</f>
        <v>1093.2</v>
      </c>
      <c r="L544" s="24">
        <f t="shared" ref="L544" si="193">L545</f>
        <v>0</v>
      </c>
      <c r="M544" s="24">
        <f>M545</f>
        <v>1093.2</v>
      </c>
    </row>
    <row r="545" spans="1:13" s="7" customFormat="1" ht="54" customHeight="1" x14ac:dyDescent="0.35">
      <c r="A545" s="11"/>
      <c r="B545" s="375" t="s">
        <v>66</v>
      </c>
      <c r="C545" s="23" t="s">
        <v>263</v>
      </c>
      <c r="D545" s="10" t="s">
        <v>190</v>
      </c>
      <c r="E545" s="10" t="s">
        <v>28</v>
      </c>
      <c r="F545" s="498" t="s">
        <v>53</v>
      </c>
      <c r="G545" s="499" t="s">
        <v>36</v>
      </c>
      <c r="H545" s="499" t="s">
        <v>53</v>
      </c>
      <c r="I545" s="500" t="s">
        <v>318</v>
      </c>
      <c r="J545" s="10" t="s">
        <v>67</v>
      </c>
      <c r="K545" s="24">
        <v>1093.2</v>
      </c>
      <c r="L545" s="24">
        <f>M545-K545</f>
        <v>0</v>
      </c>
      <c r="M545" s="24">
        <v>1093.2</v>
      </c>
    </row>
    <row r="546" spans="1:13" s="7" customFormat="1" ht="36" customHeight="1" x14ac:dyDescent="0.35">
      <c r="A546" s="11"/>
      <c r="B546" s="375" t="s">
        <v>264</v>
      </c>
      <c r="C546" s="23" t="s">
        <v>263</v>
      </c>
      <c r="D546" s="10" t="s">
        <v>190</v>
      </c>
      <c r="E546" s="10" t="s">
        <v>28</v>
      </c>
      <c r="F546" s="27" t="s">
        <v>53</v>
      </c>
      <c r="G546" s="54" t="s">
        <v>36</v>
      </c>
      <c r="H546" s="54" t="s">
        <v>53</v>
      </c>
      <c r="I546" s="55" t="s">
        <v>265</v>
      </c>
      <c r="J546" s="56"/>
      <c r="K546" s="24">
        <f>K547</f>
        <v>722.9</v>
      </c>
      <c r="L546" s="24">
        <f t="shared" ref="L546" si="194">L547</f>
        <v>0</v>
      </c>
      <c r="M546" s="24">
        <f>M547</f>
        <v>722.9</v>
      </c>
    </row>
    <row r="547" spans="1:13" s="7" customFormat="1" ht="54" customHeight="1" x14ac:dyDescent="0.35">
      <c r="A547" s="11"/>
      <c r="B547" s="375" t="s">
        <v>66</v>
      </c>
      <c r="C547" s="23" t="s">
        <v>263</v>
      </c>
      <c r="D547" s="10" t="s">
        <v>190</v>
      </c>
      <c r="E547" s="10" t="s">
        <v>28</v>
      </c>
      <c r="F547" s="27" t="s">
        <v>53</v>
      </c>
      <c r="G547" s="54" t="s">
        <v>36</v>
      </c>
      <c r="H547" s="54" t="s">
        <v>53</v>
      </c>
      <c r="I547" s="55" t="s">
        <v>265</v>
      </c>
      <c r="J547" s="56" t="s">
        <v>67</v>
      </c>
      <c r="K547" s="24">
        <f>698.3+24.6</f>
        <v>722.9</v>
      </c>
      <c r="L547" s="24">
        <f>M547-K547</f>
        <v>0</v>
      </c>
      <c r="M547" s="24">
        <f>698.3+24.6</f>
        <v>722.9</v>
      </c>
    </row>
    <row r="548" spans="1:13" s="7" customFormat="1" ht="36" x14ac:dyDescent="0.35">
      <c r="A548" s="11"/>
      <c r="B548" s="375" t="s">
        <v>464</v>
      </c>
      <c r="C548" s="23" t="s">
        <v>263</v>
      </c>
      <c r="D548" s="10" t="s">
        <v>190</v>
      </c>
      <c r="E548" s="10" t="s">
        <v>28</v>
      </c>
      <c r="F548" s="498" t="s">
        <v>53</v>
      </c>
      <c r="G548" s="499" t="s">
        <v>36</v>
      </c>
      <c r="H548" s="499" t="s">
        <v>53</v>
      </c>
      <c r="I548" s="500" t="s">
        <v>267</v>
      </c>
      <c r="J548" s="10"/>
      <c r="K548" s="24">
        <f>K549</f>
        <v>577</v>
      </c>
      <c r="L548" s="24">
        <f t="shared" ref="L548" si="195">L549</f>
        <v>0</v>
      </c>
      <c r="M548" s="24">
        <f>M549</f>
        <v>577</v>
      </c>
    </row>
    <row r="549" spans="1:13" s="7" customFormat="1" ht="54" customHeight="1" x14ac:dyDescent="0.35">
      <c r="A549" s="11"/>
      <c r="B549" s="375" t="s">
        <v>66</v>
      </c>
      <c r="C549" s="23" t="s">
        <v>263</v>
      </c>
      <c r="D549" s="10" t="s">
        <v>190</v>
      </c>
      <c r="E549" s="10" t="s">
        <v>28</v>
      </c>
      <c r="F549" s="498" t="s">
        <v>53</v>
      </c>
      <c r="G549" s="499" t="s">
        <v>36</v>
      </c>
      <c r="H549" s="499" t="s">
        <v>53</v>
      </c>
      <c r="I549" s="500" t="s">
        <v>267</v>
      </c>
      <c r="J549" s="10" t="s">
        <v>67</v>
      </c>
      <c r="K549" s="24">
        <v>577</v>
      </c>
      <c r="L549" s="24">
        <f>M549-K549</f>
        <v>0</v>
      </c>
      <c r="M549" s="24">
        <v>577</v>
      </c>
    </row>
    <row r="550" spans="1:13" s="7" customFormat="1" ht="18" customHeight="1" x14ac:dyDescent="0.35">
      <c r="A550" s="11"/>
      <c r="B550" s="375" t="s">
        <v>397</v>
      </c>
      <c r="C550" s="23" t="s">
        <v>263</v>
      </c>
      <c r="D550" s="10" t="s">
        <v>190</v>
      </c>
      <c r="E550" s="10" t="s">
        <v>28</v>
      </c>
      <c r="F550" s="498" t="s">
        <v>53</v>
      </c>
      <c r="G550" s="499" t="s">
        <v>36</v>
      </c>
      <c r="H550" s="499" t="s">
        <v>53</v>
      </c>
      <c r="I550" s="500" t="s">
        <v>396</v>
      </c>
      <c r="J550" s="10"/>
      <c r="K550" s="24">
        <f>K551</f>
        <v>439</v>
      </c>
      <c r="L550" s="24">
        <f t="shared" ref="L550" si="196">L551</f>
        <v>0</v>
      </c>
      <c r="M550" s="24">
        <f>M551</f>
        <v>439</v>
      </c>
    </row>
    <row r="551" spans="1:13" s="7" customFormat="1" ht="54" customHeight="1" x14ac:dyDescent="0.35">
      <c r="A551" s="11"/>
      <c r="B551" s="375" t="s">
        <v>66</v>
      </c>
      <c r="C551" s="23" t="s">
        <v>263</v>
      </c>
      <c r="D551" s="10" t="s">
        <v>190</v>
      </c>
      <c r="E551" s="10" t="s">
        <v>28</v>
      </c>
      <c r="F551" s="498" t="s">
        <v>53</v>
      </c>
      <c r="G551" s="499" t="s">
        <v>36</v>
      </c>
      <c r="H551" s="499" t="s">
        <v>53</v>
      </c>
      <c r="I551" s="500" t="s">
        <v>396</v>
      </c>
      <c r="J551" s="10" t="s">
        <v>67</v>
      </c>
      <c r="K551" s="24">
        <f>395.1+43.9</f>
        <v>439</v>
      </c>
      <c r="L551" s="24">
        <f>M551-K551</f>
        <v>0</v>
      </c>
      <c r="M551" s="24">
        <f>395.1+43.9</f>
        <v>439</v>
      </c>
    </row>
    <row r="552" spans="1:13" s="7" customFormat="1" ht="36" customHeight="1" x14ac:dyDescent="0.35">
      <c r="A552" s="11"/>
      <c r="B552" s="375" t="s">
        <v>268</v>
      </c>
      <c r="C552" s="23" t="s">
        <v>263</v>
      </c>
      <c r="D552" s="10" t="s">
        <v>190</v>
      </c>
      <c r="E552" s="10" t="s">
        <v>28</v>
      </c>
      <c r="F552" s="27" t="s">
        <v>53</v>
      </c>
      <c r="G552" s="54" t="s">
        <v>36</v>
      </c>
      <c r="H552" s="54" t="s">
        <v>42</v>
      </c>
      <c r="I552" s="500" t="s">
        <v>35</v>
      </c>
      <c r="J552" s="10"/>
      <c r="K552" s="24">
        <f>K553</f>
        <v>16549.5</v>
      </c>
      <c r="L552" s="24">
        <f>L553+L557</f>
        <v>139.50000000000006</v>
      </c>
      <c r="M552" s="24">
        <f>M553+M557</f>
        <v>16689</v>
      </c>
    </row>
    <row r="553" spans="1:13" s="7" customFormat="1" ht="36" customHeight="1" x14ac:dyDescent="0.35">
      <c r="A553" s="11"/>
      <c r="B553" s="400" t="s">
        <v>353</v>
      </c>
      <c r="C553" s="23" t="s">
        <v>263</v>
      </c>
      <c r="D553" s="10" t="s">
        <v>190</v>
      </c>
      <c r="E553" s="10" t="s">
        <v>28</v>
      </c>
      <c r="F553" s="27" t="s">
        <v>53</v>
      </c>
      <c r="G553" s="54" t="s">
        <v>36</v>
      </c>
      <c r="H553" s="54" t="s">
        <v>42</v>
      </c>
      <c r="I553" s="55" t="s">
        <v>81</v>
      </c>
      <c r="J553" s="56"/>
      <c r="K553" s="24">
        <f>K554+K555+K556</f>
        <v>16549.5</v>
      </c>
      <c r="L553" s="24">
        <f t="shared" ref="L553" si="197">L554+L555+L556</f>
        <v>84.200000000000045</v>
      </c>
      <c r="M553" s="24">
        <f>M554+M555+M556</f>
        <v>16633.7</v>
      </c>
    </row>
    <row r="554" spans="1:13" s="7" customFormat="1" ht="108" customHeight="1" x14ac:dyDescent="0.35">
      <c r="A554" s="11"/>
      <c r="B554" s="368" t="s">
        <v>40</v>
      </c>
      <c r="C554" s="23" t="s">
        <v>263</v>
      </c>
      <c r="D554" s="10" t="s">
        <v>190</v>
      </c>
      <c r="E554" s="10" t="s">
        <v>28</v>
      </c>
      <c r="F554" s="498" t="s">
        <v>53</v>
      </c>
      <c r="G554" s="499" t="s">
        <v>36</v>
      </c>
      <c r="H554" s="499" t="s">
        <v>42</v>
      </c>
      <c r="I554" s="500" t="s">
        <v>81</v>
      </c>
      <c r="J554" s="10" t="s">
        <v>41</v>
      </c>
      <c r="K554" s="24">
        <f>15034.6+296.4</f>
        <v>15331</v>
      </c>
      <c r="L554" s="24">
        <f>M554-K554</f>
        <v>0</v>
      </c>
      <c r="M554" s="24">
        <f>15034.6+296.4</f>
        <v>15331</v>
      </c>
    </row>
    <row r="555" spans="1:13" s="7" customFormat="1" ht="54" customHeight="1" x14ac:dyDescent="0.35">
      <c r="A555" s="11"/>
      <c r="B555" s="368" t="s">
        <v>45</v>
      </c>
      <c r="C555" s="23" t="s">
        <v>263</v>
      </c>
      <c r="D555" s="10" t="s">
        <v>190</v>
      </c>
      <c r="E555" s="10" t="s">
        <v>28</v>
      </c>
      <c r="F555" s="498" t="s">
        <v>53</v>
      </c>
      <c r="G555" s="499" t="s">
        <v>36</v>
      </c>
      <c r="H555" s="499" t="s">
        <v>42</v>
      </c>
      <c r="I555" s="500" t="s">
        <v>81</v>
      </c>
      <c r="J555" s="10" t="s">
        <v>46</v>
      </c>
      <c r="K555" s="24">
        <v>1168.5</v>
      </c>
      <c r="L555" s="24">
        <f>M555-K555</f>
        <v>84.200000000000045</v>
      </c>
      <c r="M555" s="24">
        <f>1168.5+84.2</f>
        <v>1252.7</v>
      </c>
    </row>
    <row r="556" spans="1:13" s="7" customFormat="1" ht="18" customHeight="1" x14ac:dyDescent="0.35">
      <c r="A556" s="11"/>
      <c r="B556" s="368" t="s">
        <v>47</v>
      </c>
      <c r="C556" s="23" t="s">
        <v>263</v>
      </c>
      <c r="D556" s="10" t="s">
        <v>190</v>
      </c>
      <c r="E556" s="10" t="s">
        <v>28</v>
      </c>
      <c r="F556" s="498" t="s">
        <v>53</v>
      </c>
      <c r="G556" s="499" t="s">
        <v>36</v>
      </c>
      <c r="H556" s="499" t="s">
        <v>42</v>
      </c>
      <c r="I556" s="500" t="s">
        <v>81</v>
      </c>
      <c r="J556" s="10" t="s">
        <v>48</v>
      </c>
      <c r="K556" s="24">
        <v>50</v>
      </c>
      <c r="L556" s="24">
        <f>M556-K556</f>
        <v>0</v>
      </c>
      <c r="M556" s="24">
        <v>50</v>
      </c>
    </row>
    <row r="557" spans="1:13" s="7" customFormat="1" ht="54" x14ac:dyDescent="0.35">
      <c r="A557" s="11"/>
      <c r="B557" s="375" t="s">
        <v>66</v>
      </c>
      <c r="C557" s="23" t="s">
        <v>263</v>
      </c>
      <c r="D557" s="10" t="s">
        <v>190</v>
      </c>
      <c r="E557" s="10" t="s">
        <v>28</v>
      </c>
      <c r="F557" s="498" t="s">
        <v>53</v>
      </c>
      <c r="G557" s="499" t="s">
        <v>36</v>
      </c>
      <c r="H557" s="499" t="s">
        <v>42</v>
      </c>
      <c r="I557" s="500" t="s">
        <v>318</v>
      </c>
      <c r="J557" s="10"/>
      <c r="K557" s="24"/>
      <c r="L557" s="24">
        <f>L558</f>
        <v>55.3</v>
      </c>
      <c r="M557" s="24">
        <f>M558</f>
        <v>55.3</v>
      </c>
    </row>
    <row r="558" spans="1:13" s="7" customFormat="1" ht="54" x14ac:dyDescent="0.35">
      <c r="A558" s="11"/>
      <c r="B558" s="368" t="s">
        <v>45</v>
      </c>
      <c r="C558" s="23" t="s">
        <v>263</v>
      </c>
      <c r="D558" s="10" t="s">
        <v>190</v>
      </c>
      <c r="E558" s="10" t="s">
        <v>28</v>
      </c>
      <c r="F558" s="498" t="s">
        <v>53</v>
      </c>
      <c r="G558" s="499" t="s">
        <v>36</v>
      </c>
      <c r="H558" s="499" t="s">
        <v>42</v>
      </c>
      <c r="I558" s="500" t="s">
        <v>318</v>
      </c>
      <c r="J558" s="10" t="s">
        <v>46</v>
      </c>
      <c r="K558" s="24"/>
      <c r="L558" s="24">
        <f>M558-K558</f>
        <v>55.3</v>
      </c>
      <c r="M558" s="24">
        <v>55.3</v>
      </c>
    </row>
    <row r="559" spans="1:13" s="7" customFormat="1" ht="54" customHeight="1" x14ac:dyDescent="0.35">
      <c r="A559" s="11"/>
      <c r="B559" s="368" t="s">
        <v>276</v>
      </c>
      <c r="C559" s="23" t="s">
        <v>263</v>
      </c>
      <c r="D559" s="10" t="s">
        <v>190</v>
      </c>
      <c r="E559" s="10" t="s">
        <v>28</v>
      </c>
      <c r="F559" s="27" t="s">
        <v>53</v>
      </c>
      <c r="G559" s="54" t="s">
        <v>79</v>
      </c>
      <c r="H559" s="54" t="s">
        <v>34</v>
      </c>
      <c r="I559" s="500" t="s">
        <v>35</v>
      </c>
      <c r="J559" s="10"/>
      <c r="K559" s="24">
        <f>K560</f>
        <v>494.79999999999995</v>
      </c>
      <c r="L559" s="24">
        <f t="shared" ref="L559" si="198">L560</f>
        <v>476.69999999999993</v>
      </c>
      <c r="M559" s="24">
        <f>M560</f>
        <v>971.49999999999989</v>
      </c>
    </row>
    <row r="560" spans="1:13" s="7" customFormat="1" ht="90" customHeight="1" x14ac:dyDescent="0.35">
      <c r="A560" s="11"/>
      <c r="B560" s="375" t="s">
        <v>269</v>
      </c>
      <c r="C560" s="23" t="s">
        <v>263</v>
      </c>
      <c r="D560" s="10" t="s">
        <v>190</v>
      </c>
      <c r="E560" s="10" t="s">
        <v>28</v>
      </c>
      <c r="F560" s="27" t="s">
        <v>53</v>
      </c>
      <c r="G560" s="54" t="s">
        <v>79</v>
      </c>
      <c r="H560" s="54" t="s">
        <v>53</v>
      </c>
      <c r="I560" s="500" t="s">
        <v>35</v>
      </c>
      <c r="J560" s="10"/>
      <c r="K560" s="24">
        <f>K561+K564</f>
        <v>494.79999999999995</v>
      </c>
      <c r="L560" s="24">
        <f t="shared" ref="L560" si="199">L561+L564</f>
        <v>476.69999999999993</v>
      </c>
      <c r="M560" s="24">
        <f>M561+M564</f>
        <v>971.49999999999989</v>
      </c>
    </row>
    <row r="561" spans="1:13" s="7" customFormat="1" ht="36" customHeight="1" x14ac:dyDescent="0.35">
      <c r="A561" s="11"/>
      <c r="B561" s="375" t="s">
        <v>264</v>
      </c>
      <c r="C561" s="23" t="s">
        <v>263</v>
      </c>
      <c r="D561" s="10" t="s">
        <v>190</v>
      </c>
      <c r="E561" s="10" t="s">
        <v>28</v>
      </c>
      <c r="F561" s="27" t="s">
        <v>53</v>
      </c>
      <c r="G561" s="54" t="s">
        <v>79</v>
      </c>
      <c r="H561" s="54" t="s">
        <v>53</v>
      </c>
      <c r="I561" s="55" t="s">
        <v>265</v>
      </c>
      <c r="J561" s="56"/>
      <c r="K561" s="24">
        <f>K563+K562</f>
        <v>450.4</v>
      </c>
      <c r="L561" s="24">
        <f t="shared" ref="L561" si="200">L563+L562</f>
        <v>476.69999999999993</v>
      </c>
      <c r="M561" s="24">
        <f>M563+M562</f>
        <v>927.09999999999991</v>
      </c>
    </row>
    <row r="562" spans="1:13" s="7" customFormat="1" ht="54" customHeight="1" x14ac:dyDescent="0.35">
      <c r="A562" s="11"/>
      <c r="B562" s="375" t="s">
        <v>45</v>
      </c>
      <c r="C562" s="23" t="s">
        <v>263</v>
      </c>
      <c r="D562" s="10" t="s">
        <v>190</v>
      </c>
      <c r="E562" s="10" t="s">
        <v>28</v>
      </c>
      <c r="F562" s="27" t="s">
        <v>53</v>
      </c>
      <c r="G562" s="54" t="s">
        <v>79</v>
      </c>
      <c r="H562" s="54" t="s">
        <v>53</v>
      </c>
      <c r="I562" s="55" t="s">
        <v>265</v>
      </c>
      <c r="J562" s="56" t="s">
        <v>46</v>
      </c>
      <c r="K562" s="24">
        <f>405.2+29.7</f>
        <v>434.9</v>
      </c>
      <c r="L562" s="24">
        <f>M562-K562</f>
        <v>476.69999999999993</v>
      </c>
      <c r="M562" s="24">
        <f>405.2+29.7+476.7</f>
        <v>911.59999999999991</v>
      </c>
    </row>
    <row r="563" spans="1:13" s="7" customFormat="1" ht="54" customHeight="1" x14ac:dyDescent="0.35">
      <c r="A563" s="11"/>
      <c r="B563" s="375" t="s">
        <v>66</v>
      </c>
      <c r="C563" s="23" t="s">
        <v>263</v>
      </c>
      <c r="D563" s="10" t="s">
        <v>190</v>
      </c>
      <c r="E563" s="10" t="s">
        <v>28</v>
      </c>
      <c r="F563" s="498" t="s">
        <v>53</v>
      </c>
      <c r="G563" s="499" t="s">
        <v>79</v>
      </c>
      <c r="H563" s="499" t="s">
        <v>53</v>
      </c>
      <c r="I563" s="500" t="s">
        <v>265</v>
      </c>
      <c r="J563" s="10" t="s">
        <v>67</v>
      </c>
      <c r="K563" s="24">
        <v>15.5</v>
      </c>
      <c r="L563" s="24">
        <f>M563-K563</f>
        <v>0</v>
      </c>
      <c r="M563" s="24">
        <v>15.5</v>
      </c>
    </row>
    <row r="564" spans="1:13" s="7" customFormat="1" ht="306" customHeight="1" x14ac:dyDescent="0.35">
      <c r="A564" s="11"/>
      <c r="B564" s="375" t="s">
        <v>449</v>
      </c>
      <c r="C564" s="23" t="s">
        <v>263</v>
      </c>
      <c r="D564" s="10" t="s">
        <v>190</v>
      </c>
      <c r="E564" s="10" t="s">
        <v>28</v>
      </c>
      <c r="F564" s="498" t="s">
        <v>53</v>
      </c>
      <c r="G564" s="499" t="s">
        <v>79</v>
      </c>
      <c r="H564" s="499" t="s">
        <v>53</v>
      </c>
      <c r="I564" s="500" t="s">
        <v>329</v>
      </c>
      <c r="J564" s="10"/>
      <c r="K564" s="24">
        <f>K565</f>
        <v>44.4</v>
      </c>
      <c r="L564" s="24">
        <f t="shared" ref="L564" si="201">L565</f>
        <v>0</v>
      </c>
      <c r="M564" s="24">
        <f>M565</f>
        <v>44.4</v>
      </c>
    </row>
    <row r="565" spans="1:13" s="7" customFormat="1" ht="54" customHeight="1" x14ac:dyDescent="0.35">
      <c r="A565" s="11"/>
      <c r="B565" s="375" t="s">
        <v>66</v>
      </c>
      <c r="C565" s="23" t="s">
        <v>263</v>
      </c>
      <c r="D565" s="10" t="s">
        <v>190</v>
      </c>
      <c r="E565" s="10" t="s">
        <v>28</v>
      </c>
      <c r="F565" s="498" t="s">
        <v>53</v>
      </c>
      <c r="G565" s="499" t="s">
        <v>79</v>
      </c>
      <c r="H565" s="499" t="s">
        <v>53</v>
      </c>
      <c r="I565" s="500" t="s">
        <v>329</v>
      </c>
      <c r="J565" s="10" t="s">
        <v>67</v>
      </c>
      <c r="K565" s="24">
        <f>4.4+40</f>
        <v>44.4</v>
      </c>
      <c r="L565" s="24">
        <f>M565-K565</f>
        <v>0</v>
      </c>
      <c r="M565" s="24">
        <f>4.4+40</f>
        <v>44.4</v>
      </c>
    </row>
    <row r="566" spans="1:13" s="7" customFormat="1" ht="36" customHeight="1" x14ac:dyDescent="0.35">
      <c r="A566" s="11"/>
      <c r="B566" s="368" t="s">
        <v>270</v>
      </c>
      <c r="C566" s="23" t="s">
        <v>263</v>
      </c>
      <c r="D566" s="10" t="s">
        <v>190</v>
      </c>
      <c r="E566" s="10" t="s">
        <v>42</v>
      </c>
      <c r="F566" s="27"/>
      <c r="G566" s="54"/>
      <c r="H566" s="54"/>
      <c r="I566" s="55"/>
      <c r="J566" s="56"/>
      <c r="K566" s="24">
        <f>K567</f>
        <v>12772.2</v>
      </c>
      <c r="L566" s="24">
        <f t="shared" ref="L566" si="202">L567</f>
        <v>906.8</v>
      </c>
      <c r="M566" s="24">
        <f>M567</f>
        <v>13679</v>
      </c>
    </row>
    <row r="567" spans="1:13" s="7" customFormat="1" ht="54" customHeight="1" x14ac:dyDescent="0.35">
      <c r="A567" s="11"/>
      <c r="B567" s="407" t="s">
        <v>178</v>
      </c>
      <c r="C567" s="23" t="s">
        <v>263</v>
      </c>
      <c r="D567" s="10" t="s">
        <v>190</v>
      </c>
      <c r="E567" s="10" t="s">
        <v>42</v>
      </c>
      <c r="F567" s="27" t="s">
        <v>53</v>
      </c>
      <c r="G567" s="54" t="s">
        <v>33</v>
      </c>
      <c r="H567" s="54" t="s">
        <v>34</v>
      </c>
      <c r="I567" s="55" t="s">
        <v>35</v>
      </c>
      <c r="J567" s="56"/>
      <c r="K567" s="24">
        <f>K572+K568</f>
        <v>12772.2</v>
      </c>
      <c r="L567" s="24">
        <f t="shared" ref="L567" si="203">L572+L568</f>
        <v>906.8</v>
      </c>
      <c r="M567" s="24">
        <f>M572+M568</f>
        <v>13679</v>
      </c>
    </row>
    <row r="568" spans="1:13" s="7" customFormat="1" ht="54" customHeight="1" x14ac:dyDescent="0.35">
      <c r="A568" s="11"/>
      <c r="B568" s="368" t="s">
        <v>276</v>
      </c>
      <c r="C568" s="23" t="s">
        <v>263</v>
      </c>
      <c r="D568" s="10" t="s">
        <v>190</v>
      </c>
      <c r="E568" s="10" t="s">
        <v>42</v>
      </c>
      <c r="F568" s="498" t="s">
        <v>53</v>
      </c>
      <c r="G568" s="499" t="s">
        <v>79</v>
      </c>
      <c r="H568" s="499" t="s">
        <v>34</v>
      </c>
      <c r="I568" s="500" t="s">
        <v>35</v>
      </c>
      <c r="J568" s="10"/>
      <c r="K568" s="24">
        <f t="shared" ref="K568:M570" si="204">K569</f>
        <v>947.8</v>
      </c>
      <c r="L568" s="24">
        <f t="shared" si="204"/>
        <v>0</v>
      </c>
      <c r="M568" s="24">
        <f t="shared" si="204"/>
        <v>947.8</v>
      </c>
    </row>
    <row r="569" spans="1:13" s="7" customFormat="1" ht="90" customHeight="1" x14ac:dyDescent="0.35">
      <c r="A569" s="11"/>
      <c r="B569" s="427" t="s">
        <v>269</v>
      </c>
      <c r="C569" s="23" t="s">
        <v>263</v>
      </c>
      <c r="D569" s="10" t="s">
        <v>190</v>
      </c>
      <c r="E569" s="10" t="s">
        <v>42</v>
      </c>
      <c r="F569" s="498" t="s">
        <v>53</v>
      </c>
      <c r="G569" s="499" t="s">
        <v>79</v>
      </c>
      <c r="H569" s="499" t="s">
        <v>53</v>
      </c>
      <c r="I569" s="500" t="s">
        <v>35</v>
      </c>
      <c r="J569" s="10"/>
      <c r="K569" s="24">
        <f t="shared" si="204"/>
        <v>947.8</v>
      </c>
      <c r="L569" s="24">
        <f t="shared" si="204"/>
        <v>0</v>
      </c>
      <c r="M569" s="24">
        <f t="shared" si="204"/>
        <v>947.8</v>
      </c>
    </row>
    <row r="570" spans="1:13" s="7" customFormat="1" ht="36" customHeight="1" x14ac:dyDescent="0.35">
      <c r="A570" s="11"/>
      <c r="B570" s="375" t="s">
        <v>264</v>
      </c>
      <c r="C570" s="23" t="s">
        <v>263</v>
      </c>
      <c r="D570" s="10" t="s">
        <v>190</v>
      </c>
      <c r="E570" s="10" t="s">
        <v>42</v>
      </c>
      <c r="F570" s="498" t="s">
        <v>53</v>
      </c>
      <c r="G570" s="499" t="s">
        <v>79</v>
      </c>
      <c r="H570" s="499" t="s">
        <v>53</v>
      </c>
      <c r="I570" s="500" t="s">
        <v>265</v>
      </c>
      <c r="J570" s="10"/>
      <c r="K570" s="24">
        <f t="shared" si="204"/>
        <v>947.8</v>
      </c>
      <c r="L570" s="24">
        <f t="shared" si="204"/>
        <v>0</v>
      </c>
      <c r="M570" s="24">
        <f t="shared" si="204"/>
        <v>947.8</v>
      </c>
    </row>
    <row r="571" spans="1:13" s="7" customFormat="1" ht="54" customHeight="1" x14ac:dyDescent="0.35">
      <c r="A571" s="11"/>
      <c r="B571" s="368" t="s">
        <v>45</v>
      </c>
      <c r="C571" s="23" t="s">
        <v>263</v>
      </c>
      <c r="D571" s="10" t="s">
        <v>190</v>
      </c>
      <c r="E571" s="10" t="s">
        <v>42</v>
      </c>
      <c r="F571" s="498" t="s">
        <v>53</v>
      </c>
      <c r="G571" s="499" t="s">
        <v>79</v>
      </c>
      <c r="H571" s="499" t="s">
        <v>53</v>
      </c>
      <c r="I571" s="500" t="s">
        <v>265</v>
      </c>
      <c r="J571" s="10" t="s">
        <v>46</v>
      </c>
      <c r="K571" s="24">
        <v>947.8</v>
      </c>
      <c r="L571" s="24">
        <f>M571-K571</f>
        <v>0</v>
      </c>
      <c r="M571" s="24">
        <v>947.8</v>
      </c>
    </row>
    <row r="572" spans="1:13" s="7" customFormat="1" ht="54" customHeight="1" x14ac:dyDescent="0.35">
      <c r="A572" s="11"/>
      <c r="B572" s="368" t="s">
        <v>180</v>
      </c>
      <c r="C572" s="23" t="s">
        <v>263</v>
      </c>
      <c r="D572" s="10" t="s">
        <v>190</v>
      </c>
      <c r="E572" s="10" t="s">
        <v>42</v>
      </c>
      <c r="F572" s="498" t="s">
        <v>53</v>
      </c>
      <c r="G572" s="499" t="s">
        <v>21</v>
      </c>
      <c r="H572" s="499" t="s">
        <v>34</v>
      </c>
      <c r="I572" s="500" t="s">
        <v>35</v>
      </c>
      <c r="J572" s="10"/>
      <c r="K572" s="24">
        <f>K573</f>
        <v>11824.400000000001</v>
      </c>
      <c r="L572" s="24">
        <f t="shared" ref="L572" si="205">L573</f>
        <v>906.8</v>
      </c>
      <c r="M572" s="24">
        <f>M573</f>
        <v>12731.2</v>
      </c>
    </row>
    <row r="573" spans="1:13" s="7" customFormat="1" ht="36" customHeight="1" x14ac:dyDescent="0.35">
      <c r="A573" s="11"/>
      <c r="B573" s="368" t="s">
        <v>239</v>
      </c>
      <c r="C573" s="23" t="s">
        <v>263</v>
      </c>
      <c r="D573" s="10" t="s">
        <v>190</v>
      </c>
      <c r="E573" s="10" t="s">
        <v>42</v>
      </c>
      <c r="F573" s="498" t="s">
        <v>53</v>
      </c>
      <c r="G573" s="499" t="s">
        <v>21</v>
      </c>
      <c r="H573" s="499" t="s">
        <v>28</v>
      </c>
      <c r="I573" s="500" t="s">
        <v>35</v>
      </c>
      <c r="J573" s="10"/>
      <c r="K573" s="24">
        <f>K574+K578</f>
        <v>11824.400000000001</v>
      </c>
      <c r="L573" s="24">
        <f t="shared" ref="L573" si="206">L574+L578</f>
        <v>906.8</v>
      </c>
      <c r="M573" s="24">
        <f>M574+M578</f>
        <v>12731.2</v>
      </c>
    </row>
    <row r="574" spans="1:13" s="7" customFormat="1" ht="36" customHeight="1" x14ac:dyDescent="0.35">
      <c r="A574" s="11"/>
      <c r="B574" s="368" t="s">
        <v>38</v>
      </c>
      <c r="C574" s="23" t="s">
        <v>263</v>
      </c>
      <c r="D574" s="10" t="s">
        <v>190</v>
      </c>
      <c r="E574" s="10" t="s">
        <v>42</v>
      </c>
      <c r="F574" s="498" t="s">
        <v>53</v>
      </c>
      <c r="G574" s="499" t="s">
        <v>21</v>
      </c>
      <c r="H574" s="499" t="s">
        <v>28</v>
      </c>
      <c r="I574" s="500" t="s">
        <v>39</v>
      </c>
      <c r="J574" s="56"/>
      <c r="K574" s="24">
        <f>K575+K576+K577</f>
        <v>3570.7000000000003</v>
      </c>
      <c r="L574" s="24">
        <f t="shared" ref="L574" si="207">L575+L576+L577</f>
        <v>0</v>
      </c>
      <c r="M574" s="24">
        <f>M575+M576+M577</f>
        <v>3570.7000000000003</v>
      </c>
    </row>
    <row r="575" spans="1:13" s="7" customFormat="1" ht="108" customHeight="1" x14ac:dyDescent="0.35">
      <c r="A575" s="11"/>
      <c r="B575" s="368" t="s">
        <v>40</v>
      </c>
      <c r="C575" s="23" t="s">
        <v>263</v>
      </c>
      <c r="D575" s="10" t="s">
        <v>190</v>
      </c>
      <c r="E575" s="10" t="s">
        <v>42</v>
      </c>
      <c r="F575" s="498" t="s">
        <v>53</v>
      </c>
      <c r="G575" s="499" t="s">
        <v>21</v>
      </c>
      <c r="H575" s="499" t="s">
        <v>28</v>
      </c>
      <c r="I575" s="500" t="s">
        <v>39</v>
      </c>
      <c r="J575" s="56" t="s">
        <v>41</v>
      </c>
      <c r="K575" s="24">
        <v>3284.3</v>
      </c>
      <c r="L575" s="24">
        <f>M575-K575</f>
        <v>0</v>
      </c>
      <c r="M575" s="24">
        <v>3284.3</v>
      </c>
    </row>
    <row r="576" spans="1:13" s="7" customFormat="1" ht="54" customHeight="1" x14ac:dyDescent="0.35">
      <c r="A576" s="11"/>
      <c r="B576" s="368" t="s">
        <v>45</v>
      </c>
      <c r="C576" s="23" t="s">
        <v>263</v>
      </c>
      <c r="D576" s="10" t="s">
        <v>190</v>
      </c>
      <c r="E576" s="10" t="s">
        <v>42</v>
      </c>
      <c r="F576" s="498" t="s">
        <v>53</v>
      </c>
      <c r="G576" s="499" t="s">
        <v>21</v>
      </c>
      <c r="H576" s="499" t="s">
        <v>28</v>
      </c>
      <c r="I576" s="500" t="s">
        <v>39</v>
      </c>
      <c r="J576" s="56" t="s">
        <v>46</v>
      </c>
      <c r="K576" s="24">
        <v>277.89999999999998</v>
      </c>
      <c r="L576" s="24">
        <f>M576-K576</f>
        <v>0</v>
      </c>
      <c r="M576" s="24">
        <v>277.89999999999998</v>
      </c>
    </row>
    <row r="577" spans="1:13" s="7" customFormat="1" ht="18" customHeight="1" x14ac:dyDescent="0.35">
      <c r="A577" s="11"/>
      <c r="B577" s="368" t="s">
        <v>47</v>
      </c>
      <c r="C577" s="23" t="s">
        <v>263</v>
      </c>
      <c r="D577" s="10" t="s">
        <v>190</v>
      </c>
      <c r="E577" s="10" t="s">
        <v>42</v>
      </c>
      <c r="F577" s="498" t="s">
        <v>53</v>
      </c>
      <c r="G577" s="499" t="s">
        <v>21</v>
      </c>
      <c r="H577" s="499" t="s">
        <v>28</v>
      </c>
      <c r="I577" s="500" t="s">
        <v>39</v>
      </c>
      <c r="J577" s="10" t="s">
        <v>48</v>
      </c>
      <c r="K577" s="24">
        <v>8.5</v>
      </c>
      <c r="L577" s="24">
        <f>M577-K577</f>
        <v>0</v>
      </c>
      <c r="M577" s="24">
        <v>8.5</v>
      </c>
    </row>
    <row r="578" spans="1:13" s="7" customFormat="1" ht="36" customHeight="1" x14ac:dyDescent="0.35">
      <c r="A578" s="11"/>
      <c r="B578" s="400" t="s">
        <v>353</v>
      </c>
      <c r="C578" s="23" t="s">
        <v>263</v>
      </c>
      <c r="D578" s="10" t="s">
        <v>190</v>
      </c>
      <c r="E578" s="10" t="s">
        <v>42</v>
      </c>
      <c r="F578" s="498" t="s">
        <v>53</v>
      </c>
      <c r="G578" s="499" t="s">
        <v>21</v>
      </c>
      <c r="H578" s="499" t="s">
        <v>28</v>
      </c>
      <c r="I578" s="500" t="s">
        <v>81</v>
      </c>
      <c r="J578" s="10"/>
      <c r="K578" s="24">
        <f>K579+K580+K581</f>
        <v>8253.7000000000007</v>
      </c>
      <c r="L578" s="24">
        <f t="shared" ref="L578" si="208">L579+L580+L581</f>
        <v>906.8</v>
      </c>
      <c r="M578" s="24">
        <f>M579+M580+M581</f>
        <v>9160.5</v>
      </c>
    </row>
    <row r="579" spans="1:13" s="7" customFormat="1" ht="108" customHeight="1" x14ac:dyDescent="0.35">
      <c r="A579" s="11"/>
      <c r="B579" s="368" t="s">
        <v>40</v>
      </c>
      <c r="C579" s="99" t="s">
        <v>263</v>
      </c>
      <c r="D579" s="56" t="s">
        <v>190</v>
      </c>
      <c r="E579" s="56" t="s">
        <v>42</v>
      </c>
      <c r="F579" s="498" t="s">
        <v>53</v>
      </c>
      <c r="G579" s="499" t="s">
        <v>21</v>
      </c>
      <c r="H579" s="499" t="s">
        <v>28</v>
      </c>
      <c r="I579" s="500" t="s">
        <v>81</v>
      </c>
      <c r="J579" s="56" t="s">
        <v>41</v>
      </c>
      <c r="K579" s="24">
        <f>7575+16.9</f>
        <v>7591.9</v>
      </c>
      <c r="L579" s="24">
        <f>M579-K579</f>
        <v>0</v>
      </c>
      <c r="M579" s="24">
        <f>7575+16.9</f>
        <v>7591.9</v>
      </c>
    </row>
    <row r="580" spans="1:13" s="7" customFormat="1" ht="54" customHeight="1" x14ac:dyDescent="0.35">
      <c r="A580" s="11"/>
      <c r="B580" s="368" t="s">
        <v>45</v>
      </c>
      <c r="C580" s="99" t="s">
        <v>263</v>
      </c>
      <c r="D580" s="56" t="s">
        <v>190</v>
      </c>
      <c r="E580" s="56" t="s">
        <v>42</v>
      </c>
      <c r="F580" s="498" t="s">
        <v>53</v>
      </c>
      <c r="G580" s="499" t="s">
        <v>21</v>
      </c>
      <c r="H580" s="499" t="s">
        <v>28</v>
      </c>
      <c r="I580" s="500" t="s">
        <v>81</v>
      </c>
      <c r="J580" s="56" t="s">
        <v>46</v>
      </c>
      <c r="K580" s="24">
        <v>660.2</v>
      </c>
      <c r="L580" s="24">
        <f>M580-K580</f>
        <v>906.8</v>
      </c>
      <c r="M580" s="24">
        <f>660.2+105.8+801</f>
        <v>1567</v>
      </c>
    </row>
    <row r="581" spans="1:13" s="7" customFormat="1" ht="18" customHeight="1" x14ac:dyDescent="0.35">
      <c r="A581" s="11"/>
      <c r="B581" s="368" t="s">
        <v>47</v>
      </c>
      <c r="C581" s="99" t="s">
        <v>263</v>
      </c>
      <c r="D581" s="56" t="s">
        <v>190</v>
      </c>
      <c r="E581" s="56" t="s">
        <v>42</v>
      </c>
      <c r="F581" s="498" t="s">
        <v>53</v>
      </c>
      <c r="G581" s="499" t="s">
        <v>21</v>
      </c>
      <c r="H581" s="499" t="s">
        <v>28</v>
      </c>
      <c r="I581" s="500" t="s">
        <v>81</v>
      </c>
      <c r="J581" s="10" t="s">
        <v>48</v>
      </c>
      <c r="K581" s="24">
        <v>1.6</v>
      </c>
      <c r="L581" s="24">
        <f>M581-K581</f>
        <v>0</v>
      </c>
      <c r="M581" s="24">
        <v>1.6</v>
      </c>
    </row>
    <row r="582" spans="1:13" s="87" customFormat="1" ht="18" customHeight="1" x14ac:dyDescent="0.35">
      <c r="A582" s="149"/>
      <c r="B582" s="428"/>
      <c r="C582" s="99"/>
      <c r="D582" s="56"/>
      <c r="E582" s="56"/>
      <c r="F582" s="498"/>
      <c r="G582" s="499"/>
      <c r="H582" s="499"/>
      <c r="I582" s="147"/>
      <c r="J582" s="148"/>
      <c r="K582" s="186"/>
      <c r="L582" s="186"/>
      <c r="M582" s="186"/>
    </row>
    <row r="583" spans="1:13" s="74" customFormat="1" ht="52.2" customHeight="1" x14ac:dyDescent="0.3">
      <c r="A583" s="73">
        <v>7</v>
      </c>
      <c r="B583" s="404" t="s">
        <v>8</v>
      </c>
      <c r="C583" s="18" t="s">
        <v>247</v>
      </c>
      <c r="D583" s="19"/>
      <c r="E583" s="19"/>
      <c r="F583" s="20"/>
      <c r="G583" s="21"/>
      <c r="H583" s="21"/>
      <c r="I583" s="22"/>
      <c r="J583" s="19"/>
      <c r="K583" s="32">
        <f>K591+K584</f>
        <v>88585.9</v>
      </c>
      <c r="L583" s="32">
        <f t="shared" ref="L583" si="209">L591+L584</f>
        <v>0</v>
      </c>
      <c r="M583" s="32">
        <f>M591+M584</f>
        <v>88585.9</v>
      </c>
    </row>
    <row r="584" spans="1:13" s="74" customFormat="1" ht="18" customHeight="1" x14ac:dyDescent="0.35">
      <c r="A584" s="73"/>
      <c r="B584" s="366" t="s">
        <v>27</v>
      </c>
      <c r="C584" s="151" t="s">
        <v>247</v>
      </c>
      <c r="D584" s="28" t="s">
        <v>28</v>
      </c>
      <c r="E584" s="28"/>
      <c r="F584" s="143"/>
      <c r="G584" s="144"/>
      <c r="H584" s="144"/>
      <c r="I584" s="145"/>
      <c r="J584" s="28"/>
      <c r="K584" s="146">
        <f t="shared" ref="K584:M589" si="210">K585</f>
        <v>51.9</v>
      </c>
      <c r="L584" s="146">
        <f t="shared" si="210"/>
        <v>0</v>
      </c>
      <c r="M584" s="146">
        <f t="shared" si="210"/>
        <v>51.9</v>
      </c>
    </row>
    <row r="585" spans="1:13" s="74" customFormat="1" ht="18" customHeight="1" x14ac:dyDescent="0.35">
      <c r="A585" s="73"/>
      <c r="B585" s="366" t="s">
        <v>60</v>
      </c>
      <c r="C585" s="151" t="s">
        <v>247</v>
      </c>
      <c r="D585" s="28" t="s">
        <v>28</v>
      </c>
      <c r="E585" s="28" t="s">
        <v>61</v>
      </c>
      <c r="F585" s="143"/>
      <c r="G585" s="144"/>
      <c r="H585" s="144"/>
      <c r="I585" s="145"/>
      <c r="J585" s="28"/>
      <c r="K585" s="146">
        <f t="shared" si="210"/>
        <v>51.9</v>
      </c>
      <c r="L585" s="146">
        <f t="shared" si="210"/>
        <v>0</v>
      </c>
      <c r="M585" s="146">
        <f t="shared" si="210"/>
        <v>51.9</v>
      </c>
    </row>
    <row r="586" spans="1:13" s="74" customFormat="1" ht="54" customHeight="1" x14ac:dyDescent="0.35">
      <c r="A586" s="73"/>
      <c r="B586" s="368" t="s">
        <v>181</v>
      </c>
      <c r="C586" s="151" t="s">
        <v>247</v>
      </c>
      <c r="D586" s="28" t="s">
        <v>28</v>
      </c>
      <c r="E586" s="28" t="s">
        <v>61</v>
      </c>
      <c r="F586" s="143" t="s">
        <v>42</v>
      </c>
      <c r="G586" s="144" t="s">
        <v>33</v>
      </c>
      <c r="H586" s="144" t="s">
        <v>34</v>
      </c>
      <c r="I586" s="145" t="s">
        <v>35</v>
      </c>
      <c r="J586" s="28"/>
      <c r="K586" s="146">
        <f t="shared" si="210"/>
        <v>51.9</v>
      </c>
      <c r="L586" s="146">
        <f t="shared" si="210"/>
        <v>0</v>
      </c>
      <c r="M586" s="146">
        <f t="shared" si="210"/>
        <v>51.9</v>
      </c>
    </row>
    <row r="587" spans="1:13" s="74" customFormat="1" ht="36" customHeight="1" x14ac:dyDescent="0.35">
      <c r="A587" s="73"/>
      <c r="B587" s="368" t="s">
        <v>184</v>
      </c>
      <c r="C587" s="151" t="s">
        <v>247</v>
      </c>
      <c r="D587" s="28" t="s">
        <v>28</v>
      </c>
      <c r="E587" s="28" t="s">
        <v>61</v>
      </c>
      <c r="F587" s="143" t="s">
        <v>42</v>
      </c>
      <c r="G587" s="144" t="s">
        <v>79</v>
      </c>
      <c r="H587" s="144" t="s">
        <v>34</v>
      </c>
      <c r="I587" s="145" t="s">
        <v>35</v>
      </c>
      <c r="J587" s="28"/>
      <c r="K587" s="146">
        <f t="shared" si="210"/>
        <v>51.9</v>
      </c>
      <c r="L587" s="146">
        <f t="shared" si="210"/>
        <v>0</v>
      </c>
      <c r="M587" s="146">
        <f t="shared" si="210"/>
        <v>51.9</v>
      </c>
    </row>
    <row r="588" spans="1:13" s="74" customFormat="1" ht="36" customHeight="1" x14ac:dyDescent="0.35">
      <c r="A588" s="73"/>
      <c r="B588" s="366" t="s">
        <v>293</v>
      </c>
      <c r="C588" s="151" t="s">
        <v>247</v>
      </c>
      <c r="D588" s="28" t="s">
        <v>28</v>
      </c>
      <c r="E588" s="28" t="s">
        <v>61</v>
      </c>
      <c r="F588" s="143" t="s">
        <v>42</v>
      </c>
      <c r="G588" s="144" t="s">
        <v>79</v>
      </c>
      <c r="H588" s="144" t="s">
        <v>53</v>
      </c>
      <c r="I588" s="145" t="s">
        <v>35</v>
      </c>
      <c r="J588" s="28"/>
      <c r="K588" s="146">
        <f t="shared" si="210"/>
        <v>51.9</v>
      </c>
      <c r="L588" s="146">
        <f t="shared" si="210"/>
        <v>0</v>
      </c>
      <c r="M588" s="146">
        <f t="shared" si="210"/>
        <v>51.9</v>
      </c>
    </row>
    <row r="589" spans="1:13" s="74" customFormat="1" ht="54" customHeight="1" x14ac:dyDescent="0.35">
      <c r="A589" s="73"/>
      <c r="B589" s="429" t="s">
        <v>294</v>
      </c>
      <c r="C589" s="151" t="s">
        <v>247</v>
      </c>
      <c r="D589" s="28" t="s">
        <v>28</v>
      </c>
      <c r="E589" s="28" t="s">
        <v>61</v>
      </c>
      <c r="F589" s="143" t="s">
        <v>42</v>
      </c>
      <c r="G589" s="144" t="s">
        <v>79</v>
      </c>
      <c r="H589" s="144" t="s">
        <v>53</v>
      </c>
      <c r="I589" s="145" t="s">
        <v>95</v>
      </c>
      <c r="J589" s="28"/>
      <c r="K589" s="146">
        <f>K590</f>
        <v>51.9</v>
      </c>
      <c r="L589" s="146">
        <f t="shared" si="210"/>
        <v>0</v>
      </c>
      <c r="M589" s="146">
        <f>M590</f>
        <v>51.9</v>
      </c>
    </row>
    <row r="590" spans="1:13" s="74" customFormat="1" ht="54" customHeight="1" x14ac:dyDescent="0.35">
      <c r="A590" s="73"/>
      <c r="B590" s="368" t="s">
        <v>45</v>
      </c>
      <c r="C590" s="151" t="s">
        <v>247</v>
      </c>
      <c r="D590" s="28" t="s">
        <v>28</v>
      </c>
      <c r="E590" s="28" t="s">
        <v>61</v>
      </c>
      <c r="F590" s="143" t="s">
        <v>42</v>
      </c>
      <c r="G590" s="144" t="s">
        <v>79</v>
      </c>
      <c r="H590" s="144" t="s">
        <v>53</v>
      </c>
      <c r="I590" s="145" t="s">
        <v>95</v>
      </c>
      <c r="J590" s="28" t="s">
        <v>46</v>
      </c>
      <c r="K590" s="146">
        <v>51.9</v>
      </c>
      <c r="L590" s="24">
        <f>M590-K590</f>
        <v>0</v>
      </c>
      <c r="M590" s="146">
        <v>51.9</v>
      </c>
    </row>
    <row r="591" spans="1:13" s="7" customFormat="1" ht="18" customHeight="1" x14ac:dyDescent="0.35">
      <c r="A591" s="11"/>
      <c r="B591" s="407" t="s">
        <v>271</v>
      </c>
      <c r="C591" s="23" t="s">
        <v>247</v>
      </c>
      <c r="D591" s="10" t="s">
        <v>57</v>
      </c>
      <c r="E591" s="10"/>
      <c r="F591" s="498"/>
      <c r="G591" s="499"/>
      <c r="H591" s="499"/>
      <c r="I591" s="500"/>
      <c r="J591" s="10"/>
      <c r="K591" s="24">
        <f>K592+K602+K630+K612</f>
        <v>88534</v>
      </c>
      <c r="L591" s="24">
        <f t="shared" ref="L591" si="211">L592+L602+L630+L612</f>
        <v>0</v>
      </c>
      <c r="M591" s="24">
        <f>M592+M602+M630+M612</f>
        <v>88534</v>
      </c>
    </row>
    <row r="592" spans="1:13" s="74" customFormat="1" ht="18" customHeight="1" x14ac:dyDescent="0.35">
      <c r="A592" s="11"/>
      <c r="B592" s="407" t="s">
        <v>302</v>
      </c>
      <c r="C592" s="23" t="s">
        <v>247</v>
      </c>
      <c r="D592" s="10" t="s">
        <v>57</v>
      </c>
      <c r="E592" s="10" t="s">
        <v>28</v>
      </c>
      <c r="F592" s="498"/>
      <c r="G592" s="499"/>
      <c r="H592" s="499"/>
      <c r="I592" s="500"/>
      <c r="J592" s="10"/>
      <c r="K592" s="24">
        <f>K593</f>
        <v>4755</v>
      </c>
      <c r="L592" s="24">
        <f t="shared" ref="L592:L594" si="212">L593</f>
        <v>0</v>
      </c>
      <c r="M592" s="24">
        <f>M593</f>
        <v>4755</v>
      </c>
    </row>
    <row r="593" spans="1:14" s="74" customFormat="1" ht="54" customHeight="1" x14ac:dyDescent="0.35">
      <c r="A593" s="11"/>
      <c r="B593" s="368" t="s">
        <v>181</v>
      </c>
      <c r="C593" s="23" t="s">
        <v>247</v>
      </c>
      <c r="D593" s="10" t="s">
        <v>57</v>
      </c>
      <c r="E593" s="10" t="s">
        <v>28</v>
      </c>
      <c r="F593" s="498" t="s">
        <v>42</v>
      </c>
      <c r="G593" s="499" t="s">
        <v>33</v>
      </c>
      <c r="H593" s="499" t="s">
        <v>34</v>
      </c>
      <c r="I593" s="500" t="s">
        <v>35</v>
      </c>
      <c r="J593" s="10"/>
      <c r="K593" s="24">
        <f>K594</f>
        <v>4755</v>
      </c>
      <c r="L593" s="24">
        <f t="shared" si="212"/>
        <v>0</v>
      </c>
      <c r="M593" s="24">
        <f>M594</f>
        <v>4755</v>
      </c>
    </row>
    <row r="594" spans="1:14" s="7" customFormat="1" ht="36" customHeight="1" x14ac:dyDescent="0.35">
      <c r="A594" s="11"/>
      <c r="B594" s="368" t="s">
        <v>184</v>
      </c>
      <c r="C594" s="23" t="s">
        <v>247</v>
      </c>
      <c r="D594" s="10" t="s">
        <v>57</v>
      </c>
      <c r="E594" s="10" t="s">
        <v>28</v>
      </c>
      <c r="F594" s="498" t="s">
        <v>42</v>
      </c>
      <c r="G594" s="499" t="s">
        <v>79</v>
      </c>
      <c r="H594" s="499" t="s">
        <v>34</v>
      </c>
      <c r="I594" s="500" t="s">
        <v>35</v>
      </c>
      <c r="J594" s="10"/>
      <c r="K594" s="24">
        <f>K595</f>
        <v>4755</v>
      </c>
      <c r="L594" s="24">
        <f t="shared" si="212"/>
        <v>0</v>
      </c>
      <c r="M594" s="24">
        <f>M595</f>
        <v>4755</v>
      </c>
    </row>
    <row r="595" spans="1:14" s="74" customFormat="1" ht="36" customHeight="1" x14ac:dyDescent="0.35">
      <c r="A595" s="11"/>
      <c r="B595" s="368" t="s">
        <v>395</v>
      </c>
      <c r="C595" s="23" t="s">
        <v>247</v>
      </c>
      <c r="D595" s="10" t="s">
        <v>57</v>
      </c>
      <c r="E595" s="10" t="s">
        <v>28</v>
      </c>
      <c r="F595" s="498" t="s">
        <v>42</v>
      </c>
      <c r="G595" s="499" t="s">
        <v>79</v>
      </c>
      <c r="H595" s="499" t="s">
        <v>42</v>
      </c>
      <c r="I595" s="500" t="s">
        <v>35</v>
      </c>
      <c r="J595" s="10"/>
      <c r="K595" s="24">
        <f>K596+K600</f>
        <v>4755</v>
      </c>
      <c r="L595" s="24">
        <f t="shared" ref="L595" si="213">L596+L600</f>
        <v>0</v>
      </c>
      <c r="M595" s="24">
        <f>M596+M600</f>
        <v>4755</v>
      </c>
    </row>
    <row r="596" spans="1:14" s="74" customFormat="1" ht="36" customHeight="1" x14ac:dyDescent="0.35">
      <c r="A596" s="11"/>
      <c r="B596" s="368" t="s">
        <v>353</v>
      </c>
      <c r="C596" s="23" t="s">
        <v>247</v>
      </c>
      <c r="D596" s="10" t="s">
        <v>57</v>
      </c>
      <c r="E596" s="10" t="s">
        <v>28</v>
      </c>
      <c r="F596" s="498" t="s">
        <v>42</v>
      </c>
      <c r="G596" s="499" t="s">
        <v>79</v>
      </c>
      <c r="H596" s="499" t="s">
        <v>42</v>
      </c>
      <c r="I596" s="500" t="s">
        <v>81</v>
      </c>
      <c r="J596" s="10"/>
      <c r="K596" s="24">
        <f>K597+K598+K599</f>
        <v>3753.6000000000004</v>
      </c>
      <c r="L596" s="24">
        <f t="shared" ref="L596" si="214">L597+L598+L599</f>
        <v>0</v>
      </c>
      <c r="M596" s="24">
        <f>M597+M598+M599</f>
        <v>3753.6000000000004</v>
      </c>
    </row>
    <row r="597" spans="1:14" s="74" customFormat="1" ht="108" customHeight="1" x14ac:dyDescent="0.35">
      <c r="A597" s="11"/>
      <c r="B597" s="368" t="s">
        <v>40</v>
      </c>
      <c r="C597" s="23" t="s">
        <v>247</v>
      </c>
      <c r="D597" s="10" t="s">
        <v>57</v>
      </c>
      <c r="E597" s="10" t="s">
        <v>28</v>
      </c>
      <c r="F597" s="498" t="s">
        <v>42</v>
      </c>
      <c r="G597" s="499" t="s">
        <v>79</v>
      </c>
      <c r="H597" s="499" t="s">
        <v>42</v>
      </c>
      <c r="I597" s="500" t="s">
        <v>81</v>
      </c>
      <c r="J597" s="10" t="s">
        <v>41</v>
      </c>
      <c r="K597" s="24">
        <v>2270.4</v>
      </c>
      <c r="L597" s="24">
        <f>M597-K597</f>
        <v>0</v>
      </c>
      <c r="M597" s="24">
        <v>2270.4</v>
      </c>
    </row>
    <row r="598" spans="1:14" s="74" customFormat="1" ht="54" customHeight="1" x14ac:dyDescent="0.35">
      <c r="A598" s="11"/>
      <c r="B598" s="368" t="s">
        <v>45</v>
      </c>
      <c r="C598" s="23" t="s">
        <v>247</v>
      </c>
      <c r="D598" s="10" t="s">
        <v>57</v>
      </c>
      <c r="E598" s="10" t="s">
        <v>28</v>
      </c>
      <c r="F598" s="498" t="s">
        <v>42</v>
      </c>
      <c r="G598" s="499" t="s">
        <v>79</v>
      </c>
      <c r="H598" s="499" t="s">
        <v>42</v>
      </c>
      <c r="I598" s="500" t="s">
        <v>81</v>
      </c>
      <c r="J598" s="10" t="s">
        <v>46</v>
      </c>
      <c r="K598" s="24">
        <v>1463.4</v>
      </c>
      <c r="L598" s="24">
        <f>M598-K598</f>
        <v>0</v>
      </c>
      <c r="M598" s="24">
        <v>1463.4</v>
      </c>
    </row>
    <row r="599" spans="1:14" s="74" customFormat="1" ht="18" customHeight="1" x14ac:dyDescent="0.35">
      <c r="A599" s="11"/>
      <c r="B599" s="368" t="s">
        <v>47</v>
      </c>
      <c r="C599" s="23" t="s">
        <v>247</v>
      </c>
      <c r="D599" s="10" t="s">
        <v>57</v>
      </c>
      <c r="E599" s="10" t="s">
        <v>28</v>
      </c>
      <c r="F599" s="498" t="s">
        <v>42</v>
      </c>
      <c r="G599" s="499" t="s">
        <v>79</v>
      </c>
      <c r="H599" s="499" t="s">
        <v>42</v>
      </c>
      <c r="I599" s="500" t="s">
        <v>81</v>
      </c>
      <c r="J599" s="10" t="s">
        <v>48</v>
      </c>
      <c r="K599" s="24">
        <f>7.9+11.9</f>
        <v>19.8</v>
      </c>
      <c r="L599" s="24">
        <f>M599-K599</f>
        <v>0</v>
      </c>
      <c r="M599" s="24">
        <f>7.9+11.9</f>
        <v>19.8</v>
      </c>
    </row>
    <row r="600" spans="1:14" s="74" customFormat="1" ht="54" customHeight="1" x14ac:dyDescent="0.35">
      <c r="A600" s="11"/>
      <c r="B600" s="368" t="s">
        <v>183</v>
      </c>
      <c r="C600" s="23" t="s">
        <v>247</v>
      </c>
      <c r="D600" s="10" t="s">
        <v>57</v>
      </c>
      <c r="E600" s="10" t="s">
        <v>28</v>
      </c>
      <c r="F600" s="498" t="s">
        <v>42</v>
      </c>
      <c r="G600" s="499" t="s">
        <v>79</v>
      </c>
      <c r="H600" s="499" t="s">
        <v>42</v>
      </c>
      <c r="I600" s="500" t="s">
        <v>249</v>
      </c>
      <c r="J600" s="10"/>
      <c r="K600" s="24">
        <f>K601</f>
        <v>1001.4</v>
      </c>
      <c r="L600" s="24">
        <f t="shared" ref="L600" si="215">L601</f>
        <v>0</v>
      </c>
      <c r="M600" s="24">
        <f>M601</f>
        <v>1001.4</v>
      </c>
    </row>
    <row r="601" spans="1:14" s="74" customFormat="1" ht="54" customHeight="1" x14ac:dyDescent="0.35">
      <c r="A601" s="11"/>
      <c r="B601" s="368" t="s">
        <v>45</v>
      </c>
      <c r="C601" s="23" t="s">
        <v>247</v>
      </c>
      <c r="D601" s="10" t="s">
        <v>57</v>
      </c>
      <c r="E601" s="10" t="s">
        <v>28</v>
      </c>
      <c r="F601" s="498" t="s">
        <v>42</v>
      </c>
      <c r="G601" s="499" t="s">
        <v>79</v>
      </c>
      <c r="H601" s="499" t="s">
        <v>42</v>
      </c>
      <c r="I601" s="500" t="s">
        <v>249</v>
      </c>
      <c r="J601" s="10" t="s">
        <v>46</v>
      </c>
      <c r="K601" s="24">
        <v>1001.4</v>
      </c>
      <c r="L601" s="24">
        <f>M601-K601</f>
        <v>0</v>
      </c>
      <c r="M601" s="24">
        <v>1001.4</v>
      </c>
    </row>
    <row r="602" spans="1:14" s="7" customFormat="1" ht="18" customHeight="1" x14ac:dyDescent="0.35">
      <c r="A602" s="11"/>
      <c r="B602" s="407" t="s">
        <v>250</v>
      </c>
      <c r="C602" s="23" t="s">
        <v>247</v>
      </c>
      <c r="D602" s="10" t="s">
        <v>57</v>
      </c>
      <c r="E602" s="10" t="s">
        <v>30</v>
      </c>
      <c r="F602" s="498"/>
      <c r="G602" s="499"/>
      <c r="H602" s="499"/>
      <c r="I602" s="500"/>
      <c r="J602" s="10"/>
      <c r="K602" s="24">
        <f t="shared" ref="K602:M602" si="216">K603</f>
        <v>30762.1</v>
      </c>
      <c r="L602" s="24">
        <f t="shared" si="216"/>
        <v>0</v>
      </c>
      <c r="M602" s="24">
        <f t="shared" si="216"/>
        <v>30762.1</v>
      </c>
      <c r="N602" s="104"/>
    </row>
    <row r="603" spans="1:14" s="7" customFormat="1" ht="54" customHeight="1" x14ac:dyDescent="0.35">
      <c r="A603" s="11"/>
      <c r="B603" s="368" t="s">
        <v>181</v>
      </c>
      <c r="C603" s="23" t="s">
        <v>247</v>
      </c>
      <c r="D603" s="10" t="s">
        <v>57</v>
      </c>
      <c r="E603" s="10" t="s">
        <v>30</v>
      </c>
      <c r="F603" s="498" t="s">
        <v>42</v>
      </c>
      <c r="G603" s="499" t="s">
        <v>33</v>
      </c>
      <c r="H603" s="499" t="s">
        <v>34</v>
      </c>
      <c r="I603" s="500" t="s">
        <v>35</v>
      </c>
      <c r="J603" s="10"/>
      <c r="K603" s="24">
        <f>K604+K608</f>
        <v>30762.1</v>
      </c>
      <c r="L603" s="24">
        <f t="shared" ref="L603" si="217">L604+L608</f>
        <v>0</v>
      </c>
      <c r="M603" s="24">
        <f>M604+M608</f>
        <v>30762.1</v>
      </c>
    </row>
    <row r="604" spans="1:14" s="7" customFormat="1" ht="36" customHeight="1" x14ac:dyDescent="0.35">
      <c r="A604" s="11"/>
      <c r="B604" s="407" t="s">
        <v>182</v>
      </c>
      <c r="C604" s="23" t="s">
        <v>247</v>
      </c>
      <c r="D604" s="10" t="s">
        <v>57</v>
      </c>
      <c r="E604" s="10" t="s">
        <v>30</v>
      </c>
      <c r="F604" s="498" t="s">
        <v>42</v>
      </c>
      <c r="G604" s="499" t="s">
        <v>36</v>
      </c>
      <c r="H604" s="499" t="s">
        <v>34</v>
      </c>
      <c r="I604" s="500" t="s">
        <v>35</v>
      </c>
      <c r="J604" s="10"/>
      <c r="K604" s="24">
        <f>K605</f>
        <v>910.6</v>
      </c>
      <c r="L604" s="24">
        <f t="shared" ref="L604" si="218">L605</f>
        <v>0</v>
      </c>
      <c r="M604" s="24">
        <f>M605</f>
        <v>910.6</v>
      </c>
      <c r="N604" s="104"/>
    </row>
    <row r="605" spans="1:14" s="7" customFormat="1" ht="54" customHeight="1" x14ac:dyDescent="0.35">
      <c r="A605" s="11"/>
      <c r="B605" s="368" t="s">
        <v>248</v>
      </c>
      <c r="C605" s="23" t="s">
        <v>247</v>
      </c>
      <c r="D605" s="10" t="s">
        <v>57</v>
      </c>
      <c r="E605" s="10" t="s">
        <v>30</v>
      </c>
      <c r="F605" s="498" t="s">
        <v>42</v>
      </c>
      <c r="G605" s="499" t="s">
        <v>36</v>
      </c>
      <c r="H605" s="499" t="s">
        <v>30</v>
      </c>
      <c r="I605" s="500" t="s">
        <v>35</v>
      </c>
      <c r="J605" s="10"/>
      <c r="K605" s="24">
        <f t="shared" ref="K605:M605" si="219">K606</f>
        <v>910.6</v>
      </c>
      <c r="L605" s="24">
        <f t="shared" si="219"/>
        <v>0</v>
      </c>
      <c r="M605" s="24">
        <f t="shared" si="219"/>
        <v>910.6</v>
      </c>
      <c r="N605" s="104"/>
    </row>
    <row r="606" spans="1:14" s="7" customFormat="1" ht="54" customHeight="1" x14ac:dyDescent="0.35">
      <c r="A606" s="11"/>
      <c r="B606" s="368" t="s">
        <v>183</v>
      </c>
      <c r="C606" s="23" t="s">
        <v>247</v>
      </c>
      <c r="D606" s="10" t="s">
        <v>57</v>
      </c>
      <c r="E606" s="10" t="s">
        <v>30</v>
      </c>
      <c r="F606" s="498" t="s">
        <v>42</v>
      </c>
      <c r="G606" s="499" t="s">
        <v>36</v>
      </c>
      <c r="H606" s="499" t="s">
        <v>30</v>
      </c>
      <c r="I606" s="500" t="s">
        <v>249</v>
      </c>
      <c r="J606" s="10"/>
      <c r="K606" s="24">
        <f>SUM(K607:K607)</f>
        <v>910.6</v>
      </c>
      <c r="L606" s="24">
        <f t="shared" ref="L606" si="220">SUM(L607:L607)</f>
        <v>0</v>
      </c>
      <c r="M606" s="24">
        <f>SUM(M607:M607)</f>
        <v>910.6</v>
      </c>
    </row>
    <row r="607" spans="1:14" s="7" customFormat="1" ht="54" customHeight="1" x14ac:dyDescent="0.35">
      <c r="A607" s="11"/>
      <c r="B607" s="368" t="s">
        <v>45</v>
      </c>
      <c r="C607" s="23" t="s">
        <v>247</v>
      </c>
      <c r="D607" s="10" t="s">
        <v>57</v>
      </c>
      <c r="E607" s="10" t="s">
        <v>30</v>
      </c>
      <c r="F607" s="498" t="s">
        <v>42</v>
      </c>
      <c r="G607" s="499" t="s">
        <v>36</v>
      </c>
      <c r="H607" s="499" t="s">
        <v>30</v>
      </c>
      <c r="I607" s="500" t="s">
        <v>249</v>
      </c>
      <c r="J607" s="10" t="s">
        <v>46</v>
      </c>
      <c r="K607" s="24">
        <v>910.6</v>
      </c>
      <c r="L607" s="24">
        <f>M607-K607</f>
        <v>0</v>
      </c>
      <c r="M607" s="24">
        <v>910.6</v>
      </c>
      <c r="N607" s="104"/>
    </row>
    <row r="608" spans="1:14" s="7" customFormat="1" ht="36" x14ac:dyDescent="0.35">
      <c r="A608" s="11"/>
      <c r="B608" s="368" t="s">
        <v>184</v>
      </c>
      <c r="C608" s="23" t="s">
        <v>247</v>
      </c>
      <c r="D608" s="10" t="s">
        <v>57</v>
      </c>
      <c r="E608" s="10" t="s">
        <v>30</v>
      </c>
      <c r="F608" s="498" t="s">
        <v>42</v>
      </c>
      <c r="G608" s="499" t="s">
        <v>79</v>
      </c>
      <c r="H608" s="499" t="s">
        <v>34</v>
      </c>
      <c r="I608" s="500" t="s">
        <v>35</v>
      </c>
      <c r="J608" s="10"/>
      <c r="K608" s="24">
        <f t="shared" ref="K608:M610" si="221">K609</f>
        <v>29851.5</v>
      </c>
      <c r="L608" s="24">
        <f t="shared" si="221"/>
        <v>0</v>
      </c>
      <c r="M608" s="24">
        <f t="shared" si="221"/>
        <v>29851.5</v>
      </c>
      <c r="N608" s="104"/>
    </row>
    <row r="609" spans="1:14" s="7" customFormat="1" ht="42" customHeight="1" x14ac:dyDescent="0.35">
      <c r="A609" s="11"/>
      <c r="B609" s="368" t="s">
        <v>303</v>
      </c>
      <c r="C609" s="23" t="s">
        <v>247</v>
      </c>
      <c r="D609" s="10" t="s">
        <v>57</v>
      </c>
      <c r="E609" s="10" t="s">
        <v>30</v>
      </c>
      <c r="F609" s="498" t="s">
        <v>42</v>
      </c>
      <c r="G609" s="499" t="s">
        <v>79</v>
      </c>
      <c r="H609" s="499" t="s">
        <v>30</v>
      </c>
      <c r="I609" s="500" t="s">
        <v>35</v>
      </c>
      <c r="J609" s="10"/>
      <c r="K609" s="24">
        <f t="shared" si="221"/>
        <v>29851.5</v>
      </c>
      <c r="L609" s="24">
        <f t="shared" si="221"/>
        <v>0</v>
      </c>
      <c r="M609" s="24">
        <f t="shared" si="221"/>
        <v>29851.5</v>
      </c>
      <c r="N609" s="104"/>
    </row>
    <row r="610" spans="1:14" s="7" customFormat="1" ht="90" x14ac:dyDescent="0.35">
      <c r="A610" s="11"/>
      <c r="B610" s="368" t="s">
        <v>431</v>
      </c>
      <c r="C610" s="23" t="s">
        <v>247</v>
      </c>
      <c r="D610" s="10" t="s">
        <v>57</v>
      </c>
      <c r="E610" s="10" t="s">
        <v>30</v>
      </c>
      <c r="F610" s="498" t="s">
        <v>42</v>
      </c>
      <c r="G610" s="499" t="s">
        <v>79</v>
      </c>
      <c r="H610" s="499" t="s">
        <v>30</v>
      </c>
      <c r="I610" s="500" t="s">
        <v>430</v>
      </c>
      <c r="J610" s="10"/>
      <c r="K610" s="24">
        <f t="shared" si="221"/>
        <v>29851.5</v>
      </c>
      <c r="L610" s="24">
        <f t="shared" si="221"/>
        <v>0</v>
      </c>
      <c r="M610" s="24">
        <f t="shared" si="221"/>
        <v>29851.5</v>
      </c>
      <c r="N610" s="104"/>
    </row>
    <row r="611" spans="1:14" s="7" customFormat="1" ht="54" customHeight="1" x14ac:dyDescent="0.35">
      <c r="A611" s="11"/>
      <c r="B611" s="368" t="s">
        <v>45</v>
      </c>
      <c r="C611" s="23" t="s">
        <v>247</v>
      </c>
      <c r="D611" s="10" t="s">
        <v>57</v>
      </c>
      <c r="E611" s="10" t="s">
        <v>30</v>
      </c>
      <c r="F611" s="498" t="s">
        <v>42</v>
      </c>
      <c r="G611" s="499" t="s">
        <v>79</v>
      </c>
      <c r="H611" s="499" t="s">
        <v>30</v>
      </c>
      <c r="I611" s="500" t="s">
        <v>430</v>
      </c>
      <c r="J611" s="10" t="s">
        <v>46</v>
      </c>
      <c r="K611" s="24">
        <f>26866.2+2985.3</f>
        <v>29851.5</v>
      </c>
      <c r="L611" s="24">
        <f>M611-K611</f>
        <v>0</v>
      </c>
      <c r="M611" s="24">
        <f>26866.2+2985.3</f>
        <v>29851.5</v>
      </c>
      <c r="N611" s="104"/>
    </row>
    <row r="612" spans="1:14" s="7" customFormat="1" ht="18" x14ac:dyDescent="0.35">
      <c r="A612" s="11"/>
      <c r="B612" s="368" t="s">
        <v>426</v>
      </c>
      <c r="C612" s="23" t="s">
        <v>247</v>
      </c>
      <c r="D612" s="10" t="s">
        <v>57</v>
      </c>
      <c r="E612" s="10" t="s">
        <v>53</v>
      </c>
      <c r="F612" s="498"/>
      <c r="G612" s="499"/>
      <c r="H612" s="499"/>
      <c r="I612" s="500"/>
      <c r="J612" s="10"/>
      <c r="K612" s="24">
        <f>K613</f>
        <v>49928.2</v>
      </c>
      <c r="L612" s="24">
        <f t="shared" ref="L612" si="222">L613</f>
        <v>0</v>
      </c>
      <c r="M612" s="24">
        <f>M613</f>
        <v>49928.2</v>
      </c>
      <c r="N612" s="104"/>
    </row>
    <row r="613" spans="1:14" s="7" customFormat="1" ht="54" x14ac:dyDescent="0.35">
      <c r="A613" s="11"/>
      <c r="B613" s="368" t="s">
        <v>181</v>
      </c>
      <c r="C613" s="23" t="s">
        <v>247</v>
      </c>
      <c r="D613" s="10" t="s">
        <v>57</v>
      </c>
      <c r="E613" s="10" t="s">
        <v>53</v>
      </c>
      <c r="F613" s="498" t="s">
        <v>42</v>
      </c>
      <c r="G613" s="499" t="s">
        <v>33</v>
      </c>
      <c r="H613" s="499" t="s">
        <v>34</v>
      </c>
      <c r="I613" s="500" t="s">
        <v>35</v>
      </c>
      <c r="J613" s="10"/>
      <c r="K613" s="24">
        <f>K614+K618</f>
        <v>49928.2</v>
      </c>
      <c r="L613" s="24">
        <f t="shared" ref="L613" si="223">L614+L618</f>
        <v>0</v>
      </c>
      <c r="M613" s="24">
        <f>M614+M618</f>
        <v>49928.2</v>
      </c>
      <c r="N613" s="104"/>
    </row>
    <row r="614" spans="1:14" s="7" customFormat="1" ht="36" x14ac:dyDescent="0.35">
      <c r="A614" s="11"/>
      <c r="B614" s="407" t="s">
        <v>182</v>
      </c>
      <c r="C614" s="23" t="s">
        <v>247</v>
      </c>
      <c r="D614" s="10" t="s">
        <v>57</v>
      </c>
      <c r="E614" s="10" t="s">
        <v>53</v>
      </c>
      <c r="F614" s="498" t="s">
        <v>42</v>
      </c>
      <c r="G614" s="499" t="s">
        <v>36</v>
      </c>
      <c r="H614" s="499" t="s">
        <v>34</v>
      </c>
      <c r="I614" s="500" t="s">
        <v>35</v>
      </c>
      <c r="J614" s="10"/>
      <c r="K614" s="24">
        <f>K615</f>
        <v>396</v>
      </c>
      <c r="L614" s="24">
        <f t="shared" ref="L614" si="224">L615</f>
        <v>0</v>
      </c>
      <c r="M614" s="24">
        <f>M615</f>
        <v>396</v>
      </c>
      <c r="N614" s="104"/>
    </row>
    <row r="615" spans="1:14" s="7" customFormat="1" ht="18" x14ac:dyDescent="0.35">
      <c r="A615" s="11"/>
      <c r="B615" s="368" t="s">
        <v>234</v>
      </c>
      <c r="C615" s="23" t="s">
        <v>247</v>
      </c>
      <c r="D615" s="10" t="s">
        <v>57</v>
      </c>
      <c r="E615" s="10" t="s">
        <v>53</v>
      </c>
      <c r="F615" s="498" t="s">
        <v>42</v>
      </c>
      <c r="G615" s="499" t="s">
        <v>36</v>
      </c>
      <c r="H615" s="499" t="s">
        <v>28</v>
      </c>
      <c r="I615" s="500" t="s">
        <v>35</v>
      </c>
      <c r="J615" s="10"/>
      <c r="K615" s="24">
        <f t="shared" ref="K615:M616" si="225">K616</f>
        <v>396</v>
      </c>
      <c r="L615" s="24">
        <f t="shared" si="225"/>
        <v>0</v>
      </c>
      <c r="M615" s="24">
        <f t="shared" si="225"/>
        <v>396</v>
      </c>
      <c r="N615" s="104"/>
    </row>
    <row r="616" spans="1:14" s="7" customFormat="1" ht="36" x14ac:dyDescent="0.35">
      <c r="A616" s="11"/>
      <c r="B616" s="368" t="s">
        <v>235</v>
      </c>
      <c r="C616" s="23" t="s">
        <v>247</v>
      </c>
      <c r="D616" s="10" t="s">
        <v>57</v>
      </c>
      <c r="E616" s="10" t="s">
        <v>53</v>
      </c>
      <c r="F616" s="498" t="s">
        <v>42</v>
      </c>
      <c r="G616" s="499" t="s">
        <v>36</v>
      </c>
      <c r="H616" s="499" t="s">
        <v>28</v>
      </c>
      <c r="I616" s="500" t="s">
        <v>236</v>
      </c>
      <c r="J616" s="10"/>
      <c r="K616" s="24">
        <f t="shared" si="225"/>
        <v>396</v>
      </c>
      <c r="L616" s="24">
        <f t="shared" si="225"/>
        <v>0</v>
      </c>
      <c r="M616" s="24">
        <f t="shared" si="225"/>
        <v>396</v>
      </c>
      <c r="N616" s="104"/>
    </row>
    <row r="617" spans="1:14" s="7" customFormat="1" ht="36" x14ac:dyDescent="0.35">
      <c r="A617" s="11"/>
      <c r="B617" s="368" t="s">
        <v>110</v>
      </c>
      <c r="C617" s="23" t="s">
        <v>247</v>
      </c>
      <c r="D617" s="10" t="s">
        <v>57</v>
      </c>
      <c r="E617" s="10" t="s">
        <v>53</v>
      </c>
      <c r="F617" s="498" t="s">
        <v>42</v>
      </c>
      <c r="G617" s="499" t="s">
        <v>36</v>
      </c>
      <c r="H617" s="499" t="s">
        <v>28</v>
      </c>
      <c r="I617" s="500" t="s">
        <v>236</v>
      </c>
      <c r="J617" s="10" t="s">
        <v>111</v>
      </c>
      <c r="K617" s="24">
        <v>396</v>
      </c>
      <c r="L617" s="24">
        <f>M617-K617</f>
        <v>0</v>
      </c>
      <c r="M617" s="24">
        <v>396</v>
      </c>
      <c r="N617" s="104"/>
    </row>
    <row r="618" spans="1:14" s="7" customFormat="1" ht="36" x14ac:dyDescent="0.35">
      <c r="A618" s="11"/>
      <c r="B618" s="368" t="s">
        <v>184</v>
      </c>
      <c r="C618" s="23" t="s">
        <v>247</v>
      </c>
      <c r="D618" s="10" t="s">
        <v>57</v>
      </c>
      <c r="E618" s="10" t="s">
        <v>53</v>
      </c>
      <c r="F618" s="498" t="s">
        <v>42</v>
      </c>
      <c r="G618" s="499" t="s">
        <v>79</v>
      </c>
      <c r="H618" s="499" t="s">
        <v>34</v>
      </c>
      <c r="I618" s="500" t="s">
        <v>35</v>
      </c>
      <c r="J618" s="10"/>
      <c r="K618" s="24">
        <f>K619</f>
        <v>49532.2</v>
      </c>
      <c r="L618" s="24">
        <f t="shared" ref="L618" si="226">L619</f>
        <v>0</v>
      </c>
      <c r="M618" s="24">
        <f>M619</f>
        <v>49532.2</v>
      </c>
      <c r="N618" s="104"/>
    </row>
    <row r="619" spans="1:14" s="7" customFormat="1" ht="18" x14ac:dyDescent="0.35">
      <c r="A619" s="11"/>
      <c r="B619" s="368" t="s">
        <v>303</v>
      </c>
      <c r="C619" s="23" t="s">
        <v>247</v>
      </c>
      <c r="D619" s="10" t="s">
        <v>57</v>
      </c>
      <c r="E619" s="10" t="s">
        <v>53</v>
      </c>
      <c r="F619" s="498" t="s">
        <v>42</v>
      </c>
      <c r="G619" s="499" t="s">
        <v>79</v>
      </c>
      <c r="H619" s="499" t="s">
        <v>30</v>
      </c>
      <c r="I619" s="500" t="s">
        <v>35</v>
      </c>
      <c r="J619" s="10"/>
      <c r="K619" s="24">
        <f>K620+K628+K624+K626</f>
        <v>49532.2</v>
      </c>
      <c r="L619" s="24">
        <f t="shared" ref="L619" si="227">L620+L628+L624+L626</f>
        <v>0</v>
      </c>
      <c r="M619" s="24">
        <f>M620+M628+M624+M626</f>
        <v>49532.2</v>
      </c>
      <c r="N619" s="104"/>
    </row>
    <row r="620" spans="1:14" s="7" customFormat="1" ht="36" x14ac:dyDescent="0.35">
      <c r="A620" s="11"/>
      <c r="B620" s="400" t="s">
        <v>353</v>
      </c>
      <c r="C620" s="23" t="s">
        <v>247</v>
      </c>
      <c r="D620" s="10" t="s">
        <v>57</v>
      </c>
      <c r="E620" s="10" t="s">
        <v>53</v>
      </c>
      <c r="F620" s="498" t="s">
        <v>42</v>
      </c>
      <c r="G620" s="499" t="s">
        <v>79</v>
      </c>
      <c r="H620" s="499" t="s">
        <v>30</v>
      </c>
      <c r="I620" s="500" t="s">
        <v>81</v>
      </c>
      <c r="J620" s="10"/>
      <c r="K620" s="24">
        <f>K621+K622+K623</f>
        <v>41163.499999999993</v>
      </c>
      <c r="L620" s="24">
        <f t="shared" ref="L620" si="228">L621+L622+L623</f>
        <v>0</v>
      </c>
      <c r="M620" s="24">
        <f>M621+M622+M623</f>
        <v>41163.499999999993</v>
      </c>
      <c r="N620" s="104"/>
    </row>
    <row r="621" spans="1:14" s="7" customFormat="1" ht="108" x14ac:dyDescent="0.35">
      <c r="A621" s="11"/>
      <c r="B621" s="368" t="s">
        <v>40</v>
      </c>
      <c r="C621" s="23" t="s">
        <v>247</v>
      </c>
      <c r="D621" s="10" t="s">
        <v>57</v>
      </c>
      <c r="E621" s="10" t="s">
        <v>53</v>
      </c>
      <c r="F621" s="498" t="s">
        <v>42</v>
      </c>
      <c r="G621" s="499" t="s">
        <v>79</v>
      </c>
      <c r="H621" s="499" t="s">
        <v>30</v>
      </c>
      <c r="I621" s="500" t="s">
        <v>81</v>
      </c>
      <c r="J621" s="10" t="s">
        <v>41</v>
      </c>
      <c r="K621" s="24">
        <v>26739.599999999999</v>
      </c>
      <c r="L621" s="24">
        <f>M621-K621</f>
        <v>0</v>
      </c>
      <c r="M621" s="24">
        <f>26739.6</f>
        <v>26739.599999999999</v>
      </c>
      <c r="N621" s="104"/>
    </row>
    <row r="622" spans="1:14" s="7" customFormat="1" ht="54" x14ac:dyDescent="0.35">
      <c r="A622" s="11"/>
      <c r="B622" s="368" t="s">
        <v>45</v>
      </c>
      <c r="C622" s="23" t="s">
        <v>247</v>
      </c>
      <c r="D622" s="10" t="s">
        <v>57</v>
      </c>
      <c r="E622" s="10" t="s">
        <v>53</v>
      </c>
      <c r="F622" s="498" t="s">
        <v>42</v>
      </c>
      <c r="G622" s="499" t="s">
        <v>79</v>
      </c>
      <c r="H622" s="499" t="s">
        <v>30</v>
      </c>
      <c r="I622" s="500" t="s">
        <v>81</v>
      </c>
      <c r="J622" s="10" t="s">
        <v>46</v>
      </c>
      <c r="K622" s="24">
        <v>12667.8</v>
      </c>
      <c r="L622" s="24">
        <f>M622-K622</f>
        <v>0</v>
      </c>
      <c r="M622" s="24">
        <f>12667.8</f>
        <v>12667.8</v>
      </c>
      <c r="N622" s="104"/>
    </row>
    <row r="623" spans="1:14" s="7" customFormat="1" ht="18" x14ac:dyDescent="0.35">
      <c r="A623" s="11"/>
      <c r="B623" s="368" t="s">
        <v>47</v>
      </c>
      <c r="C623" s="23" t="s">
        <v>247</v>
      </c>
      <c r="D623" s="10" t="s">
        <v>57</v>
      </c>
      <c r="E623" s="10" t="s">
        <v>53</v>
      </c>
      <c r="F623" s="498" t="s">
        <v>42</v>
      </c>
      <c r="G623" s="499" t="s">
        <v>79</v>
      </c>
      <c r="H623" s="499" t="s">
        <v>30</v>
      </c>
      <c r="I623" s="500" t="s">
        <v>81</v>
      </c>
      <c r="J623" s="10" t="s">
        <v>48</v>
      </c>
      <c r="K623" s="24">
        <v>1756.1</v>
      </c>
      <c r="L623" s="24">
        <f>M623-K623</f>
        <v>0</v>
      </c>
      <c r="M623" s="24">
        <v>1756.1</v>
      </c>
      <c r="N623" s="104"/>
    </row>
    <row r="624" spans="1:14" s="7" customFormat="1" ht="54" x14ac:dyDescent="0.35">
      <c r="A624" s="11"/>
      <c r="B624" s="368" t="s">
        <v>183</v>
      </c>
      <c r="C624" s="23" t="s">
        <v>247</v>
      </c>
      <c r="D624" s="10" t="s">
        <v>57</v>
      </c>
      <c r="E624" s="10" t="s">
        <v>53</v>
      </c>
      <c r="F624" s="498" t="s">
        <v>42</v>
      </c>
      <c r="G624" s="499" t="s">
        <v>79</v>
      </c>
      <c r="H624" s="499" t="s">
        <v>30</v>
      </c>
      <c r="I624" s="500" t="s">
        <v>249</v>
      </c>
      <c r="J624" s="10"/>
      <c r="K624" s="24">
        <f>K625</f>
        <v>6160.1</v>
      </c>
      <c r="L624" s="24">
        <f t="shared" ref="L624" si="229">L625</f>
        <v>0</v>
      </c>
      <c r="M624" s="24">
        <f>M625</f>
        <v>6160.1</v>
      </c>
      <c r="N624" s="104"/>
    </row>
    <row r="625" spans="1:14" s="7" customFormat="1" ht="54" x14ac:dyDescent="0.35">
      <c r="A625" s="11"/>
      <c r="B625" s="368" t="s">
        <v>45</v>
      </c>
      <c r="C625" s="23" t="s">
        <v>247</v>
      </c>
      <c r="D625" s="10" t="s">
        <v>57</v>
      </c>
      <c r="E625" s="10" t="s">
        <v>53</v>
      </c>
      <c r="F625" s="498" t="s">
        <v>42</v>
      </c>
      <c r="G625" s="499" t="s">
        <v>79</v>
      </c>
      <c r="H625" s="499" t="s">
        <v>30</v>
      </c>
      <c r="I625" s="500" t="s">
        <v>249</v>
      </c>
      <c r="J625" s="10" t="s">
        <v>46</v>
      </c>
      <c r="K625" s="24">
        <v>6160.1</v>
      </c>
      <c r="L625" s="24">
        <f>M625-K625</f>
        <v>0</v>
      </c>
      <c r="M625" s="24">
        <v>6160.1</v>
      </c>
      <c r="N625" s="104"/>
    </row>
    <row r="626" spans="1:14" s="7" customFormat="1" ht="180" x14ac:dyDescent="0.35">
      <c r="A626" s="11"/>
      <c r="B626" s="368" t="s">
        <v>336</v>
      </c>
      <c r="C626" s="23" t="s">
        <v>247</v>
      </c>
      <c r="D626" s="10" t="s">
        <v>57</v>
      </c>
      <c r="E626" s="10" t="s">
        <v>53</v>
      </c>
      <c r="F626" s="498" t="s">
        <v>42</v>
      </c>
      <c r="G626" s="499" t="s">
        <v>79</v>
      </c>
      <c r="H626" s="499" t="s">
        <v>30</v>
      </c>
      <c r="I626" s="500" t="s">
        <v>324</v>
      </c>
      <c r="J626" s="10"/>
      <c r="K626" s="24">
        <f>K627</f>
        <v>93.8</v>
      </c>
      <c r="L626" s="24">
        <f t="shared" ref="L626" si="230">L627</f>
        <v>0</v>
      </c>
      <c r="M626" s="24">
        <f>M627</f>
        <v>93.8</v>
      </c>
      <c r="N626" s="104"/>
    </row>
    <row r="627" spans="1:14" s="7" customFormat="1" ht="108" x14ac:dyDescent="0.35">
      <c r="A627" s="11"/>
      <c r="B627" s="368" t="s">
        <v>40</v>
      </c>
      <c r="C627" s="23" t="s">
        <v>247</v>
      </c>
      <c r="D627" s="10" t="s">
        <v>57</v>
      </c>
      <c r="E627" s="10" t="s">
        <v>53</v>
      </c>
      <c r="F627" s="498" t="s">
        <v>42</v>
      </c>
      <c r="G627" s="499" t="s">
        <v>79</v>
      </c>
      <c r="H627" s="499" t="s">
        <v>30</v>
      </c>
      <c r="I627" s="500" t="s">
        <v>324</v>
      </c>
      <c r="J627" s="10" t="s">
        <v>41</v>
      </c>
      <c r="K627" s="24">
        <v>93.8</v>
      </c>
      <c r="L627" s="24">
        <f>M627-K627</f>
        <v>0</v>
      </c>
      <c r="M627" s="24">
        <v>93.8</v>
      </c>
      <c r="N627" s="104"/>
    </row>
    <row r="628" spans="1:14" s="7" customFormat="1" ht="54" x14ac:dyDescent="0.35">
      <c r="A628" s="11"/>
      <c r="B628" s="368" t="s">
        <v>337</v>
      </c>
      <c r="C628" s="23" t="s">
        <v>247</v>
      </c>
      <c r="D628" s="10" t="s">
        <v>57</v>
      </c>
      <c r="E628" s="10" t="s">
        <v>53</v>
      </c>
      <c r="F628" s="498" t="s">
        <v>42</v>
      </c>
      <c r="G628" s="499" t="s">
        <v>79</v>
      </c>
      <c r="H628" s="499" t="s">
        <v>30</v>
      </c>
      <c r="I628" s="500" t="s">
        <v>327</v>
      </c>
      <c r="J628" s="10"/>
      <c r="K628" s="24">
        <f>K629</f>
        <v>2114.8000000000002</v>
      </c>
      <c r="L628" s="24">
        <f t="shared" ref="L628" si="231">L629</f>
        <v>0</v>
      </c>
      <c r="M628" s="24">
        <f>M629</f>
        <v>2114.8000000000002</v>
      </c>
      <c r="N628" s="104"/>
    </row>
    <row r="629" spans="1:14" s="7" customFormat="1" ht="108" x14ac:dyDescent="0.35">
      <c r="A629" s="11"/>
      <c r="B629" s="368" t="s">
        <v>40</v>
      </c>
      <c r="C629" s="23" t="s">
        <v>247</v>
      </c>
      <c r="D629" s="10" t="s">
        <v>57</v>
      </c>
      <c r="E629" s="10" t="s">
        <v>53</v>
      </c>
      <c r="F629" s="498" t="s">
        <v>42</v>
      </c>
      <c r="G629" s="499" t="s">
        <v>79</v>
      </c>
      <c r="H629" s="499" t="s">
        <v>30</v>
      </c>
      <c r="I629" s="500" t="s">
        <v>327</v>
      </c>
      <c r="J629" s="10" t="s">
        <v>41</v>
      </c>
      <c r="K629" s="24">
        <v>2114.8000000000002</v>
      </c>
      <c r="L629" s="24">
        <f>M629-K629</f>
        <v>0</v>
      </c>
      <c r="M629" s="24">
        <v>2114.8000000000002</v>
      </c>
      <c r="N629" s="104"/>
    </row>
    <row r="630" spans="1:14" s="7" customFormat="1" ht="36" customHeight="1" x14ac:dyDescent="0.35">
      <c r="A630" s="11"/>
      <c r="B630" s="407" t="s">
        <v>164</v>
      </c>
      <c r="C630" s="23" t="s">
        <v>247</v>
      </c>
      <c r="D630" s="10" t="s">
        <v>57</v>
      </c>
      <c r="E630" s="10" t="s">
        <v>55</v>
      </c>
      <c r="F630" s="498"/>
      <c r="G630" s="499"/>
      <c r="H630" s="499"/>
      <c r="I630" s="500"/>
      <c r="J630" s="10"/>
      <c r="K630" s="24">
        <f t="shared" ref="K630:M633" si="232">K631</f>
        <v>3088.7000000000003</v>
      </c>
      <c r="L630" s="24">
        <f t="shared" si="232"/>
        <v>0</v>
      </c>
      <c r="M630" s="24">
        <f t="shared" si="232"/>
        <v>3088.7000000000003</v>
      </c>
      <c r="N630" s="104"/>
    </row>
    <row r="631" spans="1:14" s="7" customFormat="1" ht="54" customHeight="1" x14ac:dyDescent="0.35">
      <c r="A631" s="11"/>
      <c r="B631" s="368" t="s">
        <v>181</v>
      </c>
      <c r="C631" s="23" t="s">
        <v>247</v>
      </c>
      <c r="D631" s="10" t="s">
        <v>57</v>
      </c>
      <c r="E631" s="10" t="s">
        <v>55</v>
      </c>
      <c r="F631" s="498" t="s">
        <v>42</v>
      </c>
      <c r="G631" s="499" t="s">
        <v>33</v>
      </c>
      <c r="H631" s="499" t="s">
        <v>34</v>
      </c>
      <c r="I631" s="500" t="s">
        <v>35</v>
      </c>
      <c r="J631" s="10"/>
      <c r="K631" s="24">
        <f t="shared" si="232"/>
        <v>3088.7000000000003</v>
      </c>
      <c r="L631" s="24">
        <f t="shared" si="232"/>
        <v>0</v>
      </c>
      <c r="M631" s="24">
        <f t="shared" si="232"/>
        <v>3088.7000000000003</v>
      </c>
      <c r="N631" s="104"/>
    </row>
    <row r="632" spans="1:14" s="7" customFormat="1" ht="36" customHeight="1" x14ac:dyDescent="0.35">
      <c r="A632" s="11"/>
      <c r="B632" s="375" t="s">
        <v>184</v>
      </c>
      <c r="C632" s="23" t="s">
        <v>247</v>
      </c>
      <c r="D632" s="10" t="s">
        <v>57</v>
      </c>
      <c r="E632" s="10" t="s">
        <v>55</v>
      </c>
      <c r="F632" s="498" t="s">
        <v>42</v>
      </c>
      <c r="G632" s="499" t="s">
        <v>79</v>
      </c>
      <c r="H632" s="499" t="s">
        <v>34</v>
      </c>
      <c r="I632" s="500" t="s">
        <v>35</v>
      </c>
      <c r="J632" s="10"/>
      <c r="K632" s="24">
        <f t="shared" si="232"/>
        <v>3088.7000000000003</v>
      </c>
      <c r="L632" s="24">
        <f t="shared" si="232"/>
        <v>0</v>
      </c>
      <c r="M632" s="24">
        <f t="shared" si="232"/>
        <v>3088.7000000000003</v>
      </c>
      <c r="N632" s="104"/>
    </row>
    <row r="633" spans="1:14" s="7" customFormat="1" ht="36" customHeight="1" x14ac:dyDescent="0.35">
      <c r="A633" s="11"/>
      <c r="B633" s="368" t="s">
        <v>239</v>
      </c>
      <c r="C633" s="23" t="s">
        <v>247</v>
      </c>
      <c r="D633" s="10" t="s">
        <v>57</v>
      </c>
      <c r="E633" s="10" t="s">
        <v>55</v>
      </c>
      <c r="F633" s="498" t="s">
        <v>42</v>
      </c>
      <c r="G633" s="499" t="s">
        <v>79</v>
      </c>
      <c r="H633" s="499" t="s">
        <v>28</v>
      </c>
      <c r="I633" s="500" t="s">
        <v>35</v>
      </c>
      <c r="J633" s="10"/>
      <c r="K633" s="24">
        <f t="shared" si="232"/>
        <v>3088.7000000000003</v>
      </c>
      <c r="L633" s="24">
        <f t="shared" si="232"/>
        <v>0</v>
      </c>
      <c r="M633" s="24">
        <f t="shared" si="232"/>
        <v>3088.7000000000003</v>
      </c>
      <c r="N633" s="104"/>
    </row>
    <row r="634" spans="1:14" s="7" customFormat="1" ht="36" customHeight="1" x14ac:dyDescent="0.35">
      <c r="A634" s="11"/>
      <c r="B634" s="368" t="s">
        <v>38</v>
      </c>
      <c r="C634" s="23" t="s">
        <v>247</v>
      </c>
      <c r="D634" s="10" t="s">
        <v>57</v>
      </c>
      <c r="E634" s="10" t="s">
        <v>55</v>
      </c>
      <c r="F634" s="498" t="s">
        <v>42</v>
      </c>
      <c r="G634" s="499" t="s">
        <v>79</v>
      </c>
      <c r="H634" s="499" t="s">
        <v>28</v>
      </c>
      <c r="I634" s="500" t="s">
        <v>39</v>
      </c>
      <c r="J634" s="10"/>
      <c r="K634" s="24">
        <f>K635+K636+K637</f>
        <v>3088.7000000000003</v>
      </c>
      <c r="L634" s="24">
        <f t="shared" ref="L634" si="233">L635+L636+L637</f>
        <v>0</v>
      </c>
      <c r="M634" s="24">
        <f>M635+M636+M637</f>
        <v>3088.7000000000003</v>
      </c>
      <c r="N634" s="104"/>
    </row>
    <row r="635" spans="1:14" s="7" customFormat="1" ht="108" customHeight="1" x14ac:dyDescent="0.35">
      <c r="A635" s="11"/>
      <c r="B635" s="368" t="s">
        <v>40</v>
      </c>
      <c r="C635" s="23" t="s">
        <v>247</v>
      </c>
      <c r="D635" s="10" t="s">
        <v>57</v>
      </c>
      <c r="E635" s="10" t="s">
        <v>55</v>
      </c>
      <c r="F635" s="498" t="s">
        <v>42</v>
      </c>
      <c r="G635" s="499" t="s">
        <v>79</v>
      </c>
      <c r="H635" s="499" t="s">
        <v>28</v>
      </c>
      <c r="I635" s="500" t="s">
        <v>39</v>
      </c>
      <c r="J635" s="10" t="s">
        <v>41</v>
      </c>
      <c r="K635" s="24">
        <v>3027.5</v>
      </c>
      <c r="L635" s="24">
        <f>M635-K635</f>
        <v>0</v>
      </c>
      <c r="M635" s="24">
        <v>3027.5</v>
      </c>
      <c r="N635" s="104"/>
    </row>
    <row r="636" spans="1:14" s="7" customFormat="1" ht="54" customHeight="1" x14ac:dyDescent="0.35">
      <c r="A636" s="11"/>
      <c r="B636" s="368" t="s">
        <v>45</v>
      </c>
      <c r="C636" s="23" t="s">
        <v>247</v>
      </c>
      <c r="D636" s="10" t="s">
        <v>57</v>
      </c>
      <c r="E636" s="10" t="s">
        <v>55</v>
      </c>
      <c r="F636" s="498" t="s">
        <v>42</v>
      </c>
      <c r="G636" s="499" t="s">
        <v>79</v>
      </c>
      <c r="H636" s="499" t="s">
        <v>28</v>
      </c>
      <c r="I636" s="500" t="s">
        <v>39</v>
      </c>
      <c r="J636" s="10" t="s">
        <v>46</v>
      </c>
      <c r="K636" s="24">
        <v>59.4</v>
      </c>
      <c r="L636" s="24">
        <f>M636-K636</f>
        <v>0</v>
      </c>
      <c r="M636" s="24">
        <v>59.4</v>
      </c>
      <c r="N636" s="104"/>
    </row>
    <row r="637" spans="1:14" s="7" customFormat="1" ht="18" customHeight="1" x14ac:dyDescent="0.35">
      <c r="A637" s="11"/>
      <c r="B637" s="368" t="s">
        <v>47</v>
      </c>
      <c r="C637" s="23" t="s">
        <v>247</v>
      </c>
      <c r="D637" s="10" t="s">
        <v>57</v>
      </c>
      <c r="E637" s="10" t="s">
        <v>55</v>
      </c>
      <c r="F637" s="498" t="s">
        <v>42</v>
      </c>
      <c r="G637" s="499" t="s">
        <v>79</v>
      </c>
      <c r="H637" s="499" t="s">
        <v>28</v>
      </c>
      <c r="I637" s="500" t="s">
        <v>39</v>
      </c>
      <c r="J637" s="10" t="s">
        <v>48</v>
      </c>
      <c r="K637" s="24">
        <v>1.8</v>
      </c>
      <c r="L637" s="24">
        <f>M637-K637</f>
        <v>0</v>
      </c>
      <c r="M637" s="24">
        <v>1.8</v>
      </c>
      <c r="N637" s="104"/>
    </row>
    <row r="638" spans="1:14" s="7" customFormat="1" ht="18" customHeight="1" x14ac:dyDescent="0.35">
      <c r="A638" s="11"/>
      <c r="B638" s="368"/>
      <c r="C638" s="23"/>
      <c r="D638" s="10"/>
      <c r="E638" s="10"/>
      <c r="F638" s="498"/>
      <c r="G638" s="499"/>
      <c r="H638" s="499"/>
      <c r="I638" s="500"/>
      <c r="J638" s="10"/>
      <c r="K638" s="24"/>
      <c r="L638" s="24"/>
      <c r="M638" s="24"/>
      <c r="N638" s="104"/>
    </row>
    <row r="639" spans="1:14" s="74" customFormat="1" ht="52.2" customHeight="1" x14ac:dyDescent="0.3">
      <c r="A639" s="73">
        <v>8</v>
      </c>
      <c r="B639" s="404" t="s">
        <v>9</v>
      </c>
      <c r="C639" s="18" t="s">
        <v>243</v>
      </c>
      <c r="D639" s="19"/>
      <c r="E639" s="19"/>
      <c r="F639" s="20"/>
      <c r="G639" s="21"/>
      <c r="H639" s="21"/>
      <c r="I639" s="22"/>
      <c r="J639" s="19"/>
      <c r="K639" s="32">
        <f>K656+K640</f>
        <v>9198.2999999999993</v>
      </c>
      <c r="L639" s="32">
        <f t="shared" ref="L639" si="234">L656+L640</f>
        <v>0</v>
      </c>
      <c r="M639" s="32">
        <f>M656+M640</f>
        <v>9198.2999999999993</v>
      </c>
    </row>
    <row r="640" spans="1:14" s="74" customFormat="1" ht="18" customHeight="1" x14ac:dyDescent="0.35">
      <c r="A640" s="73"/>
      <c r="B640" s="368" t="s">
        <v>27</v>
      </c>
      <c r="C640" s="23" t="s">
        <v>243</v>
      </c>
      <c r="D640" s="10" t="s">
        <v>28</v>
      </c>
      <c r="E640" s="10"/>
      <c r="F640" s="498"/>
      <c r="G640" s="499"/>
      <c r="H640" s="499"/>
      <c r="I640" s="500"/>
      <c r="J640" s="10"/>
      <c r="K640" s="146">
        <f t="shared" ref="K640:M642" si="235">K641</f>
        <v>155.79999999999998</v>
      </c>
      <c r="L640" s="146">
        <f t="shared" si="235"/>
        <v>0</v>
      </c>
      <c r="M640" s="146">
        <f t="shared" si="235"/>
        <v>155.79999999999998</v>
      </c>
    </row>
    <row r="641" spans="1:13" s="74" customFormat="1" ht="18" customHeight="1" x14ac:dyDescent="0.35">
      <c r="A641" s="73"/>
      <c r="B641" s="368" t="s">
        <v>60</v>
      </c>
      <c r="C641" s="23" t="s">
        <v>243</v>
      </c>
      <c r="D641" s="10" t="s">
        <v>28</v>
      </c>
      <c r="E641" s="10" t="s">
        <v>61</v>
      </c>
      <c r="F641" s="498"/>
      <c r="G641" s="499"/>
      <c r="H641" s="499"/>
      <c r="I641" s="500"/>
      <c r="J641" s="10"/>
      <c r="K641" s="146">
        <f>K642</f>
        <v>155.79999999999998</v>
      </c>
      <c r="L641" s="146">
        <f t="shared" si="235"/>
        <v>0</v>
      </c>
      <c r="M641" s="146">
        <f>M642</f>
        <v>155.79999999999998</v>
      </c>
    </row>
    <row r="642" spans="1:13" s="74" customFormat="1" ht="54" customHeight="1" x14ac:dyDescent="0.35">
      <c r="A642" s="73"/>
      <c r="B642" s="368" t="s">
        <v>185</v>
      </c>
      <c r="C642" s="23" t="s">
        <v>243</v>
      </c>
      <c r="D642" s="10" t="s">
        <v>28</v>
      </c>
      <c r="E642" s="10" t="s">
        <v>61</v>
      </c>
      <c r="F642" s="498" t="s">
        <v>55</v>
      </c>
      <c r="G642" s="499" t="s">
        <v>33</v>
      </c>
      <c r="H642" s="499" t="s">
        <v>34</v>
      </c>
      <c r="I642" s="500" t="s">
        <v>35</v>
      </c>
      <c r="J642" s="10"/>
      <c r="K642" s="146">
        <f t="shared" si="235"/>
        <v>155.79999999999998</v>
      </c>
      <c r="L642" s="146">
        <f t="shared" si="235"/>
        <v>0</v>
      </c>
      <c r="M642" s="146">
        <f t="shared" si="235"/>
        <v>155.79999999999998</v>
      </c>
    </row>
    <row r="643" spans="1:13" s="74" customFormat="1" ht="36" customHeight="1" x14ac:dyDescent="0.35">
      <c r="A643" s="73"/>
      <c r="B643" s="368" t="s">
        <v>184</v>
      </c>
      <c r="C643" s="23" t="s">
        <v>243</v>
      </c>
      <c r="D643" s="10" t="s">
        <v>28</v>
      </c>
      <c r="E643" s="10" t="s">
        <v>61</v>
      </c>
      <c r="F643" s="498" t="s">
        <v>55</v>
      </c>
      <c r="G643" s="499" t="s">
        <v>79</v>
      </c>
      <c r="H643" s="499" t="s">
        <v>34</v>
      </c>
      <c r="I643" s="500" t="s">
        <v>35</v>
      </c>
      <c r="J643" s="10"/>
      <c r="K643" s="146">
        <f>K647+K650+K653+K644</f>
        <v>155.79999999999998</v>
      </c>
      <c r="L643" s="146">
        <f t="shared" ref="L643" si="236">L647+L650+L653+L644</f>
        <v>0</v>
      </c>
      <c r="M643" s="146">
        <f>M647+M650+M653+M644</f>
        <v>155.79999999999998</v>
      </c>
    </row>
    <row r="644" spans="1:13" s="74" customFormat="1" ht="36" x14ac:dyDescent="0.35">
      <c r="A644" s="73"/>
      <c r="B644" s="368" t="s">
        <v>239</v>
      </c>
      <c r="C644" s="23" t="s">
        <v>243</v>
      </c>
      <c r="D644" s="10" t="s">
        <v>28</v>
      </c>
      <c r="E644" s="10" t="s">
        <v>61</v>
      </c>
      <c r="F644" s="498" t="s">
        <v>55</v>
      </c>
      <c r="G644" s="499" t="s">
        <v>79</v>
      </c>
      <c r="H644" s="499" t="s">
        <v>28</v>
      </c>
      <c r="I644" s="500" t="s">
        <v>35</v>
      </c>
      <c r="J644" s="28"/>
      <c r="K644" s="146">
        <f>K645</f>
        <v>6.6</v>
      </c>
      <c r="L644" s="146">
        <f t="shared" ref="L644:L645" si="237">L645</f>
        <v>0</v>
      </c>
      <c r="M644" s="146">
        <f>M645</f>
        <v>6.6</v>
      </c>
    </row>
    <row r="645" spans="1:13" s="74" customFormat="1" ht="54" customHeight="1" x14ac:dyDescent="0.35">
      <c r="A645" s="73"/>
      <c r="B645" s="429" t="s">
        <v>317</v>
      </c>
      <c r="C645" s="23" t="s">
        <v>243</v>
      </c>
      <c r="D645" s="10" t="s">
        <v>28</v>
      </c>
      <c r="E645" s="10" t="s">
        <v>61</v>
      </c>
      <c r="F645" s="498" t="s">
        <v>55</v>
      </c>
      <c r="G645" s="499" t="s">
        <v>79</v>
      </c>
      <c r="H645" s="499" t="s">
        <v>28</v>
      </c>
      <c r="I645" s="500" t="s">
        <v>316</v>
      </c>
      <c r="J645" s="28"/>
      <c r="K645" s="146">
        <f>K646</f>
        <v>6.6</v>
      </c>
      <c r="L645" s="146">
        <f t="shared" si="237"/>
        <v>0</v>
      </c>
      <c r="M645" s="146">
        <f>M646</f>
        <v>6.6</v>
      </c>
    </row>
    <row r="646" spans="1:13" s="74" customFormat="1" ht="54" customHeight="1" x14ac:dyDescent="0.35">
      <c r="A646" s="73"/>
      <c r="B646" s="429" t="s">
        <v>45</v>
      </c>
      <c r="C646" s="23" t="s">
        <v>243</v>
      </c>
      <c r="D646" s="10" t="s">
        <v>28</v>
      </c>
      <c r="E646" s="10" t="s">
        <v>61</v>
      </c>
      <c r="F646" s="498" t="s">
        <v>55</v>
      </c>
      <c r="G646" s="499" t="s">
        <v>79</v>
      </c>
      <c r="H646" s="499" t="s">
        <v>28</v>
      </c>
      <c r="I646" s="500" t="s">
        <v>316</v>
      </c>
      <c r="J646" s="28" t="s">
        <v>46</v>
      </c>
      <c r="K646" s="146">
        <v>6.6</v>
      </c>
      <c r="L646" s="24">
        <f>M646-K646</f>
        <v>0</v>
      </c>
      <c r="M646" s="146">
        <v>6.6</v>
      </c>
    </row>
    <row r="647" spans="1:13" s="74" customFormat="1" ht="36" customHeight="1" x14ac:dyDescent="0.35">
      <c r="A647" s="73"/>
      <c r="B647" s="429" t="s">
        <v>293</v>
      </c>
      <c r="C647" s="23" t="s">
        <v>243</v>
      </c>
      <c r="D647" s="10" t="s">
        <v>28</v>
      </c>
      <c r="E647" s="10" t="s">
        <v>61</v>
      </c>
      <c r="F647" s="498" t="s">
        <v>55</v>
      </c>
      <c r="G647" s="499" t="s">
        <v>79</v>
      </c>
      <c r="H647" s="499" t="s">
        <v>30</v>
      </c>
      <c r="I647" s="500" t="s">
        <v>35</v>
      </c>
      <c r="J647" s="10"/>
      <c r="K647" s="146">
        <f t="shared" ref="K647:M648" si="238">K648</f>
        <v>87.3</v>
      </c>
      <c r="L647" s="146">
        <f t="shared" si="238"/>
        <v>0</v>
      </c>
      <c r="M647" s="146">
        <f t="shared" si="238"/>
        <v>87.3</v>
      </c>
    </row>
    <row r="648" spans="1:13" s="74" customFormat="1" ht="54" customHeight="1" x14ac:dyDescent="0.35">
      <c r="A648" s="73"/>
      <c r="B648" s="429" t="s">
        <v>294</v>
      </c>
      <c r="C648" s="23" t="s">
        <v>243</v>
      </c>
      <c r="D648" s="10" t="s">
        <v>28</v>
      </c>
      <c r="E648" s="10" t="s">
        <v>61</v>
      </c>
      <c r="F648" s="498" t="s">
        <v>55</v>
      </c>
      <c r="G648" s="499" t="s">
        <v>79</v>
      </c>
      <c r="H648" s="499" t="s">
        <v>30</v>
      </c>
      <c r="I648" s="500" t="s">
        <v>95</v>
      </c>
      <c r="J648" s="10"/>
      <c r="K648" s="146">
        <f t="shared" si="238"/>
        <v>87.3</v>
      </c>
      <c r="L648" s="146">
        <f t="shared" si="238"/>
        <v>0</v>
      </c>
      <c r="M648" s="146">
        <f t="shared" si="238"/>
        <v>87.3</v>
      </c>
    </row>
    <row r="649" spans="1:13" s="74" customFormat="1" ht="54" customHeight="1" x14ac:dyDescent="0.35">
      <c r="A649" s="73"/>
      <c r="B649" s="429" t="s">
        <v>45</v>
      </c>
      <c r="C649" s="23" t="s">
        <v>243</v>
      </c>
      <c r="D649" s="10" t="s">
        <v>28</v>
      </c>
      <c r="E649" s="10" t="s">
        <v>61</v>
      </c>
      <c r="F649" s="498" t="s">
        <v>55</v>
      </c>
      <c r="G649" s="499" t="s">
        <v>79</v>
      </c>
      <c r="H649" s="499" t="s">
        <v>30</v>
      </c>
      <c r="I649" s="500" t="s">
        <v>95</v>
      </c>
      <c r="J649" s="10" t="s">
        <v>46</v>
      </c>
      <c r="K649" s="146">
        <v>87.3</v>
      </c>
      <c r="L649" s="24">
        <f>M649-K649</f>
        <v>0</v>
      </c>
      <c r="M649" s="146">
        <v>87.3</v>
      </c>
    </row>
    <row r="650" spans="1:13" s="74" customFormat="1" ht="36" customHeight="1" x14ac:dyDescent="0.35">
      <c r="A650" s="73"/>
      <c r="B650" s="368" t="s">
        <v>357</v>
      </c>
      <c r="C650" s="23" t="s">
        <v>243</v>
      </c>
      <c r="D650" s="10" t="s">
        <v>28</v>
      </c>
      <c r="E650" s="10" t="s">
        <v>61</v>
      </c>
      <c r="F650" s="498" t="s">
        <v>55</v>
      </c>
      <c r="G650" s="499" t="s">
        <v>79</v>
      </c>
      <c r="H650" s="499" t="s">
        <v>53</v>
      </c>
      <c r="I650" s="500" t="s">
        <v>35</v>
      </c>
      <c r="J650" s="10"/>
      <c r="K650" s="146">
        <f t="shared" ref="K650:M651" si="239">K651</f>
        <v>15.4</v>
      </c>
      <c r="L650" s="146">
        <f t="shared" si="239"/>
        <v>0</v>
      </c>
      <c r="M650" s="146">
        <f t="shared" si="239"/>
        <v>15.4</v>
      </c>
    </row>
    <row r="651" spans="1:13" s="74" customFormat="1" ht="18" customHeight="1" x14ac:dyDescent="0.35">
      <c r="A651" s="73"/>
      <c r="B651" s="368" t="s">
        <v>355</v>
      </c>
      <c r="C651" s="23" t="s">
        <v>243</v>
      </c>
      <c r="D651" s="10" t="s">
        <v>28</v>
      </c>
      <c r="E651" s="10" t="s">
        <v>61</v>
      </c>
      <c r="F651" s="498" t="s">
        <v>55</v>
      </c>
      <c r="G651" s="499" t="s">
        <v>79</v>
      </c>
      <c r="H651" s="499" t="s">
        <v>53</v>
      </c>
      <c r="I651" s="500" t="s">
        <v>356</v>
      </c>
      <c r="J651" s="10"/>
      <c r="K651" s="146">
        <f t="shared" si="239"/>
        <v>15.4</v>
      </c>
      <c r="L651" s="146">
        <f t="shared" si="239"/>
        <v>0</v>
      </c>
      <c r="M651" s="146">
        <f t="shared" si="239"/>
        <v>15.4</v>
      </c>
    </row>
    <row r="652" spans="1:13" s="74" customFormat="1" ht="54" customHeight="1" x14ac:dyDescent="0.35">
      <c r="A652" s="73"/>
      <c r="B652" s="429" t="s">
        <v>45</v>
      </c>
      <c r="C652" s="23" t="s">
        <v>243</v>
      </c>
      <c r="D652" s="10" t="s">
        <v>28</v>
      </c>
      <c r="E652" s="10" t="s">
        <v>61</v>
      </c>
      <c r="F652" s="498" t="s">
        <v>55</v>
      </c>
      <c r="G652" s="499" t="s">
        <v>79</v>
      </c>
      <c r="H652" s="499" t="s">
        <v>53</v>
      </c>
      <c r="I652" s="500" t="s">
        <v>356</v>
      </c>
      <c r="J652" s="28" t="s">
        <v>46</v>
      </c>
      <c r="K652" s="146">
        <v>15.4</v>
      </c>
      <c r="L652" s="24">
        <f>M652-K652</f>
        <v>0</v>
      </c>
      <c r="M652" s="146">
        <v>15.4</v>
      </c>
    </row>
    <row r="653" spans="1:13" s="74" customFormat="1" ht="36" customHeight="1" x14ac:dyDescent="0.35">
      <c r="A653" s="73"/>
      <c r="B653" s="429" t="s">
        <v>360</v>
      </c>
      <c r="C653" s="23" t="s">
        <v>243</v>
      </c>
      <c r="D653" s="10" t="s">
        <v>28</v>
      </c>
      <c r="E653" s="10" t="s">
        <v>61</v>
      </c>
      <c r="F653" s="498" t="s">
        <v>55</v>
      </c>
      <c r="G653" s="499" t="s">
        <v>79</v>
      </c>
      <c r="H653" s="499" t="s">
        <v>42</v>
      </c>
      <c r="I653" s="500" t="s">
        <v>35</v>
      </c>
      <c r="J653" s="19"/>
      <c r="K653" s="146">
        <f t="shared" ref="K653:M654" si="240">K654</f>
        <v>46.5</v>
      </c>
      <c r="L653" s="146">
        <f t="shared" si="240"/>
        <v>0</v>
      </c>
      <c r="M653" s="146">
        <f t="shared" si="240"/>
        <v>46.5</v>
      </c>
    </row>
    <row r="654" spans="1:13" s="74" customFormat="1" ht="36" customHeight="1" x14ac:dyDescent="0.35">
      <c r="A654" s="73"/>
      <c r="B654" s="430" t="s">
        <v>117</v>
      </c>
      <c r="C654" s="23" t="s">
        <v>243</v>
      </c>
      <c r="D654" s="10" t="s">
        <v>28</v>
      </c>
      <c r="E654" s="10" t="s">
        <v>61</v>
      </c>
      <c r="F654" s="498" t="s">
        <v>55</v>
      </c>
      <c r="G654" s="499" t="s">
        <v>79</v>
      </c>
      <c r="H654" s="499" t="s">
        <v>42</v>
      </c>
      <c r="I654" s="500" t="s">
        <v>80</v>
      </c>
      <c r="J654" s="19"/>
      <c r="K654" s="146">
        <f t="shared" si="240"/>
        <v>46.5</v>
      </c>
      <c r="L654" s="146">
        <f t="shared" si="240"/>
        <v>0</v>
      </c>
      <c r="M654" s="146">
        <f t="shared" si="240"/>
        <v>46.5</v>
      </c>
    </row>
    <row r="655" spans="1:13" s="74" customFormat="1" ht="54" customHeight="1" x14ac:dyDescent="0.35">
      <c r="A655" s="73"/>
      <c r="B655" s="429" t="s">
        <v>45</v>
      </c>
      <c r="C655" s="23" t="s">
        <v>243</v>
      </c>
      <c r="D655" s="10" t="s">
        <v>28</v>
      </c>
      <c r="E655" s="10" t="s">
        <v>61</v>
      </c>
      <c r="F655" s="498" t="s">
        <v>55</v>
      </c>
      <c r="G655" s="499" t="s">
        <v>79</v>
      </c>
      <c r="H655" s="499" t="s">
        <v>42</v>
      </c>
      <c r="I655" s="500" t="s">
        <v>80</v>
      </c>
      <c r="J655" s="28" t="s">
        <v>46</v>
      </c>
      <c r="K655" s="146">
        <v>46.5</v>
      </c>
      <c r="L655" s="24">
        <f>M655-K655</f>
        <v>0</v>
      </c>
      <c r="M655" s="146">
        <v>46.5</v>
      </c>
    </row>
    <row r="656" spans="1:13" s="7" customFormat="1" ht="18" customHeight="1" x14ac:dyDescent="0.35">
      <c r="A656" s="73"/>
      <c r="B656" s="368" t="s">
        <v>144</v>
      </c>
      <c r="C656" s="23" t="s">
        <v>243</v>
      </c>
      <c r="D656" s="10" t="s">
        <v>188</v>
      </c>
      <c r="E656" s="10"/>
      <c r="F656" s="498"/>
      <c r="G656" s="499"/>
      <c r="H656" s="499"/>
      <c r="I656" s="500"/>
      <c r="J656" s="10"/>
      <c r="K656" s="24">
        <f>K657+K667</f>
        <v>9042.5</v>
      </c>
      <c r="L656" s="24">
        <f t="shared" ref="L656" si="241">L657+L667</f>
        <v>0</v>
      </c>
      <c r="M656" s="24">
        <f>M657+M667</f>
        <v>9042.5</v>
      </c>
    </row>
    <row r="657" spans="1:14" s="74" customFormat="1" ht="18" customHeight="1" x14ac:dyDescent="0.35">
      <c r="A657" s="73"/>
      <c r="B657" s="368" t="s">
        <v>292</v>
      </c>
      <c r="C657" s="23" t="s">
        <v>243</v>
      </c>
      <c r="D657" s="10" t="s">
        <v>188</v>
      </c>
      <c r="E657" s="10" t="s">
        <v>188</v>
      </c>
      <c r="F657" s="498"/>
      <c r="G657" s="499"/>
      <c r="H657" s="499"/>
      <c r="I657" s="500"/>
      <c r="J657" s="10"/>
      <c r="K657" s="24">
        <f t="shared" ref="K657:M659" si="242">K658</f>
        <v>5362.4</v>
      </c>
      <c r="L657" s="24">
        <f t="shared" si="242"/>
        <v>0</v>
      </c>
      <c r="M657" s="24">
        <f t="shared" si="242"/>
        <v>5362.4</v>
      </c>
    </row>
    <row r="658" spans="1:14" s="74" customFormat="1" ht="54" customHeight="1" x14ac:dyDescent="0.35">
      <c r="A658" s="73"/>
      <c r="B658" s="368" t="s">
        <v>185</v>
      </c>
      <c r="C658" s="23" t="s">
        <v>243</v>
      </c>
      <c r="D658" s="10" t="s">
        <v>188</v>
      </c>
      <c r="E658" s="10" t="s">
        <v>188</v>
      </c>
      <c r="F658" s="498" t="s">
        <v>55</v>
      </c>
      <c r="G658" s="499" t="s">
        <v>33</v>
      </c>
      <c r="H658" s="499" t="s">
        <v>34</v>
      </c>
      <c r="I658" s="500" t="s">
        <v>35</v>
      </c>
      <c r="J658" s="10"/>
      <c r="K658" s="24">
        <f t="shared" si="242"/>
        <v>5362.4</v>
      </c>
      <c r="L658" s="24">
        <f t="shared" si="242"/>
        <v>0</v>
      </c>
      <c r="M658" s="24">
        <f t="shared" si="242"/>
        <v>5362.4</v>
      </c>
    </row>
    <row r="659" spans="1:14" s="74" customFormat="1" ht="18" customHeight="1" x14ac:dyDescent="0.35">
      <c r="A659" s="73"/>
      <c r="B659" s="368" t="s">
        <v>186</v>
      </c>
      <c r="C659" s="23" t="s">
        <v>243</v>
      </c>
      <c r="D659" s="10" t="s">
        <v>188</v>
      </c>
      <c r="E659" s="10" t="s">
        <v>188</v>
      </c>
      <c r="F659" s="498" t="s">
        <v>55</v>
      </c>
      <c r="G659" s="499" t="s">
        <v>36</v>
      </c>
      <c r="H659" s="499" t="s">
        <v>34</v>
      </c>
      <c r="I659" s="500" t="s">
        <v>35</v>
      </c>
      <c r="J659" s="10"/>
      <c r="K659" s="24">
        <f t="shared" si="242"/>
        <v>5362.4</v>
      </c>
      <c r="L659" s="24">
        <f t="shared" si="242"/>
        <v>0</v>
      </c>
      <c r="M659" s="24">
        <f t="shared" si="242"/>
        <v>5362.4</v>
      </c>
    </row>
    <row r="660" spans="1:14" s="74" customFormat="1" ht="84" customHeight="1" x14ac:dyDescent="0.35">
      <c r="A660" s="73"/>
      <c r="B660" s="368" t="s">
        <v>244</v>
      </c>
      <c r="C660" s="23" t="s">
        <v>243</v>
      </c>
      <c r="D660" s="10" t="s">
        <v>188</v>
      </c>
      <c r="E660" s="10" t="s">
        <v>188</v>
      </c>
      <c r="F660" s="498" t="s">
        <v>55</v>
      </c>
      <c r="G660" s="499" t="s">
        <v>36</v>
      </c>
      <c r="H660" s="499" t="s">
        <v>28</v>
      </c>
      <c r="I660" s="500" t="s">
        <v>35</v>
      </c>
      <c r="J660" s="10"/>
      <c r="K660" s="24">
        <f>K661+K665</f>
        <v>5362.4</v>
      </c>
      <c r="L660" s="24">
        <f t="shared" ref="L660" si="243">L661+L665</f>
        <v>0</v>
      </c>
      <c r="M660" s="24">
        <f>M661+M665</f>
        <v>5362.4</v>
      </c>
    </row>
    <row r="661" spans="1:14" s="74" customFormat="1" ht="51" customHeight="1" x14ac:dyDescent="0.35">
      <c r="A661" s="73"/>
      <c r="B661" s="400" t="s">
        <v>353</v>
      </c>
      <c r="C661" s="23" t="s">
        <v>243</v>
      </c>
      <c r="D661" s="10" t="s">
        <v>188</v>
      </c>
      <c r="E661" s="10" t="s">
        <v>188</v>
      </c>
      <c r="F661" s="498" t="s">
        <v>55</v>
      </c>
      <c r="G661" s="499" t="s">
        <v>36</v>
      </c>
      <c r="H661" s="499" t="s">
        <v>28</v>
      </c>
      <c r="I661" s="500" t="s">
        <v>81</v>
      </c>
      <c r="J661" s="10"/>
      <c r="K661" s="24">
        <f>K662+K663+K664</f>
        <v>4406.8999999999996</v>
      </c>
      <c r="L661" s="24">
        <f t="shared" ref="L661" si="244">L662+L663+L664</f>
        <v>0</v>
      </c>
      <c r="M661" s="24">
        <f>M662+M663+M664</f>
        <v>4406.8999999999996</v>
      </c>
    </row>
    <row r="662" spans="1:14" s="74" customFormat="1" ht="108" customHeight="1" x14ac:dyDescent="0.35">
      <c r="A662" s="11"/>
      <c r="B662" s="368" t="s">
        <v>40</v>
      </c>
      <c r="C662" s="23" t="s">
        <v>243</v>
      </c>
      <c r="D662" s="10" t="s">
        <v>188</v>
      </c>
      <c r="E662" s="10" t="s">
        <v>188</v>
      </c>
      <c r="F662" s="498" t="s">
        <v>55</v>
      </c>
      <c r="G662" s="499" t="s">
        <v>36</v>
      </c>
      <c r="H662" s="499" t="s">
        <v>28</v>
      </c>
      <c r="I662" s="500" t="s">
        <v>81</v>
      </c>
      <c r="J662" s="10" t="s">
        <v>41</v>
      </c>
      <c r="K662" s="24">
        <v>4032.7</v>
      </c>
      <c r="L662" s="24">
        <f>M662-K662</f>
        <v>0</v>
      </c>
      <c r="M662" s="24">
        <v>4032.7</v>
      </c>
    </row>
    <row r="663" spans="1:14" s="7" customFormat="1" ht="54" customHeight="1" x14ac:dyDescent="0.35">
      <c r="A663" s="11"/>
      <c r="B663" s="368" t="s">
        <v>45</v>
      </c>
      <c r="C663" s="23" t="s">
        <v>243</v>
      </c>
      <c r="D663" s="10" t="s">
        <v>188</v>
      </c>
      <c r="E663" s="10" t="s">
        <v>188</v>
      </c>
      <c r="F663" s="498" t="s">
        <v>55</v>
      </c>
      <c r="G663" s="499" t="s">
        <v>36</v>
      </c>
      <c r="H663" s="499" t="s">
        <v>28</v>
      </c>
      <c r="I663" s="500" t="s">
        <v>81</v>
      </c>
      <c r="J663" s="10" t="s">
        <v>46</v>
      </c>
      <c r="K663" s="24">
        <v>371.5</v>
      </c>
      <c r="L663" s="24">
        <f>M663-K663</f>
        <v>0</v>
      </c>
      <c r="M663" s="24">
        <v>371.5</v>
      </c>
    </row>
    <row r="664" spans="1:14" s="7" customFormat="1" ht="18" customHeight="1" x14ac:dyDescent="0.35">
      <c r="A664" s="11"/>
      <c r="B664" s="368" t="s">
        <v>47</v>
      </c>
      <c r="C664" s="23" t="s">
        <v>243</v>
      </c>
      <c r="D664" s="10" t="s">
        <v>188</v>
      </c>
      <c r="E664" s="10" t="s">
        <v>188</v>
      </c>
      <c r="F664" s="498" t="s">
        <v>55</v>
      </c>
      <c r="G664" s="499" t="s">
        <v>36</v>
      </c>
      <c r="H664" s="499" t="s">
        <v>28</v>
      </c>
      <c r="I664" s="500" t="s">
        <v>81</v>
      </c>
      <c r="J664" s="10" t="s">
        <v>48</v>
      </c>
      <c r="K664" s="24">
        <v>2.7</v>
      </c>
      <c r="L664" s="24">
        <f>M664-K664</f>
        <v>0</v>
      </c>
      <c r="M664" s="24">
        <v>2.7</v>
      </c>
    </row>
    <row r="665" spans="1:14" s="7" customFormat="1" ht="36" customHeight="1" x14ac:dyDescent="0.35">
      <c r="A665" s="11"/>
      <c r="B665" s="368" t="s">
        <v>245</v>
      </c>
      <c r="C665" s="23" t="s">
        <v>243</v>
      </c>
      <c r="D665" s="10" t="s">
        <v>188</v>
      </c>
      <c r="E665" s="10" t="s">
        <v>188</v>
      </c>
      <c r="F665" s="498" t="s">
        <v>55</v>
      </c>
      <c r="G665" s="499" t="s">
        <v>36</v>
      </c>
      <c r="H665" s="499" t="s">
        <v>28</v>
      </c>
      <c r="I665" s="500" t="s">
        <v>246</v>
      </c>
      <c r="J665" s="10"/>
      <c r="K665" s="24">
        <f>K666</f>
        <v>955.5</v>
      </c>
      <c r="L665" s="24">
        <f t="shared" ref="L665" si="245">L666</f>
        <v>0</v>
      </c>
      <c r="M665" s="24">
        <f>M666</f>
        <v>955.5</v>
      </c>
    </row>
    <row r="666" spans="1:14" s="7" customFormat="1" ht="54" customHeight="1" x14ac:dyDescent="0.35">
      <c r="A666" s="11"/>
      <c r="B666" s="368" t="s">
        <v>45</v>
      </c>
      <c r="C666" s="23" t="s">
        <v>243</v>
      </c>
      <c r="D666" s="10" t="s">
        <v>188</v>
      </c>
      <c r="E666" s="10" t="s">
        <v>188</v>
      </c>
      <c r="F666" s="498" t="s">
        <v>55</v>
      </c>
      <c r="G666" s="499" t="s">
        <v>36</v>
      </c>
      <c r="H666" s="499" t="s">
        <v>28</v>
      </c>
      <c r="I666" s="500" t="s">
        <v>246</v>
      </c>
      <c r="J666" s="10" t="s">
        <v>46</v>
      </c>
      <c r="K666" s="24">
        <v>955.5</v>
      </c>
      <c r="L666" s="24">
        <f>M666-K666</f>
        <v>0</v>
      </c>
      <c r="M666" s="24">
        <f>955.5</f>
        <v>955.5</v>
      </c>
    </row>
    <row r="667" spans="1:14" s="7" customFormat="1" ht="18" customHeight="1" x14ac:dyDescent="0.35">
      <c r="A667" s="11"/>
      <c r="B667" s="368" t="s">
        <v>151</v>
      </c>
      <c r="C667" s="99" t="s">
        <v>243</v>
      </c>
      <c r="D667" s="10" t="s">
        <v>188</v>
      </c>
      <c r="E667" s="10" t="s">
        <v>69</v>
      </c>
      <c r="F667" s="498"/>
      <c r="G667" s="499"/>
      <c r="H667" s="499"/>
      <c r="I667" s="500"/>
      <c r="J667" s="10"/>
      <c r="K667" s="24">
        <f t="shared" ref="K667:M670" si="246">K668</f>
        <v>3680.1</v>
      </c>
      <c r="L667" s="24">
        <f t="shared" si="246"/>
        <v>0</v>
      </c>
      <c r="M667" s="24">
        <f t="shared" si="246"/>
        <v>3680.1</v>
      </c>
      <c r="N667" s="104"/>
    </row>
    <row r="668" spans="1:14" s="7" customFormat="1" ht="54" customHeight="1" x14ac:dyDescent="0.35">
      <c r="A668" s="11"/>
      <c r="B668" s="368" t="s">
        <v>185</v>
      </c>
      <c r="C668" s="99" t="s">
        <v>243</v>
      </c>
      <c r="D668" s="10" t="s">
        <v>188</v>
      </c>
      <c r="E668" s="10" t="s">
        <v>69</v>
      </c>
      <c r="F668" s="498" t="s">
        <v>55</v>
      </c>
      <c r="G668" s="499" t="s">
        <v>33</v>
      </c>
      <c r="H668" s="499" t="s">
        <v>34</v>
      </c>
      <c r="I668" s="500" t="s">
        <v>35</v>
      </c>
      <c r="J668" s="10"/>
      <c r="K668" s="24">
        <f t="shared" si="246"/>
        <v>3680.1</v>
      </c>
      <c r="L668" s="24">
        <f t="shared" si="246"/>
        <v>0</v>
      </c>
      <c r="M668" s="24">
        <f t="shared" si="246"/>
        <v>3680.1</v>
      </c>
      <c r="N668" s="104"/>
    </row>
    <row r="669" spans="1:14" s="7" customFormat="1" ht="36" customHeight="1" x14ac:dyDescent="0.35">
      <c r="A669" s="11"/>
      <c r="B669" s="368" t="s">
        <v>184</v>
      </c>
      <c r="C669" s="23" t="s">
        <v>243</v>
      </c>
      <c r="D669" s="10" t="s">
        <v>188</v>
      </c>
      <c r="E669" s="10" t="s">
        <v>69</v>
      </c>
      <c r="F669" s="498" t="s">
        <v>55</v>
      </c>
      <c r="G669" s="499" t="s">
        <v>79</v>
      </c>
      <c r="H669" s="499" t="s">
        <v>34</v>
      </c>
      <c r="I669" s="500" t="s">
        <v>35</v>
      </c>
      <c r="J669" s="10"/>
      <c r="K669" s="24">
        <f t="shared" si="246"/>
        <v>3680.1</v>
      </c>
      <c r="L669" s="24">
        <f t="shared" si="246"/>
        <v>0</v>
      </c>
      <c r="M669" s="24">
        <f t="shared" si="246"/>
        <v>3680.1</v>
      </c>
    </row>
    <row r="670" spans="1:14" s="74" customFormat="1" ht="36" customHeight="1" x14ac:dyDescent="0.35">
      <c r="A670" s="11"/>
      <c r="B670" s="368" t="s">
        <v>239</v>
      </c>
      <c r="C670" s="23" t="s">
        <v>243</v>
      </c>
      <c r="D670" s="10" t="s">
        <v>188</v>
      </c>
      <c r="E670" s="10" t="s">
        <v>69</v>
      </c>
      <c r="F670" s="498" t="s">
        <v>55</v>
      </c>
      <c r="G670" s="499" t="s">
        <v>79</v>
      </c>
      <c r="H670" s="499" t="s">
        <v>28</v>
      </c>
      <c r="I670" s="500" t="s">
        <v>35</v>
      </c>
      <c r="J670" s="10"/>
      <c r="K670" s="24">
        <f>K671</f>
        <v>3680.1</v>
      </c>
      <c r="L670" s="24">
        <f t="shared" si="246"/>
        <v>0</v>
      </c>
      <c r="M670" s="24">
        <f>M671</f>
        <v>3680.1</v>
      </c>
    </row>
    <row r="671" spans="1:14" s="7" customFormat="1" ht="36" customHeight="1" x14ac:dyDescent="0.35">
      <c r="A671" s="11"/>
      <c r="B671" s="368" t="s">
        <v>38</v>
      </c>
      <c r="C671" s="23" t="s">
        <v>243</v>
      </c>
      <c r="D671" s="10" t="s">
        <v>188</v>
      </c>
      <c r="E671" s="10" t="s">
        <v>69</v>
      </c>
      <c r="F671" s="498" t="s">
        <v>55</v>
      </c>
      <c r="G671" s="499" t="s">
        <v>79</v>
      </c>
      <c r="H671" s="499" t="s">
        <v>28</v>
      </c>
      <c r="I671" s="500" t="s">
        <v>39</v>
      </c>
      <c r="J671" s="10"/>
      <c r="K671" s="24">
        <f>K672+K673+K674</f>
        <v>3680.1</v>
      </c>
      <c r="L671" s="24">
        <f t="shared" ref="L671" si="247">L672+L673+L674</f>
        <v>0</v>
      </c>
      <c r="M671" s="24">
        <f>M672+M673+M674</f>
        <v>3680.1</v>
      </c>
    </row>
    <row r="672" spans="1:14" s="7" customFormat="1" ht="108" customHeight="1" x14ac:dyDescent="0.35">
      <c r="A672" s="11"/>
      <c r="B672" s="368" t="s">
        <v>40</v>
      </c>
      <c r="C672" s="23" t="s">
        <v>243</v>
      </c>
      <c r="D672" s="10" t="s">
        <v>188</v>
      </c>
      <c r="E672" s="10" t="s">
        <v>69</v>
      </c>
      <c r="F672" s="498" t="s">
        <v>55</v>
      </c>
      <c r="G672" s="499" t="s">
        <v>79</v>
      </c>
      <c r="H672" s="499" t="s">
        <v>28</v>
      </c>
      <c r="I672" s="500" t="s">
        <v>39</v>
      </c>
      <c r="J672" s="10" t="s">
        <v>41</v>
      </c>
      <c r="K672" s="24">
        <f>3294.3+21.7</f>
        <v>3316</v>
      </c>
      <c r="L672" s="24">
        <f>M672-K672</f>
        <v>0</v>
      </c>
      <c r="M672" s="24">
        <f>3294.3+21.7</f>
        <v>3316</v>
      </c>
      <c r="N672" s="104"/>
    </row>
    <row r="673" spans="1:14" s="7" customFormat="1" ht="54" customHeight="1" x14ac:dyDescent="0.35">
      <c r="A673" s="11"/>
      <c r="B673" s="368" t="s">
        <v>45</v>
      </c>
      <c r="C673" s="99" t="s">
        <v>243</v>
      </c>
      <c r="D673" s="56" t="s">
        <v>188</v>
      </c>
      <c r="E673" s="56" t="s">
        <v>69</v>
      </c>
      <c r="F673" s="498" t="s">
        <v>55</v>
      </c>
      <c r="G673" s="499" t="s">
        <v>79</v>
      </c>
      <c r="H673" s="499" t="s">
        <v>28</v>
      </c>
      <c r="I673" s="500" t="s">
        <v>39</v>
      </c>
      <c r="J673" s="10" t="s">
        <v>46</v>
      </c>
      <c r="K673" s="24">
        <v>362.9</v>
      </c>
      <c r="L673" s="24">
        <f>M673-K673</f>
        <v>0</v>
      </c>
      <c r="M673" s="24">
        <v>362.9</v>
      </c>
    </row>
    <row r="674" spans="1:14" s="7" customFormat="1" ht="18" customHeight="1" x14ac:dyDescent="0.35">
      <c r="A674" s="11"/>
      <c r="B674" s="368" t="s">
        <v>47</v>
      </c>
      <c r="C674" s="99" t="s">
        <v>243</v>
      </c>
      <c r="D674" s="56" t="s">
        <v>188</v>
      </c>
      <c r="E674" s="56" t="s">
        <v>69</v>
      </c>
      <c r="F674" s="498" t="s">
        <v>55</v>
      </c>
      <c r="G674" s="499" t="s">
        <v>79</v>
      </c>
      <c r="H674" s="499" t="s">
        <v>28</v>
      </c>
      <c r="I674" s="500" t="s">
        <v>39</v>
      </c>
      <c r="J674" s="10" t="s">
        <v>48</v>
      </c>
      <c r="K674" s="24">
        <v>1.2</v>
      </c>
      <c r="L674" s="24">
        <f>M674-K674</f>
        <v>0</v>
      </c>
      <c r="M674" s="24">
        <v>1.2</v>
      </c>
      <c r="N674" s="104"/>
    </row>
    <row r="675" spans="1:14" s="7" customFormat="1" ht="18" customHeight="1" x14ac:dyDescent="0.35">
      <c r="A675" s="11"/>
      <c r="B675" s="368"/>
      <c r="C675" s="99"/>
      <c r="D675" s="56"/>
      <c r="E675" s="56"/>
      <c r="F675" s="498"/>
      <c r="G675" s="499"/>
      <c r="H675" s="499"/>
      <c r="I675" s="500"/>
      <c r="J675" s="10"/>
      <c r="K675" s="24"/>
      <c r="L675" s="24"/>
      <c r="M675" s="24"/>
      <c r="N675" s="104"/>
    </row>
    <row r="676" spans="1:14" s="74" customFormat="1" ht="52.2" customHeight="1" x14ac:dyDescent="0.3">
      <c r="A676" s="73">
        <v>9</v>
      </c>
      <c r="B676" s="404" t="s">
        <v>10</v>
      </c>
      <c r="C676" s="18" t="s">
        <v>251</v>
      </c>
      <c r="D676" s="19"/>
      <c r="E676" s="19"/>
      <c r="F676" s="20"/>
      <c r="G676" s="21"/>
      <c r="H676" s="21"/>
      <c r="I676" s="22"/>
      <c r="J676" s="19"/>
      <c r="K676" s="32">
        <f>K677</f>
        <v>73563.199999999997</v>
      </c>
      <c r="L676" s="32">
        <f t="shared" ref="L676" si="248">L677</f>
        <v>0</v>
      </c>
      <c r="M676" s="32">
        <f>M677</f>
        <v>73563.199999999997</v>
      </c>
    </row>
    <row r="677" spans="1:14" s="7" customFormat="1" ht="18" customHeight="1" x14ac:dyDescent="0.35">
      <c r="A677" s="11"/>
      <c r="B677" s="407" t="s">
        <v>109</v>
      </c>
      <c r="C677" s="23" t="s">
        <v>251</v>
      </c>
      <c r="D677" s="10" t="s">
        <v>94</v>
      </c>
      <c r="E677" s="10"/>
      <c r="F677" s="498"/>
      <c r="G677" s="499"/>
      <c r="H677" s="499"/>
      <c r="I677" s="500"/>
      <c r="J677" s="10"/>
      <c r="K677" s="24">
        <f>K678+K694</f>
        <v>73563.199999999997</v>
      </c>
      <c r="L677" s="24">
        <f t="shared" ref="L677" si="249">L678+L694</f>
        <v>0</v>
      </c>
      <c r="M677" s="24">
        <f>M678+M694</f>
        <v>73563.199999999997</v>
      </c>
    </row>
    <row r="678" spans="1:14" s="7" customFormat="1" ht="18" customHeight="1" x14ac:dyDescent="0.35">
      <c r="A678" s="11"/>
      <c r="B678" s="368" t="s">
        <v>158</v>
      </c>
      <c r="C678" s="23" t="s">
        <v>251</v>
      </c>
      <c r="D678" s="10" t="s">
        <v>94</v>
      </c>
      <c r="E678" s="10" t="s">
        <v>42</v>
      </c>
      <c r="F678" s="498"/>
      <c r="G678" s="499"/>
      <c r="H678" s="499"/>
      <c r="I678" s="500"/>
      <c r="J678" s="10"/>
      <c r="K678" s="24">
        <f t="shared" ref="K678:M680" si="250">K679</f>
        <v>64549.899999999994</v>
      </c>
      <c r="L678" s="24">
        <f t="shared" si="250"/>
        <v>0</v>
      </c>
      <c r="M678" s="24">
        <f t="shared" si="250"/>
        <v>64549.899999999994</v>
      </c>
    </row>
    <row r="679" spans="1:14" s="7" customFormat="1" ht="54" customHeight="1" x14ac:dyDescent="0.35">
      <c r="A679" s="11"/>
      <c r="B679" s="375" t="s">
        <v>194</v>
      </c>
      <c r="C679" s="23" t="s">
        <v>251</v>
      </c>
      <c r="D679" s="10" t="s">
        <v>94</v>
      </c>
      <c r="E679" s="10" t="s">
        <v>42</v>
      </c>
      <c r="F679" s="498" t="s">
        <v>69</v>
      </c>
      <c r="G679" s="499" t="s">
        <v>33</v>
      </c>
      <c r="H679" s="499" t="s">
        <v>34</v>
      </c>
      <c r="I679" s="500" t="s">
        <v>35</v>
      </c>
      <c r="J679" s="10"/>
      <c r="K679" s="24">
        <f t="shared" si="250"/>
        <v>64549.899999999994</v>
      </c>
      <c r="L679" s="24">
        <f t="shared" si="250"/>
        <v>0</v>
      </c>
      <c r="M679" s="24">
        <f t="shared" si="250"/>
        <v>64549.899999999994</v>
      </c>
    </row>
    <row r="680" spans="1:14" s="7" customFormat="1" ht="36" customHeight="1" x14ac:dyDescent="0.35">
      <c r="A680" s="11"/>
      <c r="B680" s="368" t="s">
        <v>287</v>
      </c>
      <c r="C680" s="23" t="s">
        <v>251</v>
      </c>
      <c r="D680" s="10" t="s">
        <v>94</v>
      </c>
      <c r="E680" s="10" t="s">
        <v>42</v>
      </c>
      <c r="F680" s="498" t="s">
        <v>69</v>
      </c>
      <c r="G680" s="499" t="s">
        <v>36</v>
      </c>
      <c r="H680" s="499" t="s">
        <v>34</v>
      </c>
      <c r="I680" s="500" t="s">
        <v>35</v>
      </c>
      <c r="J680" s="10"/>
      <c r="K680" s="24">
        <f>K681</f>
        <v>64549.899999999994</v>
      </c>
      <c r="L680" s="24">
        <f t="shared" si="250"/>
        <v>0</v>
      </c>
      <c r="M680" s="24">
        <f>M681</f>
        <v>64549.899999999994</v>
      </c>
    </row>
    <row r="681" spans="1:14" s="74" customFormat="1" ht="36" customHeight="1" x14ac:dyDescent="0.35">
      <c r="A681" s="11"/>
      <c r="B681" s="368" t="s">
        <v>242</v>
      </c>
      <c r="C681" s="23" t="s">
        <v>251</v>
      </c>
      <c r="D681" s="10" t="s">
        <v>94</v>
      </c>
      <c r="E681" s="10" t="s">
        <v>42</v>
      </c>
      <c r="F681" s="498" t="s">
        <v>69</v>
      </c>
      <c r="G681" s="499" t="s">
        <v>36</v>
      </c>
      <c r="H681" s="499" t="s">
        <v>28</v>
      </c>
      <c r="I681" s="500" t="s">
        <v>35</v>
      </c>
      <c r="J681" s="10"/>
      <c r="K681" s="24">
        <f>K682+K685+K688+K691</f>
        <v>64549.899999999994</v>
      </c>
      <c r="L681" s="24">
        <f t="shared" ref="L681" si="251">L682+L685+L688+L691</f>
        <v>0</v>
      </c>
      <c r="M681" s="24">
        <f>M682+M685+M688+M691</f>
        <v>64549.899999999994</v>
      </c>
    </row>
    <row r="682" spans="1:14" s="74" customFormat="1" ht="158.25" customHeight="1" x14ac:dyDescent="0.35">
      <c r="A682" s="11"/>
      <c r="B682" s="431" t="s">
        <v>299</v>
      </c>
      <c r="C682" s="23" t="s">
        <v>251</v>
      </c>
      <c r="D682" s="10" t="s">
        <v>94</v>
      </c>
      <c r="E682" s="10" t="s">
        <v>42</v>
      </c>
      <c r="F682" s="498" t="s">
        <v>69</v>
      </c>
      <c r="G682" s="499" t="s">
        <v>36</v>
      </c>
      <c r="H682" s="499" t="s">
        <v>28</v>
      </c>
      <c r="I682" s="500" t="s">
        <v>385</v>
      </c>
      <c r="J682" s="10"/>
      <c r="K682" s="24">
        <f>SUM(K683:K684)</f>
        <v>37320.199999999997</v>
      </c>
      <c r="L682" s="24">
        <f t="shared" ref="L682" si="252">SUM(L683:L684)</f>
        <v>0</v>
      </c>
      <c r="M682" s="24">
        <f>SUM(M683:M684)</f>
        <v>37320.199999999997</v>
      </c>
    </row>
    <row r="683" spans="1:14" s="74" customFormat="1" ht="54" customHeight="1" x14ac:dyDescent="0.35">
      <c r="A683" s="11"/>
      <c r="B683" s="368" t="s">
        <v>45</v>
      </c>
      <c r="C683" s="23" t="s">
        <v>251</v>
      </c>
      <c r="D683" s="10" t="s">
        <v>94</v>
      </c>
      <c r="E683" s="10" t="s">
        <v>42</v>
      </c>
      <c r="F683" s="498" t="s">
        <v>69</v>
      </c>
      <c r="G683" s="499" t="s">
        <v>36</v>
      </c>
      <c r="H683" s="499" t="s">
        <v>28</v>
      </c>
      <c r="I683" s="500" t="s">
        <v>385</v>
      </c>
      <c r="J683" s="10" t="s">
        <v>46</v>
      </c>
      <c r="K683" s="24">
        <v>185.7</v>
      </c>
      <c r="L683" s="24">
        <f>M683-K683</f>
        <v>0</v>
      </c>
      <c r="M683" s="24">
        <v>185.7</v>
      </c>
    </row>
    <row r="684" spans="1:14" s="74" customFormat="1" ht="36" customHeight="1" x14ac:dyDescent="0.35">
      <c r="A684" s="11"/>
      <c r="B684" s="368" t="s">
        <v>110</v>
      </c>
      <c r="C684" s="23" t="s">
        <v>251</v>
      </c>
      <c r="D684" s="10" t="s">
        <v>94</v>
      </c>
      <c r="E684" s="10" t="s">
        <v>42</v>
      </c>
      <c r="F684" s="498" t="s">
        <v>69</v>
      </c>
      <c r="G684" s="499" t="s">
        <v>36</v>
      </c>
      <c r="H684" s="499" t="s">
        <v>28</v>
      </c>
      <c r="I684" s="500" t="s">
        <v>385</v>
      </c>
      <c r="J684" s="10" t="s">
        <v>111</v>
      </c>
      <c r="K684" s="24">
        <v>37134.5</v>
      </c>
      <c r="L684" s="24">
        <f>M684-K684</f>
        <v>0</v>
      </c>
      <c r="M684" s="24">
        <v>37134.5</v>
      </c>
    </row>
    <row r="685" spans="1:14" s="74" customFormat="1" ht="90" customHeight="1" x14ac:dyDescent="0.35">
      <c r="A685" s="11"/>
      <c r="B685" s="368" t="s">
        <v>301</v>
      </c>
      <c r="C685" s="23" t="s">
        <v>251</v>
      </c>
      <c r="D685" s="10" t="s">
        <v>94</v>
      </c>
      <c r="E685" s="10" t="s">
        <v>42</v>
      </c>
      <c r="F685" s="498" t="s">
        <v>69</v>
      </c>
      <c r="G685" s="499" t="s">
        <v>36</v>
      </c>
      <c r="H685" s="499" t="s">
        <v>28</v>
      </c>
      <c r="I685" s="500" t="s">
        <v>387</v>
      </c>
      <c r="J685" s="10"/>
      <c r="K685" s="24">
        <f>SUM(K686:K687)</f>
        <v>188.70000000000002</v>
      </c>
      <c r="L685" s="24">
        <f t="shared" ref="L685" si="253">SUM(L686:L687)</f>
        <v>0</v>
      </c>
      <c r="M685" s="24">
        <f>SUM(M686:M687)</f>
        <v>188.70000000000002</v>
      </c>
    </row>
    <row r="686" spans="1:14" s="74" customFormat="1" ht="54" customHeight="1" x14ac:dyDescent="0.35">
      <c r="A686" s="11"/>
      <c r="B686" s="368" t="s">
        <v>45</v>
      </c>
      <c r="C686" s="23" t="s">
        <v>251</v>
      </c>
      <c r="D686" s="10" t="s">
        <v>94</v>
      </c>
      <c r="E686" s="10" t="s">
        <v>42</v>
      </c>
      <c r="F686" s="498" t="s">
        <v>69</v>
      </c>
      <c r="G686" s="499" t="s">
        <v>36</v>
      </c>
      <c r="H686" s="499" t="s">
        <v>28</v>
      </c>
      <c r="I686" s="500" t="s">
        <v>387</v>
      </c>
      <c r="J686" s="10" t="s">
        <v>46</v>
      </c>
      <c r="K686" s="24">
        <v>0.9</v>
      </c>
      <c r="L686" s="24">
        <f>M686-K686</f>
        <v>0</v>
      </c>
      <c r="M686" s="24">
        <v>0.9</v>
      </c>
    </row>
    <row r="687" spans="1:14" s="74" customFormat="1" ht="36" customHeight="1" x14ac:dyDescent="0.35">
      <c r="A687" s="11"/>
      <c r="B687" s="368" t="s">
        <v>110</v>
      </c>
      <c r="C687" s="23" t="s">
        <v>251</v>
      </c>
      <c r="D687" s="10" t="s">
        <v>94</v>
      </c>
      <c r="E687" s="10" t="s">
        <v>42</v>
      </c>
      <c r="F687" s="498" t="s">
        <v>69</v>
      </c>
      <c r="G687" s="499" t="s">
        <v>36</v>
      </c>
      <c r="H687" s="499" t="s">
        <v>28</v>
      </c>
      <c r="I687" s="500" t="s">
        <v>387</v>
      </c>
      <c r="J687" s="10" t="s">
        <v>111</v>
      </c>
      <c r="K687" s="24">
        <v>187.8</v>
      </c>
      <c r="L687" s="24">
        <f>M687-K687</f>
        <v>0</v>
      </c>
      <c r="M687" s="24">
        <v>187.8</v>
      </c>
    </row>
    <row r="688" spans="1:14" s="74" customFormat="1" ht="90" customHeight="1" x14ac:dyDescent="0.35">
      <c r="A688" s="11"/>
      <c r="B688" s="368" t="s">
        <v>300</v>
      </c>
      <c r="C688" s="23" t="s">
        <v>251</v>
      </c>
      <c r="D688" s="10" t="s">
        <v>94</v>
      </c>
      <c r="E688" s="10" t="s">
        <v>42</v>
      </c>
      <c r="F688" s="498" t="s">
        <v>69</v>
      </c>
      <c r="G688" s="499" t="s">
        <v>36</v>
      </c>
      <c r="H688" s="499" t="s">
        <v>28</v>
      </c>
      <c r="I688" s="500" t="s">
        <v>386</v>
      </c>
      <c r="J688" s="10"/>
      <c r="K688" s="24">
        <f>SUM(K689:K690)</f>
        <v>26856.5</v>
      </c>
      <c r="L688" s="24">
        <f t="shared" ref="L688" si="254">SUM(L689:L690)</f>
        <v>0</v>
      </c>
      <c r="M688" s="24">
        <f>SUM(M689:M690)</f>
        <v>26856.5</v>
      </c>
    </row>
    <row r="689" spans="1:13" s="74" customFormat="1" ht="54" customHeight="1" x14ac:dyDescent="0.35">
      <c r="A689" s="11"/>
      <c r="B689" s="368" t="s">
        <v>45</v>
      </c>
      <c r="C689" s="23" t="s">
        <v>251</v>
      </c>
      <c r="D689" s="10" t="s">
        <v>94</v>
      </c>
      <c r="E689" s="10" t="s">
        <v>42</v>
      </c>
      <c r="F689" s="498" t="s">
        <v>69</v>
      </c>
      <c r="G689" s="499" t="s">
        <v>36</v>
      </c>
      <c r="H689" s="499" t="s">
        <v>28</v>
      </c>
      <c r="I689" s="500" t="s">
        <v>386</v>
      </c>
      <c r="J689" s="10" t="s">
        <v>46</v>
      </c>
      <c r="K689" s="24">
        <v>134.30000000000001</v>
      </c>
      <c r="L689" s="24">
        <f>M689-K689</f>
        <v>0</v>
      </c>
      <c r="M689" s="24">
        <v>134.30000000000001</v>
      </c>
    </row>
    <row r="690" spans="1:13" s="74" customFormat="1" ht="36" customHeight="1" x14ac:dyDescent="0.35">
      <c r="A690" s="11"/>
      <c r="B690" s="368" t="s">
        <v>110</v>
      </c>
      <c r="C690" s="23" t="s">
        <v>251</v>
      </c>
      <c r="D690" s="10" t="s">
        <v>94</v>
      </c>
      <c r="E690" s="10" t="s">
        <v>42</v>
      </c>
      <c r="F690" s="498" t="s">
        <v>69</v>
      </c>
      <c r="G690" s="499" t="s">
        <v>36</v>
      </c>
      <c r="H690" s="499" t="s">
        <v>28</v>
      </c>
      <c r="I690" s="500" t="s">
        <v>386</v>
      </c>
      <c r="J690" s="10" t="s">
        <v>111</v>
      </c>
      <c r="K690" s="24">
        <v>26722.2</v>
      </c>
      <c r="L690" s="24">
        <f>M690-K690</f>
        <v>0</v>
      </c>
      <c r="M690" s="24">
        <v>26722.2</v>
      </c>
    </row>
    <row r="691" spans="1:13" s="74" customFormat="1" ht="108" customHeight="1" x14ac:dyDescent="0.35">
      <c r="A691" s="11"/>
      <c r="B691" s="368" t="s">
        <v>305</v>
      </c>
      <c r="C691" s="23" t="s">
        <v>251</v>
      </c>
      <c r="D691" s="10" t="s">
        <v>94</v>
      </c>
      <c r="E691" s="10" t="s">
        <v>42</v>
      </c>
      <c r="F691" s="498" t="s">
        <v>69</v>
      </c>
      <c r="G691" s="499" t="s">
        <v>36</v>
      </c>
      <c r="H691" s="499" t="s">
        <v>28</v>
      </c>
      <c r="I691" s="500" t="s">
        <v>388</v>
      </c>
      <c r="J691" s="10"/>
      <c r="K691" s="24">
        <f>SUM(K692:K693)</f>
        <v>184.5</v>
      </c>
      <c r="L691" s="24">
        <f t="shared" ref="L691" si="255">SUM(L692:L693)</f>
        <v>0</v>
      </c>
      <c r="M691" s="24">
        <f>SUM(M692:M693)</f>
        <v>184.5</v>
      </c>
    </row>
    <row r="692" spans="1:13" s="74" customFormat="1" ht="54" customHeight="1" x14ac:dyDescent="0.35">
      <c r="A692" s="11"/>
      <c r="B692" s="368" t="s">
        <v>45</v>
      </c>
      <c r="C692" s="23" t="s">
        <v>251</v>
      </c>
      <c r="D692" s="10" t="s">
        <v>94</v>
      </c>
      <c r="E692" s="10" t="s">
        <v>42</v>
      </c>
      <c r="F692" s="498" t="s">
        <v>69</v>
      </c>
      <c r="G692" s="499" t="s">
        <v>36</v>
      </c>
      <c r="H692" s="499" t="s">
        <v>28</v>
      </c>
      <c r="I692" s="500" t="s">
        <v>388</v>
      </c>
      <c r="J692" s="10" t="s">
        <v>46</v>
      </c>
      <c r="K692" s="24">
        <v>0.9</v>
      </c>
      <c r="L692" s="24">
        <f>M692-K692</f>
        <v>0</v>
      </c>
      <c r="M692" s="24">
        <v>0.9</v>
      </c>
    </row>
    <row r="693" spans="1:13" s="74" customFormat="1" ht="36" customHeight="1" x14ac:dyDescent="0.35">
      <c r="A693" s="11"/>
      <c r="B693" s="368" t="s">
        <v>110</v>
      </c>
      <c r="C693" s="23" t="s">
        <v>251</v>
      </c>
      <c r="D693" s="10" t="s">
        <v>94</v>
      </c>
      <c r="E693" s="10" t="s">
        <v>42</v>
      </c>
      <c r="F693" s="498" t="s">
        <v>69</v>
      </c>
      <c r="G693" s="499" t="s">
        <v>36</v>
      </c>
      <c r="H693" s="499" t="s">
        <v>28</v>
      </c>
      <c r="I693" s="500" t="s">
        <v>388</v>
      </c>
      <c r="J693" s="10" t="s">
        <v>111</v>
      </c>
      <c r="K693" s="24">
        <v>183.6</v>
      </c>
      <c r="L693" s="24">
        <f>M693-K693</f>
        <v>0</v>
      </c>
      <c r="M693" s="24">
        <v>183.6</v>
      </c>
    </row>
    <row r="694" spans="1:13" s="7" customFormat="1" ht="36" customHeight="1" x14ac:dyDescent="0.35">
      <c r="A694" s="11"/>
      <c r="B694" s="368" t="s">
        <v>253</v>
      </c>
      <c r="C694" s="23" t="s">
        <v>251</v>
      </c>
      <c r="D694" s="10" t="s">
        <v>94</v>
      </c>
      <c r="E694" s="10" t="s">
        <v>71</v>
      </c>
      <c r="F694" s="498"/>
      <c r="G694" s="499"/>
      <c r="H694" s="499"/>
      <c r="I694" s="500"/>
      <c r="J694" s="10"/>
      <c r="K694" s="24">
        <f>K695</f>
        <v>9013.2999999999993</v>
      </c>
      <c r="L694" s="24">
        <f t="shared" ref="L694" si="256">L695</f>
        <v>0</v>
      </c>
      <c r="M694" s="24">
        <f>M695</f>
        <v>9013.2999999999993</v>
      </c>
    </row>
    <row r="695" spans="1:13" s="7" customFormat="1" ht="54" customHeight="1" x14ac:dyDescent="0.35">
      <c r="A695" s="11"/>
      <c r="B695" s="375" t="s">
        <v>194</v>
      </c>
      <c r="C695" s="23" t="s">
        <v>251</v>
      </c>
      <c r="D695" s="10" t="s">
        <v>94</v>
      </c>
      <c r="E695" s="10" t="s">
        <v>71</v>
      </c>
      <c r="F695" s="498" t="s">
        <v>69</v>
      </c>
      <c r="G695" s="499" t="s">
        <v>33</v>
      </c>
      <c r="H695" s="499" t="s">
        <v>34</v>
      </c>
      <c r="I695" s="500" t="s">
        <v>35</v>
      </c>
      <c r="J695" s="10"/>
      <c r="K695" s="24">
        <f t="shared" ref="K695:M696" si="257">K696</f>
        <v>9013.2999999999993</v>
      </c>
      <c r="L695" s="24">
        <f t="shared" si="257"/>
        <v>0</v>
      </c>
      <c r="M695" s="24">
        <f t="shared" si="257"/>
        <v>9013.2999999999993</v>
      </c>
    </row>
    <row r="696" spans="1:13" s="7" customFormat="1" ht="36" customHeight="1" x14ac:dyDescent="0.35">
      <c r="A696" s="11"/>
      <c r="B696" s="368" t="s">
        <v>287</v>
      </c>
      <c r="C696" s="23" t="s">
        <v>251</v>
      </c>
      <c r="D696" s="10" t="s">
        <v>94</v>
      </c>
      <c r="E696" s="10" t="s">
        <v>71</v>
      </c>
      <c r="F696" s="498" t="s">
        <v>69</v>
      </c>
      <c r="G696" s="499" t="s">
        <v>36</v>
      </c>
      <c r="H696" s="499" t="s">
        <v>34</v>
      </c>
      <c r="I696" s="500" t="s">
        <v>35</v>
      </c>
      <c r="J696" s="10"/>
      <c r="K696" s="24">
        <f t="shared" si="257"/>
        <v>9013.2999999999993</v>
      </c>
      <c r="L696" s="24">
        <f t="shared" si="257"/>
        <v>0</v>
      </c>
      <c r="M696" s="24">
        <f t="shared" si="257"/>
        <v>9013.2999999999993</v>
      </c>
    </row>
    <row r="697" spans="1:13" s="74" customFormat="1" ht="36" customHeight="1" x14ac:dyDescent="0.35">
      <c r="A697" s="11"/>
      <c r="B697" s="368" t="s">
        <v>193</v>
      </c>
      <c r="C697" s="23" t="s">
        <v>251</v>
      </c>
      <c r="D697" s="10" t="s">
        <v>94</v>
      </c>
      <c r="E697" s="10" t="s">
        <v>71</v>
      </c>
      <c r="F697" s="498" t="s">
        <v>69</v>
      </c>
      <c r="G697" s="499" t="s">
        <v>36</v>
      </c>
      <c r="H697" s="499" t="s">
        <v>53</v>
      </c>
      <c r="I697" s="500" t="s">
        <v>35</v>
      </c>
      <c r="J697" s="10"/>
      <c r="K697" s="24">
        <f>K698+K701+K704</f>
        <v>9013.2999999999993</v>
      </c>
      <c r="L697" s="24">
        <f t="shared" ref="L697" si="258">L698+L701+L704</f>
        <v>0</v>
      </c>
      <c r="M697" s="24">
        <f>M698+M701+M704</f>
        <v>9013.2999999999993</v>
      </c>
    </row>
    <row r="698" spans="1:13" s="74" customFormat="1" ht="272.25" customHeight="1" x14ac:dyDescent="0.35">
      <c r="A698" s="11"/>
      <c r="B698" s="432" t="s">
        <v>196</v>
      </c>
      <c r="C698" s="23" t="s">
        <v>251</v>
      </c>
      <c r="D698" s="10" t="s">
        <v>94</v>
      </c>
      <c r="E698" s="10" t="s">
        <v>71</v>
      </c>
      <c r="F698" s="498" t="s">
        <v>69</v>
      </c>
      <c r="G698" s="499" t="s">
        <v>36</v>
      </c>
      <c r="H698" s="499" t="s">
        <v>53</v>
      </c>
      <c r="I698" s="500" t="s">
        <v>389</v>
      </c>
      <c r="J698" s="10"/>
      <c r="K698" s="24">
        <f>K699+K700</f>
        <v>1025.8</v>
      </c>
      <c r="L698" s="24">
        <f t="shared" ref="L698" si="259">L699+L700</f>
        <v>0</v>
      </c>
      <c r="M698" s="24">
        <f>M699+M700</f>
        <v>1025.8</v>
      </c>
    </row>
    <row r="699" spans="1:13" s="74" customFormat="1" ht="108" customHeight="1" x14ac:dyDescent="0.35">
      <c r="A699" s="11"/>
      <c r="B699" s="368" t="s">
        <v>40</v>
      </c>
      <c r="C699" s="23" t="s">
        <v>251</v>
      </c>
      <c r="D699" s="10" t="s">
        <v>94</v>
      </c>
      <c r="E699" s="10" t="s">
        <v>71</v>
      </c>
      <c r="F699" s="498" t="s">
        <v>69</v>
      </c>
      <c r="G699" s="499" t="s">
        <v>36</v>
      </c>
      <c r="H699" s="499" t="s">
        <v>53</v>
      </c>
      <c r="I699" s="500" t="s">
        <v>389</v>
      </c>
      <c r="J699" s="10" t="s">
        <v>41</v>
      </c>
      <c r="K699" s="24">
        <v>863.8</v>
      </c>
      <c r="L699" s="24">
        <f>M699-K699</f>
        <v>0</v>
      </c>
      <c r="M699" s="24">
        <v>863.8</v>
      </c>
    </row>
    <row r="700" spans="1:13" s="74" customFormat="1" ht="54" customHeight="1" x14ac:dyDescent="0.35">
      <c r="A700" s="11"/>
      <c r="B700" s="368" t="s">
        <v>45</v>
      </c>
      <c r="C700" s="23" t="s">
        <v>251</v>
      </c>
      <c r="D700" s="10" t="s">
        <v>94</v>
      </c>
      <c r="E700" s="10" t="s">
        <v>71</v>
      </c>
      <c r="F700" s="498" t="s">
        <v>69</v>
      </c>
      <c r="G700" s="499" t="s">
        <v>36</v>
      </c>
      <c r="H700" s="499" t="s">
        <v>53</v>
      </c>
      <c r="I700" s="500" t="s">
        <v>389</v>
      </c>
      <c r="J700" s="10" t="s">
        <v>46</v>
      </c>
      <c r="K700" s="24">
        <v>162</v>
      </c>
      <c r="L700" s="24">
        <f>M700-K700</f>
        <v>0</v>
      </c>
      <c r="M700" s="24">
        <v>162</v>
      </c>
    </row>
    <row r="701" spans="1:13" s="74" customFormat="1" ht="108" customHeight="1" x14ac:dyDescent="0.35">
      <c r="A701" s="11"/>
      <c r="B701" s="368" t="s">
        <v>350</v>
      </c>
      <c r="C701" s="23" t="s">
        <v>251</v>
      </c>
      <c r="D701" s="10" t="s">
        <v>94</v>
      </c>
      <c r="E701" s="10" t="s">
        <v>71</v>
      </c>
      <c r="F701" s="498" t="s">
        <v>69</v>
      </c>
      <c r="G701" s="499" t="s">
        <v>36</v>
      </c>
      <c r="H701" s="499" t="s">
        <v>53</v>
      </c>
      <c r="I701" s="500" t="s">
        <v>383</v>
      </c>
      <c r="J701" s="10"/>
      <c r="K701" s="24">
        <f>K702+K703</f>
        <v>756</v>
      </c>
      <c r="L701" s="24">
        <f t="shared" ref="L701" si="260">L702+L703</f>
        <v>0</v>
      </c>
      <c r="M701" s="24">
        <f>M702+M703</f>
        <v>756</v>
      </c>
    </row>
    <row r="702" spans="1:13" s="74" customFormat="1" ht="108" customHeight="1" x14ac:dyDescent="0.35">
      <c r="A702" s="11"/>
      <c r="B702" s="368" t="s">
        <v>40</v>
      </c>
      <c r="C702" s="23" t="s">
        <v>251</v>
      </c>
      <c r="D702" s="10" t="s">
        <v>94</v>
      </c>
      <c r="E702" s="10" t="s">
        <v>71</v>
      </c>
      <c r="F702" s="498" t="s">
        <v>69</v>
      </c>
      <c r="G702" s="499" t="s">
        <v>36</v>
      </c>
      <c r="H702" s="499" t="s">
        <v>53</v>
      </c>
      <c r="I702" s="500" t="s">
        <v>383</v>
      </c>
      <c r="J702" s="10" t="s">
        <v>41</v>
      </c>
      <c r="K702" s="24">
        <v>675</v>
      </c>
      <c r="L702" s="24">
        <f>M702-K702</f>
        <v>0</v>
      </c>
      <c r="M702" s="24">
        <v>675</v>
      </c>
    </row>
    <row r="703" spans="1:13" s="74" customFormat="1" ht="54" customHeight="1" x14ac:dyDescent="0.35">
      <c r="A703" s="11"/>
      <c r="B703" s="368" t="s">
        <v>45</v>
      </c>
      <c r="C703" s="23" t="s">
        <v>251</v>
      </c>
      <c r="D703" s="10" t="s">
        <v>94</v>
      </c>
      <c r="E703" s="10" t="s">
        <v>71</v>
      </c>
      <c r="F703" s="498" t="s">
        <v>69</v>
      </c>
      <c r="G703" s="499" t="s">
        <v>36</v>
      </c>
      <c r="H703" s="499" t="s">
        <v>53</v>
      </c>
      <c r="I703" s="500" t="s">
        <v>383</v>
      </c>
      <c r="J703" s="10" t="s">
        <v>46</v>
      </c>
      <c r="K703" s="24">
        <v>81</v>
      </c>
      <c r="L703" s="24">
        <f>M703-K703</f>
        <v>0</v>
      </c>
      <c r="M703" s="24">
        <v>81</v>
      </c>
    </row>
    <row r="704" spans="1:13" s="74" customFormat="1" ht="72" customHeight="1" x14ac:dyDescent="0.35">
      <c r="A704" s="11"/>
      <c r="B704" s="368" t="s">
        <v>195</v>
      </c>
      <c r="C704" s="23" t="s">
        <v>251</v>
      </c>
      <c r="D704" s="10" t="s">
        <v>94</v>
      </c>
      <c r="E704" s="10" t="s">
        <v>71</v>
      </c>
      <c r="F704" s="498" t="s">
        <v>69</v>
      </c>
      <c r="G704" s="499" t="s">
        <v>36</v>
      </c>
      <c r="H704" s="499" t="s">
        <v>53</v>
      </c>
      <c r="I704" s="500" t="s">
        <v>384</v>
      </c>
      <c r="J704" s="10"/>
      <c r="K704" s="24">
        <f>K705+K706</f>
        <v>7231.5</v>
      </c>
      <c r="L704" s="24">
        <f t="shared" ref="L704" si="261">L705+L706</f>
        <v>0</v>
      </c>
      <c r="M704" s="24">
        <f>M705+M706</f>
        <v>7231.5</v>
      </c>
    </row>
    <row r="705" spans="1:15" s="74" customFormat="1" ht="108" customHeight="1" x14ac:dyDescent="0.35">
      <c r="A705" s="11"/>
      <c r="B705" s="368" t="s">
        <v>40</v>
      </c>
      <c r="C705" s="23" t="s">
        <v>251</v>
      </c>
      <c r="D705" s="10" t="s">
        <v>94</v>
      </c>
      <c r="E705" s="10" t="s">
        <v>71</v>
      </c>
      <c r="F705" s="498" t="s">
        <v>69</v>
      </c>
      <c r="G705" s="499" t="s">
        <v>36</v>
      </c>
      <c r="H705" s="499" t="s">
        <v>53</v>
      </c>
      <c r="I705" s="500" t="s">
        <v>384</v>
      </c>
      <c r="J705" s="10" t="s">
        <v>41</v>
      </c>
      <c r="K705" s="24">
        <v>6502.5</v>
      </c>
      <c r="L705" s="24">
        <f>M705-K705</f>
        <v>0</v>
      </c>
      <c r="M705" s="24">
        <v>6502.5</v>
      </c>
    </row>
    <row r="706" spans="1:15" s="74" customFormat="1" ht="54" customHeight="1" x14ac:dyDescent="0.35">
      <c r="A706" s="11"/>
      <c r="B706" s="368" t="s">
        <v>45</v>
      </c>
      <c r="C706" s="23" t="s">
        <v>251</v>
      </c>
      <c r="D706" s="10" t="s">
        <v>94</v>
      </c>
      <c r="E706" s="10" t="s">
        <v>71</v>
      </c>
      <c r="F706" s="498" t="s">
        <v>69</v>
      </c>
      <c r="G706" s="499" t="s">
        <v>36</v>
      </c>
      <c r="H706" s="499" t="s">
        <v>53</v>
      </c>
      <c r="I706" s="500" t="s">
        <v>384</v>
      </c>
      <c r="J706" s="10" t="s">
        <v>46</v>
      </c>
      <c r="K706" s="24">
        <v>729</v>
      </c>
      <c r="L706" s="24">
        <f>M706-K706</f>
        <v>0</v>
      </c>
      <c r="M706" s="24">
        <v>729</v>
      </c>
    </row>
    <row r="707" spans="1:15" s="74" customFormat="1" ht="18" customHeight="1" x14ac:dyDescent="0.35">
      <c r="A707" s="127"/>
      <c r="B707" s="362"/>
      <c r="C707" s="128"/>
      <c r="D707" s="70"/>
      <c r="E707" s="70"/>
      <c r="F707" s="70"/>
      <c r="G707" s="70"/>
      <c r="H707" s="70"/>
      <c r="I707" s="70"/>
      <c r="J707" s="70"/>
      <c r="K707" s="129"/>
      <c r="L707" s="129"/>
      <c r="M707" s="129"/>
    </row>
    <row r="708" spans="1:15" s="74" customFormat="1" ht="18" customHeight="1" x14ac:dyDescent="0.35">
      <c r="A708" s="127"/>
      <c r="B708" s="362"/>
      <c r="C708" s="128"/>
      <c r="D708" s="70"/>
      <c r="E708" s="70"/>
      <c r="F708" s="70"/>
      <c r="G708" s="70"/>
      <c r="H708" s="70"/>
      <c r="I708" s="70"/>
      <c r="J708" s="70"/>
      <c r="K708" s="129"/>
      <c r="L708" s="129"/>
      <c r="M708" s="129"/>
    </row>
    <row r="709" spans="1:15" s="43" customFormat="1" ht="18" customHeight="1" x14ac:dyDescent="0.35">
      <c r="A709" s="470" t="s">
        <v>313</v>
      </c>
      <c r="B709" s="44"/>
      <c r="C709" s="45"/>
      <c r="D709" s="45"/>
      <c r="E709" s="45"/>
      <c r="F709" s="37"/>
      <c r="G709" s="71"/>
      <c r="H709" s="100"/>
      <c r="O709" s="341"/>
    </row>
    <row r="710" spans="1:15" s="43" customFormat="1" ht="18" customHeight="1" x14ac:dyDescent="0.35">
      <c r="A710" s="470" t="s">
        <v>314</v>
      </c>
      <c r="B710" s="44"/>
      <c r="C710" s="45"/>
      <c r="D710" s="45"/>
      <c r="E710" s="45"/>
      <c r="F710" s="37"/>
      <c r="G710" s="71"/>
      <c r="H710" s="100"/>
      <c r="O710" s="341"/>
    </row>
    <row r="711" spans="1:15" s="43" customFormat="1" ht="18" customHeight="1" x14ac:dyDescent="0.35">
      <c r="A711" s="471" t="s">
        <v>315</v>
      </c>
      <c r="B711" s="44"/>
      <c r="E711" s="45"/>
      <c r="F711" s="37"/>
      <c r="K711" s="474"/>
      <c r="L711" s="474"/>
      <c r="M711" s="474" t="s">
        <v>322</v>
      </c>
    </row>
    <row r="712" spans="1:15" s="130" customFormat="1" ht="18" customHeight="1" x14ac:dyDescent="0.35">
      <c r="A712" s="471"/>
      <c r="B712" s="362"/>
      <c r="C712" s="128"/>
      <c r="D712" s="70"/>
      <c r="E712" s="70"/>
      <c r="F712" s="70"/>
      <c r="G712" s="70"/>
      <c r="H712" s="70"/>
      <c r="I712" s="70"/>
      <c r="J712" s="70"/>
      <c r="K712" s="129"/>
      <c r="L712" s="129"/>
      <c r="M712" s="129"/>
    </row>
    <row r="713" spans="1:15" s="130" customFormat="1" ht="18" customHeight="1" x14ac:dyDescent="0.35">
      <c r="A713" s="127"/>
      <c r="B713" s="362"/>
      <c r="C713" s="128"/>
      <c r="D713" s="70"/>
      <c r="E713" s="70"/>
      <c r="F713" s="70"/>
      <c r="G713" s="70"/>
      <c r="H713" s="70"/>
      <c r="I713" s="70"/>
      <c r="J713" s="70"/>
      <c r="K713" s="129"/>
      <c r="L713" s="129"/>
      <c r="M713" s="129"/>
    </row>
    <row r="714" spans="1:15" s="130" customFormat="1" ht="18" customHeight="1" x14ac:dyDescent="0.35">
      <c r="A714" s="127"/>
      <c r="B714" s="362"/>
      <c r="C714" s="128"/>
      <c r="D714" s="70"/>
      <c r="E714" s="70"/>
      <c r="F714" s="70"/>
      <c r="G714" s="70"/>
      <c r="H714" s="70"/>
      <c r="I714" s="70"/>
      <c r="J714" s="70"/>
      <c r="K714" s="129"/>
      <c r="L714" s="129"/>
      <c r="M714" s="129"/>
    </row>
    <row r="715" spans="1:15" s="130" customFormat="1" ht="18" hidden="1" customHeight="1" x14ac:dyDescent="0.35">
      <c r="A715" s="127"/>
      <c r="B715" s="362"/>
      <c r="C715" s="128"/>
      <c r="D715" s="28" t="s">
        <v>28</v>
      </c>
      <c r="E715" s="28" t="s">
        <v>30</v>
      </c>
      <c r="F715" s="29"/>
      <c r="G715" s="29"/>
      <c r="H715" s="29"/>
      <c r="I715" s="29"/>
      <c r="J715" s="29"/>
      <c r="K715" s="101">
        <f>K17</f>
        <v>2638.4</v>
      </c>
      <c r="L715" s="101">
        <f>L17</f>
        <v>0</v>
      </c>
      <c r="M715" s="101">
        <f>M17</f>
        <v>2638.4</v>
      </c>
      <c r="N715" s="131"/>
    </row>
    <row r="716" spans="1:15" s="130" customFormat="1" ht="18" hidden="1" customHeight="1" x14ac:dyDescent="0.35">
      <c r="A716" s="127"/>
      <c r="B716" s="362"/>
      <c r="C716" s="128"/>
      <c r="D716" s="28" t="s">
        <v>28</v>
      </c>
      <c r="E716" s="28" t="s">
        <v>42</v>
      </c>
      <c r="F716" s="29"/>
      <c r="G716" s="29"/>
      <c r="H716" s="29"/>
      <c r="I716" s="29"/>
      <c r="J716" s="29"/>
      <c r="K716" s="101">
        <f>K23</f>
        <v>84995.700000000012</v>
      </c>
      <c r="L716" s="101">
        <f>L23</f>
        <v>68.174000000000049</v>
      </c>
      <c r="M716" s="101">
        <f>M23</f>
        <v>85063.873999999996</v>
      </c>
      <c r="N716" s="131"/>
    </row>
    <row r="717" spans="1:15" s="130" customFormat="1" ht="18" hidden="1" customHeight="1" x14ac:dyDescent="0.35">
      <c r="A717" s="127"/>
      <c r="B717" s="362"/>
      <c r="C717" s="128"/>
      <c r="D717" s="28" t="s">
        <v>28</v>
      </c>
      <c r="E717" s="28" t="s">
        <v>55</v>
      </c>
      <c r="F717" s="29"/>
      <c r="G717" s="29"/>
      <c r="H717" s="29"/>
      <c r="I717" s="29"/>
      <c r="J717" s="29"/>
      <c r="K717" s="101">
        <f>K41</f>
        <v>8.6</v>
      </c>
      <c r="L717" s="101">
        <f>L41</f>
        <v>0</v>
      </c>
      <c r="M717" s="101">
        <f>M41</f>
        <v>8.6</v>
      </c>
      <c r="N717" s="131"/>
    </row>
    <row r="718" spans="1:15" s="130" customFormat="1" ht="18" hidden="1" customHeight="1" x14ac:dyDescent="0.35">
      <c r="A718" s="127"/>
      <c r="B718" s="362"/>
      <c r="C718" s="128"/>
      <c r="D718" s="28" t="s">
        <v>28</v>
      </c>
      <c r="E718" s="28" t="s">
        <v>71</v>
      </c>
      <c r="F718" s="29"/>
      <c r="G718" s="29"/>
      <c r="H718" s="29"/>
      <c r="I718" s="29"/>
      <c r="J718" s="29"/>
      <c r="K718" s="101">
        <f>K189+K229</f>
        <v>39427.300000000003</v>
      </c>
      <c r="L718" s="101">
        <f>L189+L229</f>
        <v>0</v>
      </c>
      <c r="M718" s="101">
        <f>M189+M229</f>
        <v>39427.300000000003</v>
      </c>
      <c r="N718" s="131"/>
    </row>
    <row r="719" spans="1:15" s="130" customFormat="1" ht="18" hidden="1" customHeight="1" x14ac:dyDescent="0.35">
      <c r="A719" s="127"/>
      <c r="B719" s="362"/>
      <c r="C719" s="128"/>
      <c r="D719" s="28" t="s">
        <v>28</v>
      </c>
      <c r="E719" s="28" t="s">
        <v>57</v>
      </c>
      <c r="F719" s="29"/>
      <c r="G719" s="29"/>
      <c r="H719" s="29"/>
      <c r="I719" s="29"/>
      <c r="J719" s="29"/>
      <c r="K719" s="101">
        <f>K47</f>
        <v>16726.999999999996</v>
      </c>
      <c r="L719" s="101">
        <f>L47</f>
        <v>4595.3999999999978</v>
      </c>
      <c r="M719" s="101">
        <f>M47</f>
        <v>21322.399999999994</v>
      </c>
      <c r="N719" s="131"/>
    </row>
    <row r="720" spans="1:15" s="130" customFormat="1" ht="18" hidden="1" customHeight="1" x14ac:dyDescent="0.35">
      <c r="A720" s="127"/>
      <c r="B720" s="362"/>
      <c r="C720" s="128"/>
      <c r="D720" s="28" t="s">
        <v>28</v>
      </c>
      <c r="E720" s="28" t="s">
        <v>61</v>
      </c>
      <c r="F720" s="29"/>
      <c r="G720" s="29"/>
      <c r="H720" s="29"/>
      <c r="I720" s="29"/>
      <c r="J720" s="29"/>
      <c r="K720" s="101">
        <f>K52+K200+K247+K641+K506+K585+K340</f>
        <v>107037.32525999998</v>
      </c>
      <c r="L720" s="101">
        <f>L52+L200+L247+L641+L506+L585+L340</f>
        <v>7783.3684699999994</v>
      </c>
      <c r="M720" s="101">
        <f>M52+M200+M247+M641+M506+M585+M340</f>
        <v>114820.69372999998</v>
      </c>
      <c r="N720" s="131"/>
    </row>
    <row r="721" spans="4:14" ht="18" hidden="1" customHeight="1" x14ac:dyDescent="0.35">
      <c r="D721" s="102" t="s">
        <v>28</v>
      </c>
      <c r="E721" s="102" t="s">
        <v>34</v>
      </c>
      <c r="F721" s="29"/>
      <c r="G721" s="29"/>
      <c r="H721" s="29"/>
      <c r="I721" s="29"/>
      <c r="J721" s="29"/>
      <c r="K721" s="103">
        <f t="shared" ref="K721:L721" si="262">SUBTOTAL(9,K715:K720)</f>
        <v>250834.32525999998</v>
      </c>
      <c r="L721" s="103">
        <f t="shared" si="262"/>
        <v>12446.942469999998</v>
      </c>
      <c r="M721" s="103">
        <f>SUBTOTAL(9,M715:M720)</f>
        <v>263281.26772999996</v>
      </c>
      <c r="N721" s="132"/>
    </row>
    <row r="722" spans="4:14" ht="18" hidden="1" customHeight="1" x14ac:dyDescent="0.35">
      <c r="D722" s="28"/>
      <c r="E722" s="28"/>
      <c r="F722" s="29"/>
      <c r="G722" s="29"/>
      <c r="H722" s="29"/>
      <c r="I722" s="29"/>
      <c r="J722" s="29"/>
      <c r="K722" s="101"/>
      <c r="L722" s="101"/>
      <c r="M722" s="101"/>
      <c r="N722" s="131"/>
    </row>
    <row r="723" spans="4:14" ht="18" hidden="1" customHeight="1" x14ac:dyDescent="0.35">
      <c r="D723" s="28" t="s">
        <v>53</v>
      </c>
      <c r="E723" s="28" t="s">
        <v>94</v>
      </c>
      <c r="F723" s="29"/>
      <c r="G723" s="29"/>
      <c r="H723" s="29"/>
      <c r="I723" s="29"/>
      <c r="J723" s="29"/>
      <c r="K723" s="101">
        <f>K83</f>
        <v>11528.300000000001</v>
      </c>
      <c r="L723" s="101">
        <f>L83</f>
        <v>3.3000000000000043</v>
      </c>
      <c r="M723" s="101">
        <f>M83</f>
        <v>11531.6</v>
      </c>
      <c r="N723" s="131"/>
    </row>
    <row r="724" spans="4:14" ht="18" hidden="1" customHeight="1" x14ac:dyDescent="0.35">
      <c r="D724" s="28" t="s">
        <v>53</v>
      </c>
      <c r="E724" s="28" t="s">
        <v>78</v>
      </c>
      <c r="F724" s="29"/>
      <c r="G724" s="29"/>
      <c r="H724" s="29"/>
      <c r="I724" s="29"/>
      <c r="J724" s="29"/>
      <c r="K724" s="101">
        <f>K95</f>
        <v>13694.2</v>
      </c>
      <c r="L724" s="101">
        <f>L95</f>
        <v>32.039130000000114</v>
      </c>
      <c r="M724" s="101">
        <f>M95</f>
        <v>13726.23913</v>
      </c>
      <c r="N724" s="131"/>
    </row>
    <row r="725" spans="4:14" ht="18" hidden="1" customHeight="1" x14ac:dyDescent="0.35">
      <c r="D725" s="102" t="s">
        <v>53</v>
      </c>
      <c r="E725" s="102" t="s">
        <v>34</v>
      </c>
      <c r="F725" s="29"/>
      <c r="G725" s="29"/>
      <c r="H725" s="29"/>
      <c r="I725" s="29"/>
      <c r="J725" s="29"/>
      <c r="K725" s="103">
        <f t="shared" ref="K725:L725" si="263">SUBTOTAL(9,K723:K724)</f>
        <v>25222.5</v>
      </c>
      <c r="L725" s="103">
        <f t="shared" si="263"/>
        <v>35.339130000000118</v>
      </c>
      <c r="M725" s="103">
        <f>SUBTOTAL(9,M723:M724)</f>
        <v>25257.83913</v>
      </c>
      <c r="N725" s="132"/>
    </row>
    <row r="726" spans="4:14" ht="18" hidden="1" customHeight="1" x14ac:dyDescent="0.35">
      <c r="D726" s="28"/>
      <c r="E726" s="28"/>
      <c r="F726" s="29"/>
      <c r="G726" s="29"/>
      <c r="H726" s="29"/>
      <c r="I726" s="29"/>
      <c r="J726" s="29"/>
      <c r="K726" s="101"/>
      <c r="L726" s="101"/>
      <c r="M726" s="101"/>
      <c r="N726" s="131"/>
    </row>
    <row r="727" spans="4:14" ht="18" hidden="1" customHeight="1" x14ac:dyDescent="0.35">
      <c r="D727" s="28" t="s">
        <v>42</v>
      </c>
      <c r="E727" s="28" t="s">
        <v>55</v>
      </c>
      <c r="F727" s="29"/>
      <c r="G727" s="29"/>
      <c r="H727" s="29"/>
      <c r="I727" s="29"/>
      <c r="J727" s="29"/>
      <c r="K727" s="101">
        <f>K117</f>
        <v>24038.799999999999</v>
      </c>
      <c r="L727" s="101">
        <f>L117</f>
        <v>0</v>
      </c>
      <c r="M727" s="101">
        <f>M117</f>
        <v>24038.799999999999</v>
      </c>
      <c r="N727" s="131"/>
    </row>
    <row r="728" spans="4:14" ht="18" hidden="1" customHeight="1" x14ac:dyDescent="0.35">
      <c r="D728" s="28" t="s">
        <v>42</v>
      </c>
      <c r="E728" s="28" t="s">
        <v>69</v>
      </c>
      <c r="F728" s="29"/>
      <c r="G728" s="29"/>
      <c r="H728" s="29"/>
      <c r="I728" s="29"/>
      <c r="J728" s="29"/>
      <c r="K728" s="101">
        <f>K126</f>
        <v>6844.9</v>
      </c>
      <c r="L728" s="101">
        <f>L126</f>
        <v>0</v>
      </c>
      <c r="M728" s="101">
        <f>M126</f>
        <v>6844.9</v>
      </c>
      <c r="N728" s="131"/>
    </row>
    <row r="729" spans="4:14" ht="18" hidden="1" customHeight="1" x14ac:dyDescent="0.35">
      <c r="D729" s="28" t="s">
        <v>42</v>
      </c>
      <c r="E729" s="28" t="s">
        <v>90</v>
      </c>
      <c r="F729" s="29"/>
      <c r="G729" s="29"/>
      <c r="H729" s="29"/>
      <c r="I729" s="29"/>
      <c r="J729" s="29"/>
      <c r="K729" s="101">
        <f>K132+K291</f>
        <v>3517.8999999999996</v>
      </c>
      <c r="L729" s="101">
        <f>L132+L291</f>
        <v>11.2</v>
      </c>
      <c r="M729" s="101">
        <f>M132+M291</f>
        <v>3529.1</v>
      </c>
      <c r="N729" s="131"/>
    </row>
    <row r="730" spans="4:14" ht="18" hidden="1" customHeight="1" x14ac:dyDescent="0.35">
      <c r="D730" s="102" t="s">
        <v>42</v>
      </c>
      <c r="E730" s="102" t="s">
        <v>34</v>
      </c>
      <c r="F730" s="29"/>
      <c r="G730" s="29"/>
      <c r="H730" s="29"/>
      <c r="I730" s="29"/>
      <c r="J730" s="29"/>
      <c r="K730" s="103">
        <f t="shared" ref="K730:L730" si="264">SUBTOTAL(9,K727:K729)</f>
        <v>34401.599999999999</v>
      </c>
      <c r="L730" s="103">
        <f t="shared" si="264"/>
        <v>11.2</v>
      </c>
      <c r="M730" s="103">
        <f>SUBTOTAL(9,M727:M729)</f>
        <v>34412.799999999996</v>
      </c>
      <c r="N730" s="132"/>
    </row>
    <row r="731" spans="4:14" ht="18" hidden="1" customHeight="1" x14ac:dyDescent="0.35">
      <c r="D731" s="28"/>
      <c r="E731" s="28"/>
      <c r="F731" s="29"/>
      <c r="G731" s="29"/>
      <c r="H731" s="29"/>
      <c r="I731" s="29"/>
      <c r="J731" s="29"/>
      <c r="K731" s="101"/>
      <c r="L731" s="101"/>
      <c r="M731" s="101"/>
      <c r="N731" s="131"/>
    </row>
    <row r="732" spans="4:14" ht="18" hidden="1" customHeight="1" x14ac:dyDescent="0.35">
      <c r="D732" s="28" t="s">
        <v>55</v>
      </c>
      <c r="E732" s="28" t="s">
        <v>28</v>
      </c>
      <c r="F732" s="29"/>
      <c r="G732" s="29"/>
      <c r="H732" s="29"/>
      <c r="I732" s="29"/>
      <c r="J732" s="29"/>
      <c r="K732" s="101"/>
      <c r="L732" s="101"/>
      <c r="M732" s="101"/>
      <c r="N732" s="131"/>
    </row>
    <row r="733" spans="4:14" ht="18" hidden="1" customHeight="1" x14ac:dyDescent="0.35">
      <c r="D733" s="28" t="s">
        <v>55</v>
      </c>
      <c r="E733" s="28" t="s">
        <v>30</v>
      </c>
      <c r="F733" s="29"/>
      <c r="G733" s="29"/>
      <c r="H733" s="29"/>
      <c r="I733" s="29"/>
      <c r="J733" s="29"/>
      <c r="K733" s="101">
        <f>K302</f>
        <v>97055</v>
      </c>
      <c r="L733" s="101">
        <f>L302</f>
        <v>0</v>
      </c>
      <c r="M733" s="101">
        <f>M302</f>
        <v>97055</v>
      </c>
      <c r="N733" s="131"/>
    </row>
    <row r="734" spans="4:14" ht="18" hidden="1" customHeight="1" x14ac:dyDescent="0.35">
      <c r="D734" s="28" t="s">
        <v>55</v>
      </c>
      <c r="E734" s="28" t="s">
        <v>55</v>
      </c>
      <c r="F734" s="29"/>
      <c r="G734" s="29"/>
      <c r="H734" s="29"/>
      <c r="I734" s="29"/>
      <c r="J734" s="29"/>
      <c r="K734" s="101"/>
      <c r="L734" s="101"/>
      <c r="M734" s="101"/>
      <c r="N734" s="131"/>
    </row>
    <row r="735" spans="4:14" ht="18" hidden="1" customHeight="1" x14ac:dyDescent="0.35">
      <c r="D735" s="28" t="s">
        <v>55</v>
      </c>
      <c r="E735" s="28" t="s">
        <v>53</v>
      </c>
      <c r="F735" s="29"/>
      <c r="G735" s="29"/>
      <c r="H735" s="29"/>
      <c r="I735" s="29"/>
      <c r="J735" s="29"/>
      <c r="K735" s="101">
        <f>K153</f>
        <v>6131.1</v>
      </c>
      <c r="L735" s="101">
        <f>L153</f>
        <v>0</v>
      </c>
      <c r="M735" s="101">
        <f>M153</f>
        <v>6131.1</v>
      </c>
      <c r="N735" s="131"/>
    </row>
    <row r="736" spans="4:14" ht="18" hidden="1" customHeight="1" x14ac:dyDescent="0.35">
      <c r="D736" s="102" t="s">
        <v>55</v>
      </c>
      <c r="E736" s="102" t="s">
        <v>34</v>
      </c>
      <c r="F736" s="29"/>
      <c r="G736" s="29"/>
      <c r="H736" s="29"/>
      <c r="I736" s="29"/>
      <c r="J736" s="29"/>
      <c r="K736" s="103">
        <f t="shared" ref="K736:L736" si="265">SUBTOTAL(9,K732:K735)</f>
        <v>103186.1</v>
      </c>
      <c r="L736" s="103">
        <f t="shared" si="265"/>
        <v>0</v>
      </c>
      <c r="M736" s="103">
        <f>SUBTOTAL(9,M732:M735)</f>
        <v>103186.1</v>
      </c>
      <c r="N736" s="132"/>
    </row>
    <row r="737" spans="4:14" ht="18" hidden="1" customHeight="1" x14ac:dyDescent="0.35">
      <c r="D737" s="28"/>
      <c r="E737" s="28"/>
      <c r="F737" s="29"/>
      <c r="G737" s="29"/>
      <c r="H737" s="29"/>
      <c r="I737" s="29"/>
      <c r="J737" s="29"/>
      <c r="K737" s="101"/>
      <c r="L737" s="101"/>
      <c r="M737" s="101"/>
      <c r="N737" s="131"/>
    </row>
    <row r="738" spans="4:14" ht="18" hidden="1" customHeight="1" x14ac:dyDescent="0.35">
      <c r="D738" s="28" t="s">
        <v>188</v>
      </c>
      <c r="E738" s="28" t="s">
        <v>28</v>
      </c>
      <c r="F738" s="29"/>
      <c r="G738" s="29"/>
      <c r="H738" s="29"/>
      <c r="I738" s="29"/>
      <c r="J738" s="29"/>
      <c r="K738" s="101">
        <f>K356</f>
        <v>431734.2</v>
      </c>
      <c r="L738" s="101">
        <f>L356</f>
        <v>1469.6000000000004</v>
      </c>
      <c r="M738" s="101">
        <f>M356</f>
        <v>433203.8</v>
      </c>
      <c r="N738" s="131"/>
    </row>
    <row r="739" spans="4:14" ht="18" hidden="1" customHeight="1" x14ac:dyDescent="0.35">
      <c r="D739" s="28" t="s">
        <v>188</v>
      </c>
      <c r="E739" s="28" t="s">
        <v>30</v>
      </c>
      <c r="F739" s="29"/>
      <c r="G739" s="29"/>
      <c r="H739" s="29"/>
      <c r="I739" s="29"/>
      <c r="J739" s="29"/>
      <c r="K739" s="101">
        <f>K309+K377</f>
        <v>829222.40000000002</v>
      </c>
      <c r="L739" s="101">
        <f>L309+L377</f>
        <v>29688.120429999995</v>
      </c>
      <c r="M739" s="101">
        <f>M309+M377</f>
        <v>858910.52042999992</v>
      </c>
      <c r="N739" s="131"/>
    </row>
    <row r="740" spans="4:14" ht="18" hidden="1" customHeight="1" x14ac:dyDescent="0.35">
      <c r="D740" s="28" t="s">
        <v>188</v>
      </c>
      <c r="E740" s="28" t="s">
        <v>53</v>
      </c>
      <c r="F740" s="29"/>
      <c r="G740" s="29"/>
      <c r="H740" s="29"/>
      <c r="I740" s="29"/>
      <c r="J740" s="29"/>
      <c r="K740" s="101">
        <f>K430+K516</f>
        <v>148513.79999999999</v>
      </c>
      <c r="L740" s="101">
        <f>L430+L516</f>
        <v>1153.5999999999942</v>
      </c>
      <c r="M740" s="101">
        <f>M430+M516</f>
        <v>149667.39999999997</v>
      </c>
      <c r="N740" s="131"/>
    </row>
    <row r="741" spans="4:14" ht="18" hidden="1" customHeight="1" x14ac:dyDescent="0.35">
      <c r="D741" s="28" t="s">
        <v>188</v>
      </c>
      <c r="E741" s="28" t="s">
        <v>55</v>
      </c>
      <c r="F741" s="29"/>
      <c r="G741" s="29"/>
      <c r="H741" s="29"/>
      <c r="I741" s="29"/>
      <c r="J741" s="29"/>
      <c r="K741" s="101">
        <f>K160+K213+K315+K239+K450</f>
        <v>265.5</v>
      </c>
      <c r="L741" s="101">
        <f>L160+L213+L315+L239+L450</f>
        <v>0</v>
      </c>
      <c r="M741" s="101">
        <f>M160+M213+M315+M239+M450</f>
        <v>265.5</v>
      </c>
      <c r="N741" s="131"/>
    </row>
    <row r="742" spans="4:14" ht="18" hidden="1" customHeight="1" x14ac:dyDescent="0.35">
      <c r="D742" s="28" t="s">
        <v>188</v>
      </c>
      <c r="E742" s="28" t="s">
        <v>188</v>
      </c>
      <c r="F742" s="29"/>
      <c r="G742" s="29"/>
      <c r="H742" s="29"/>
      <c r="I742" s="29"/>
      <c r="J742" s="29"/>
      <c r="K742" s="101">
        <f t="shared" ref="K742:L742" si="266">K657</f>
        <v>5362.4</v>
      </c>
      <c r="L742" s="101">
        <f t="shared" si="266"/>
        <v>0</v>
      </c>
      <c r="M742" s="101">
        <f>M657</f>
        <v>5362.4</v>
      </c>
      <c r="N742" s="131"/>
    </row>
    <row r="743" spans="4:14" ht="18" hidden="1" customHeight="1" x14ac:dyDescent="0.35">
      <c r="D743" s="28" t="s">
        <v>188</v>
      </c>
      <c r="E743" s="28" t="s">
        <v>69</v>
      </c>
      <c r="F743" s="29"/>
      <c r="G743" s="29"/>
      <c r="H743" s="29"/>
      <c r="I743" s="29"/>
      <c r="J743" s="29"/>
      <c r="K743" s="101">
        <f>K456+K528+K667</f>
        <v>102212.50000000001</v>
      </c>
      <c r="L743" s="101">
        <f>L456+L528+L667</f>
        <v>0</v>
      </c>
      <c r="M743" s="101">
        <f>M456+M528+M667</f>
        <v>102212.50000000001</v>
      </c>
      <c r="N743" s="131"/>
    </row>
    <row r="744" spans="4:14" ht="18" hidden="1" customHeight="1" x14ac:dyDescent="0.35">
      <c r="D744" s="102" t="s">
        <v>188</v>
      </c>
      <c r="E744" s="102" t="s">
        <v>34</v>
      </c>
      <c r="F744" s="29"/>
      <c r="G744" s="29"/>
      <c r="H744" s="29"/>
      <c r="I744" s="29"/>
      <c r="J744" s="29"/>
      <c r="K744" s="103">
        <f t="shared" ref="K744:L744" si="267">SUBTOTAL(9,K738:K743)</f>
        <v>1517310.8</v>
      </c>
      <c r="L744" s="103">
        <f t="shared" si="267"/>
        <v>32311.320429999989</v>
      </c>
      <c r="M744" s="103">
        <f>SUBTOTAL(9,M738:M743)</f>
        <v>1549622.1204299997</v>
      </c>
      <c r="N744" s="132"/>
    </row>
    <row r="745" spans="4:14" ht="18" hidden="1" customHeight="1" x14ac:dyDescent="0.35">
      <c r="D745" s="28"/>
      <c r="E745" s="28"/>
      <c r="F745" s="29"/>
      <c r="G745" s="29"/>
      <c r="H745" s="29"/>
      <c r="I745" s="29"/>
      <c r="J745" s="29"/>
      <c r="K745" s="101"/>
      <c r="L745" s="101"/>
      <c r="M745" s="101"/>
      <c r="N745" s="131"/>
    </row>
    <row r="746" spans="4:14" ht="18" hidden="1" customHeight="1" x14ac:dyDescent="0.35">
      <c r="D746" s="28" t="s">
        <v>190</v>
      </c>
      <c r="E746" s="28" t="s">
        <v>28</v>
      </c>
      <c r="F746" s="29"/>
      <c r="G746" s="29"/>
      <c r="H746" s="29"/>
      <c r="I746" s="29"/>
      <c r="J746" s="29"/>
      <c r="K746" s="101">
        <f t="shared" ref="K746:L746" si="268">K538</f>
        <v>35815.900000000009</v>
      </c>
      <c r="L746" s="101">
        <f t="shared" si="268"/>
        <v>616.20000000000005</v>
      </c>
      <c r="M746" s="101">
        <f>M538</f>
        <v>36432.100000000006</v>
      </c>
      <c r="N746" s="131"/>
    </row>
    <row r="747" spans="4:14" ht="18" hidden="1" customHeight="1" x14ac:dyDescent="0.35">
      <c r="D747" s="28" t="s">
        <v>190</v>
      </c>
      <c r="E747" s="28" t="s">
        <v>42</v>
      </c>
      <c r="F747" s="29"/>
      <c r="G747" s="29"/>
      <c r="H747" s="29"/>
      <c r="I747" s="29"/>
      <c r="J747" s="29"/>
      <c r="K747" s="101">
        <f t="shared" ref="K747:L747" si="269">K566</f>
        <v>12772.2</v>
      </c>
      <c r="L747" s="101">
        <f t="shared" si="269"/>
        <v>906.8</v>
      </c>
      <c r="M747" s="101">
        <f>M566</f>
        <v>13679</v>
      </c>
      <c r="N747" s="131"/>
    </row>
    <row r="748" spans="4:14" ht="18" hidden="1" customHeight="1" x14ac:dyDescent="0.35">
      <c r="D748" s="102" t="s">
        <v>190</v>
      </c>
      <c r="E748" s="102" t="s">
        <v>34</v>
      </c>
      <c r="F748" s="29"/>
      <c r="G748" s="29"/>
      <c r="H748" s="29"/>
      <c r="I748" s="29"/>
      <c r="J748" s="29"/>
      <c r="K748" s="103">
        <f t="shared" ref="K748:L748" si="270">SUBTOTAL(9,K746:K747)</f>
        <v>48588.100000000006</v>
      </c>
      <c r="L748" s="103">
        <f t="shared" si="270"/>
        <v>1523</v>
      </c>
      <c r="M748" s="103">
        <f>SUBTOTAL(9,M746:M747)</f>
        <v>50111.100000000006</v>
      </c>
      <c r="N748" s="132"/>
    </row>
    <row r="749" spans="4:14" ht="18" hidden="1" customHeight="1" x14ac:dyDescent="0.35">
      <c r="D749" s="28"/>
      <c r="E749" s="28"/>
      <c r="F749" s="29"/>
      <c r="G749" s="29"/>
      <c r="H749" s="29"/>
      <c r="I749" s="29"/>
      <c r="J749" s="29"/>
      <c r="K749" s="101"/>
      <c r="L749" s="101"/>
      <c r="M749" s="101"/>
      <c r="N749" s="131"/>
    </row>
    <row r="750" spans="4:14" ht="18" hidden="1" customHeight="1" x14ac:dyDescent="0.35">
      <c r="D750" s="28" t="s">
        <v>94</v>
      </c>
      <c r="E750" s="28" t="s">
        <v>28</v>
      </c>
      <c r="F750" s="29"/>
      <c r="G750" s="29"/>
      <c r="H750" s="29"/>
      <c r="I750" s="29"/>
      <c r="J750" s="29"/>
      <c r="K750" s="101">
        <f>K167</f>
        <v>1800</v>
      </c>
      <c r="L750" s="101">
        <f>L167</f>
        <v>0</v>
      </c>
      <c r="M750" s="101">
        <f>M167</f>
        <v>1800</v>
      </c>
      <c r="N750" s="131"/>
    </row>
    <row r="751" spans="4:14" ht="18" hidden="1" customHeight="1" x14ac:dyDescent="0.35">
      <c r="D751" s="28" t="s">
        <v>94</v>
      </c>
      <c r="E751" s="28" t="s">
        <v>53</v>
      </c>
      <c r="F751" s="29"/>
      <c r="G751" s="29"/>
      <c r="H751" s="29"/>
      <c r="I751" s="29"/>
      <c r="J751" s="29"/>
      <c r="K751" s="101"/>
      <c r="L751" s="101"/>
      <c r="M751" s="101"/>
      <c r="N751" s="131"/>
    </row>
    <row r="752" spans="4:14" ht="18" hidden="1" customHeight="1" x14ac:dyDescent="0.35">
      <c r="D752" s="28" t="s">
        <v>94</v>
      </c>
      <c r="E752" s="28" t="s">
        <v>42</v>
      </c>
      <c r="F752" s="29"/>
      <c r="G752" s="29"/>
      <c r="H752" s="29"/>
      <c r="I752" s="29"/>
      <c r="J752" s="29"/>
      <c r="K752" s="101">
        <f>K322+K485+K678</f>
        <v>134854.97473999998</v>
      </c>
      <c r="L752" s="101">
        <f>L322+L485+L678</f>
        <v>0</v>
      </c>
      <c r="M752" s="101">
        <f>M322+M485+M678</f>
        <v>134854.97473999998</v>
      </c>
      <c r="N752" s="131"/>
    </row>
    <row r="753" spans="4:14" ht="18" hidden="1" customHeight="1" x14ac:dyDescent="0.35">
      <c r="D753" s="28" t="s">
        <v>94</v>
      </c>
      <c r="E753" s="28" t="s">
        <v>71</v>
      </c>
      <c r="F753" s="29"/>
      <c r="G753" s="29"/>
      <c r="H753" s="29"/>
      <c r="I753" s="29"/>
      <c r="J753" s="29"/>
      <c r="K753" s="101">
        <f>K173+K694</f>
        <v>10335.5</v>
      </c>
      <c r="L753" s="101">
        <f>L173+L694</f>
        <v>1999.9999999999998</v>
      </c>
      <c r="M753" s="101">
        <f>M173+M694</f>
        <v>12335.5</v>
      </c>
      <c r="N753" s="131"/>
    </row>
    <row r="754" spans="4:14" ht="18" hidden="1" customHeight="1" x14ac:dyDescent="0.35">
      <c r="D754" s="102" t="s">
        <v>94</v>
      </c>
      <c r="E754" s="102" t="s">
        <v>34</v>
      </c>
      <c r="F754" s="29"/>
      <c r="G754" s="29"/>
      <c r="H754" s="29"/>
      <c r="I754" s="29"/>
      <c r="J754" s="29"/>
      <c r="K754" s="103">
        <f t="shared" ref="K754:L754" si="271">SUBTOTAL(9,K750:K753)</f>
        <v>146990.47473999998</v>
      </c>
      <c r="L754" s="103">
        <f t="shared" si="271"/>
        <v>1999.9999999999998</v>
      </c>
      <c r="M754" s="103">
        <f>SUBTOTAL(9,M750:M753)</f>
        <v>148990.47473999998</v>
      </c>
      <c r="N754" s="132"/>
    </row>
    <row r="755" spans="4:14" ht="18" hidden="1" customHeight="1" x14ac:dyDescent="0.35">
      <c r="D755" s="28"/>
      <c r="E755" s="28"/>
      <c r="F755" s="29"/>
      <c r="G755" s="29"/>
      <c r="H755" s="29"/>
      <c r="I755" s="29"/>
      <c r="J755" s="29"/>
      <c r="K755" s="101"/>
      <c r="L755" s="101"/>
      <c r="M755" s="101"/>
      <c r="N755" s="131"/>
    </row>
    <row r="756" spans="4:14" ht="18" hidden="1" customHeight="1" x14ac:dyDescent="0.35">
      <c r="D756" s="28" t="s">
        <v>57</v>
      </c>
      <c r="E756" s="28" t="s">
        <v>28</v>
      </c>
      <c r="F756" s="29"/>
      <c r="G756" s="29"/>
      <c r="H756" s="29"/>
      <c r="I756" s="29"/>
      <c r="J756" s="29"/>
      <c r="K756" s="101">
        <f>K592+K331</f>
        <v>32200.2</v>
      </c>
      <c r="L756" s="101">
        <f>L592+L331</f>
        <v>0</v>
      </c>
      <c r="M756" s="101">
        <f>M592+M331</f>
        <v>32200.2</v>
      </c>
      <c r="N756" s="131"/>
    </row>
    <row r="757" spans="4:14" ht="18" hidden="1" customHeight="1" x14ac:dyDescent="0.35">
      <c r="D757" s="28" t="s">
        <v>57</v>
      </c>
      <c r="E757" s="28" t="s">
        <v>30</v>
      </c>
      <c r="F757" s="29"/>
      <c r="G757" s="29"/>
      <c r="H757" s="29"/>
      <c r="I757" s="29"/>
      <c r="J757" s="29"/>
      <c r="K757" s="101">
        <f t="shared" ref="K757:L757" si="272">K602</f>
        <v>30762.1</v>
      </c>
      <c r="L757" s="101">
        <f t="shared" si="272"/>
        <v>0</v>
      </c>
      <c r="M757" s="101">
        <f>M602</f>
        <v>30762.1</v>
      </c>
      <c r="N757" s="131"/>
    </row>
    <row r="758" spans="4:14" ht="18" hidden="1" customHeight="1" x14ac:dyDescent="0.35">
      <c r="D758" s="28" t="s">
        <v>57</v>
      </c>
      <c r="E758" s="28" t="s">
        <v>53</v>
      </c>
      <c r="F758" s="29"/>
      <c r="G758" s="29"/>
      <c r="H758" s="29"/>
      <c r="I758" s="29"/>
      <c r="J758" s="29"/>
      <c r="K758" s="101">
        <f>K612+K493</f>
        <v>72383.399999999994</v>
      </c>
      <c r="L758" s="101">
        <f>L612+L493</f>
        <v>0</v>
      </c>
      <c r="M758" s="101">
        <f>M612+M493</f>
        <v>72383.399999999994</v>
      </c>
      <c r="N758" s="131"/>
    </row>
    <row r="759" spans="4:14" ht="18" hidden="1" customHeight="1" x14ac:dyDescent="0.35">
      <c r="D759" s="28" t="s">
        <v>57</v>
      </c>
      <c r="E759" s="28" t="s">
        <v>55</v>
      </c>
      <c r="F759" s="29"/>
      <c r="G759" s="29"/>
      <c r="H759" s="29"/>
      <c r="I759" s="29"/>
      <c r="J759" s="29"/>
      <c r="K759" s="101">
        <f t="shared" ref="K759:L759" si="273">K630</f>
        <v>3088.7000000000003</v>
      </c>
      <c r="L759" s="101">
        <f t="shared" si="273"/>
        <v>0</v>
      </c>
      <c r="M759" s="101">
        <f>M630</f>
        <v>3088.7000000000003</v>
      </c>
      <c r="N759" s="131"/>
    </row>
    <row r="760" spans="4:14" ht="18" hidden="1" customHeight="1" x14ac:dyDescent="0.35">
      <c r="D760" s="102" t="s">
        <v>57</v>
      </c>
      <c r="E760" s="102" t="s">
        <v>34</v>
      </c>
      <c r="F760" s="29"/>
      <c r="G760" s="29"/>
      <c r="H760" s="29"/>
      <c r="I760" s="29"/>
      <c r="J760" s="29"/>
      <c r="K760" s="103">
        <f t="shared" ref="K760:L760" si="274">SUBTOTAL(9,K756:K759)</f>
        <v>138434.40000000002</v>
      </c>
      <c r="L760" s="103">
        <f t="shared" si="274"/>
        <v>0</v>
      </c>
      <c r="M760" s="103">
        <f>SUBTOTAL(9,M756:M759)</f>
        <v>138434.40000000002</v>
      </c>
      <c r="N760" s="132"/>
    </row>
    <row r="761" spans="4:14" ht="18" hidden="1" customHeight="1" x14ac:dyDescent="0.35">
      <c r="D761" s="28"/>
      <c r="E761" s="28"/>
      <c r="F761" s="29"/>
      <c r="G761" s="29"/>
      <c r="H761" s="29"/>
      <c r="I761" s="29"/>
      <c r="J761" s="29"/>
      <c r="K761" s="101"/>
      <c r="L761" s="101"/>
      <c r="M761" s="101"/>
      <c r="N761" s="131"/>
    </row>
    <row r="762" spans="4:14" ht="18" hidden="1" customHeight="1" x14ac:dyDescent="0.35">
      <c r="D762" s="28" t="s">
        <v>61</v>
      </c>
      <c r="E762" s="28" t="s">
        <v>28</v>
      </c>
      <c r="F762" s="29"/>
      <c r="G762" s="29"/>
      <c r="H762" s="29"/>
      <c r="I762" s="29"/>
      <c r="J762" s="29"/>
      <c r="K762" s="101">
        <f>K179</f>
        <v>36</v>
      </c>
      <c r="L762" s="101">
        <f>L179</f>
        <v>0</v>
      </c>
      <c r="M762" s="101">
        <f>M179</f>
        <v>36</v>
      </c>
      <c r="N762" s="131"/>
    </row>
    <row r="763" spans="4:14" ht="18" hidden="1" customHeight="1" x14ac:dyDescent="0.35">
      <c r="D763" s="102" t="s">
        <v>61</v>
      </c>
      <c r="E763" s="102" t="s">
        <v>34</v>
      </c>
      <c r="F763" s="29"/>
      <c r="G763" s="29"/>
      <c r="H763" s="29"/>
      <c r="I763" s="29"/>
      <c r="J763" s="29"/>
      <c r="K763" s="103">
        <f t="shared" ref="K763:L763" si="275">K762</f>
        <v>36</v>
      </c>
      <c r="L763" s="103">
        <f t="shared" si="275"/>
        <v>0</v>
      </c>
      <c r="M763" s="103">
        <f>M762</f>
        <v>36</v>
      </c>
      <c r="N763" s="132"/>
    </row>
    <row r="764" spans="4:14" ht="18" hidden="1" customHeight="1" x14ac:dyDescent="0.35">
      <c r="D764" s="28"/>
      <c r="E764" s="28"/>
      <c r="F764" s="29"/>
      <c r="G764" s="29"/>
      <c r="H764" s="29"/>
      <c r="I764" s="29"/>
      <c r="J764" s="29"/>
      <c r="K764" s="101"/>
      <c r="L764" s="101"/>
      <c r="M764" s="101"/>
      <c r="N764" s="131"/>
    </row>
    <row r="765" spans="4:14" ht="18" hidden="1" customHeight="1" x14ac:dyDescent="0.35">
      <c r="D765" s="28" t="s">
        <v>78</v>
      </c>
      <c r="E765" s="28" t="s">
        <v>28</v>
      </c>
      <c r="F765" s="29"/>
      <c r="G765" s="29"/>
      <c r="H765" s="29"/>
      <c r="I765" s="29"/>
      <c r="J765" s="29"/>
      <c r="K765" s="101">
        <f>K220</f>
        <v>9000</v>
      </c>
      <c r="L765" s="101">
        <f>L220</f>
        <v>0</v>
      </c>
      <c r="M765" s="101">
        <f>M220</f>
        <v>9000</v>
      </c>
      <c r="N765" s="131"/>
    </row>
    <row r="766" spans="4:14" ht="18" hidden="1" customHeight="1" x14ac:dyDescent="0.35">
      <c r="D766" s="28" t="s">
        <v>78</v>
      </c>
      <c r="E766" s="28" t="s">
        <v>30</v>
      </c>
      <c r="F766" s="29"/>
      <c r="G766" s="29"/>
      <c r="H766" s="29"/>
      <c r="I766" s="29"/>
      <c r="J766" s="29"/>
      <c r="K766" s="101"/>
      <c r="L766" s="101"/>
      <c r="M766" s="101"/>
      <c r="N766" s="131"/>
    </row>
    <row r="767" spans="4:14" ht="18" hidden="1" customHeight="1" x14ac:dyDescent="0.35">
      <c r="D767" s="28" t="s">
        <v>78</v>
      </c>
      <c r="E767" s="28" t="s">
        <v>53</v>
      </c>
      <c r="F767" s="29"/>
      <c r="G767" s="29"/>
      <c r="H767" s="29"/>
      <c r="I767" s="29"/>
      <c r="J767" s="29"/>
      <c r="K767" s="101"/>
      <c r="L767" s="101"/>
      <c r="M767" s="101"/>
      <c r="N767" s="131"/>
    </row>
    <row r="768" spans="4:14" ht="18" hidden="1" customHeight="1" x14ac:dyDescent="0.35">
      <c r="D768" s="102" t="s">
        <v>78</v>
      </c>
      <c r="E768" s="102" t="s">
        <v>34</v>
      </c>
      <c r="F768" s="29"/>
      <c r="G768" s="29"/>
      <c r="H768" s="29"/>
      <c r="I768" s="29"/>
      <c r="J768" s="29"/>
      <c r="K768" s="103">
        <f t="shared" ref="K768:L768" si="276">SUBTOTAL(9,K765:K767)</f>
        <v>9000</v>
      </c>
      <c r="L768" s="103">
        <f t="shared" si="276"/>
        <v>0</v>
      </c>
      <c r="M768" s="103">
        <f>SUBTOTAL(9,M765:M767)</f>
        <v>9000</v>
      </c>
      <c r="N768" s="132"/>
    </row>
    <row r="769" spans="2:14" ht="18" hidden="1" customHeight="1" x14ac:dyDescent="0.35">
      <c r="D769" s="40"/>
      <c r="E769" s="28"/>
      <c r="F769" s="29"/>
      <c r="G769" s="29"/>
      <c r="H769" s="29"/>
      <c r="I769" s="29"/>
      <c r="J769" s="29"/>
      <c r="K769" s="342">
        <f t="shared" ref="K769:L769" si="277">K721+K725+K730+K736+K744+K748+K754+K760+K763+K768</f>
        <v>2274004.2999999998</v>
      </c>
      <c r="L769" s="342">
        <f t="shared" si="277"/>
        <v>48327.802029999992</v>
      </c>
      <c r="M769" s="342">
        <f>M721+M725+M730+M736+M744+M748+M754+M760+M763+M768</f>
        <v>2322332.1020299997</v>
      </c>
      <c r="N769" s="42"/>
    </row>
    <row r="770" spans="2:14" ht="18" hidden="1" customHeight="1" x14ac:dyDescent="0.35">
      <c r="D770" s="41"/>
      <c r="E770" s="41"/>
      <c r="F770" s="33"/>
      <c r="G770" s="33"/>
      <c r="H770" s="33"/>
      <c r="I770" s="33"/>
      <c r="J770" s="33"/>
      <c r="K770" s="343"/>
      <c r="L770" s="343"/>
      <c r="M770" s="343"/>
      <c r="N770" s="42"/>
    </row>
    <row r="771" spans="2:14" ht="18" hidden="1" customHeight="1" x14ac:dyDescent="0.35">
      <c r="B771" s="360" t="s">
        <v>307</v>
      </c>
      <c r="D771" s="41"/>
      <c r="E771" s="41"/>
      <c r="F771" s="33"/>
      <c r="G771" s="33"/>
      <c r="H771" s="33"/>
      <c r="I771" s="33"/>
      <c r="J771" s="33"/>
      <c r="K771" s="343"/>
      <c r="L771" s="343"/>
      <c r="M771" s="343"/>
      <c r="N771" s="42"/>
    </row>
    <row r="772" spans="2:14" ht="18" hidden="1" customHeight="1" x14ac:dyDescent="0.35">
      <c r="B772" s="360" t="s">
        <v>306</v>
      </c>
      <c r="D772" s="41"/>
      <c r="E772" s="41"/>
      <c r="F772" s="33"/>
      <c r="G772" s="33"/>
      <c r="H772" s="33"/>
      <c r="I772" s="33"/>
      <c r="J772" s="33"/>
      <c r="K772" s="343"/>
      <c r="L772" s="343"/>
      <c r="M772" s="343"/>
      <c r="N772" s="42"/>
    </row>
    <row r="773" spans="2:14" ht="18" customHeight="1" x14ac:dyDescent="0.35">
      <c r="D773" s="41"/>
      <c r="E773" s="41"/>
      <c r="F773" s="33"/>
      <c r="G773" s="33"/>
      <c r="H773" s="33"/>
      <c r="I773" s="33"/>
      <c r="J773" s="33"/>
      <c r="K773" s="344"/>
      <c r="L773" s="344"/>
      <c r="M773" s="344"/>
      <c r="N773" s="42"/>
    </row>
    <row r="774" spans="2:14" ht="18" customHeight="1" x14ac:dyDescent="0.35">
      <c r="D774" s="41"/>
      <c r="E774" s="41"/>
      <c r="F774" s="33"/>
      <c r="G774" s="33"/>
      <c r="H774" s="33"/>
      <c r="I774" s="33"/>
      <c r="J774" s="33"/>
      <c r="K774" s="345"/>
      <c r="L774" s="345"/>
      <c r="M774" s="345"/>
      <c r="N774" s="42"/>
    </row>
    <row r="775" spans="2:14" ht="14.4" customHeight="1" x14ac:dyDescent="0.3">
      <c r="D775" s="42"/>
      <c r="E775" s="42"/>
      <c r="F775" s="42"/>
      <c r="G775" s="42"/>
      <c r="H775" s="42"/>
      <c r="I775" s="42"/>
      <c r="J775" s="42"/>
      <c r="K775" s="345"/>
      <c r="L775" s="345"/>
      <c r="M775" s="345"/>
      <c r="N775" s="42"/>
    </row>
    <row r="776" spans="2:14" ht="14.4" customHeight="1" x14ac:dyDescent="0.3">
      <c r="D776" s="42"/>
      <c r="E776" s="42"/>
      <c r="F776" s="42"/>
      <c r="G776" s="42"/>
      <c r="H776" s="42"/>
      <c r="I776" s="42"/>
      <c r="J776" s="42"/>
      <c r="K776" s="345"/>
      <c r="L776" s="345"/>
      <c r="M776" s="345"/>
      <c r="N776" s="42"/>
    </row>
    <row r="777" spans="2:14" ht="14.4" customHeight="1" x14ac:dyDescent="0.3">
      <c r="D777" s="42"/>
      <c r="E777" s="42"/>
      <c r="F777" s="42"/>
      <c r="G777" s="42"/>
      <c r="H777" s="42"/>
      <c r="I777" s="42"/>
      <c r="J777" s="42"/>
      <c r="K777" s="345"/>
      <c r="L777" s="345"/>
      <c r="M777" s="345"/>
      <c r="N777" s="42"/>
    </row>
    <row r="778" spans="2:14" ht="14.4" customHeight="1" x14ac:dyDescent="0.3">
      <c r="D778" s="42"/>
      <c r="E778" s="42"/>
      <c r="F778" s="42"/>
      <c r="G778" s="42"/>
      <c r="H778" s="42"/>
      <c r="I778" s="42"/>
      <c r="J778" s="42"/>
      <c r="K778" s="345"/>
      <c r="L778" s="345"/>
      <c r="M778" s="345"/>
      <c r="N778" s="42"/>
    </row>
    <row r="779" spans="2:14" ht="14.4" customHeight="1" x14ac:dyDescent="0.3">
      <c r="D779" s="42"/>
      <c r="E779" s="42"/>
      <c r="F779" s="42"/>
      <c r="G779" s="42"/>
      <c r="H779" s="42"/>
      <c r="I779" s="42"/>
      <c r="J779" s="42"/>
      <c r="K779" s="345"/>
      <c r="L779" s="345"/>
      <c r="M779" s="345"/>
      <c r="N779" s="42"/>
    </row>
    <row r="780" spans="2:14" ht="14.4" customHeight="1" x14ac:dyDescent="0.3">
      <c r="D780" s="42"/>
      <c r="E780" s="42"/>
      <c r="F780" s="42"/>
      <c r="G780" s="42"/>
      <c r="H780" s="42"/>
      <c r="I780" s="42"/>
      <c r="J780" s="42"/>
      <c r="K780" s="345"/>
      <c r="L780" s="345"/>
      <c r="M780" s="345"/>
      <c r="N780" s="42"/>
    </row>
    <row r="781" spans="2:14" ht="14.4" customHeight="1" x14ac:dyDescent="0.3">
      <c r="D781" s="42"/>
      <c r="E781" s="42"/>
      <c r="F781" s="42"/>
      <c r="G781" s="42"/>
      <c r="H781" s="42"/>
      <c r="I781" s="42"/>
      <c r="J781" s="42"/>
      <c r="K781" s="345"/>
      <c r="L781" s="345"/>
      <c r="M781" s="345"/>
      <c r="N781" s="42"/>
    </row>
    <row r="782" spans="2:14" ht="14.4" customHeight="1" x14ac:dyDescent="0.3">
      <c r="D782" s="42"/>
      <c r="E782" s="42"/>
      <c r="F782" s="42"/>
      <c r="G782" s="42"/>
      <c r="H782" s="42"/>
      <c r="I782" s="42"/>
      <c r="J782" s="42"/>
      <c r="K782" s="345"/>
      <c r="L782" s="345"/>
      <c r="M782" s="345"/>
      <c r="N782" s="42"/>
    </row>
    <row r="783" spans="2:14" ht="14.4" customHeight="1" x14ac:dyDescent="0.3">
      <c r="D783" s="42"/>
      <c r="E783" s="42"/>
      <c r="F783" s="42"/>
      <c r="G783" s="42"/>
      <c r="H783" s="42"/>
      <c r="I783" s="42"/>
      <c r="J783" s="42"/>
      <c r="K783" s="345"/>
      <c r="L783" s="345"/>
      <c r="M783" s="345"/>
      <c r="N783" s="42"/>
    </row>
    <row r="784" spans="2:14" ht="14.4" customHeight="1" x14ac:dyDescent="0.3">
      <c r="D784" s="42"/>
      <c r="E784" s="42"/>
      <c r="F784" s="42"/>
      <c r="G784" s="42"/>
      <c r="H784" s="42"/>
      <c r="I784" s="42"/>
      <c r="J784" s="42"/>
      <c r="K784" s="345"/>
      <c r="L784" s="345"/>
      <c r="M784" s="345"/>
      <c r="N784" s="42"/>
    </row>
    <row r="785" spans="4:14" ht="14.4" customHeight="1" x14ac:dyDescent="0.3">
      <c r="D785" s="42"/>
      <c r="E785" s="42"/>
      <c r="F785" s="42"/>
      <c r="G785" s="42"/>
      <c r="H785" s="42"/>
      <c r="I785" s="42"/>
      <c r="J785" s="42"/>
      <c r="K785" s="345"/>
      <c r="L785" s="345"/>
      <c r="M785" s="345"/>
      <c r="N785" s="42"/>
    </row>
    <row r="786" spans="4:14" ht="14.4" customHeight="1" x14ac:dyDescent="0.3">
      <c r="D786" s="42"/>
      <c r="E786" s="42"/>
      <c r="F786" s="42"/>
      <c r="G786" s="42"/>
      <c r="H786" s="42"/>
      <c r="I786" s="42"/>
      <c r="J786" s="42"/>
      <c r="K786" s="345"/>
      <c r="L786" s="345"/>
      <c r="M786" s="345"/>
      <c r="N786" s="42"/>
    </row>
    <row r="787" spans="4:14" ht="14.4" customHeight="1" x14ac:dyDescent="0.3">
      <c r="D787" s="42"/>
      <c r="E787" s="42"/>
      <c r="F787" s="42"/>
      <c r="G787" s="42"/>
      <c r="H787" s="42"/>
      <c r="I787" s="42"/>
      <c r="J787" s="42"/>
      <c r="K787" s="345"/>
      <c r="L787" s="345"/>
      <c r="M787" s="345"/>
      <c r="N787" s="42"/>
    </row>
    <row r="788" spans="4:14" ht="14.4" customHeight="1" x14ac:dyDescent="0.3">
      <c r="D788" s="42"/>
      <c r="E788" s="42"/>
      <c r="F788" s="42"/>
      <c r="G788" s="42"/>
      <c r="H788" s="42"/>
      <c r="I788" s="42"/>
      <c r="J788" s="42"/>
      <c r="K788" s="345"/>
      <c r="L788" s="345"/>
      <c r="M788" s="345"/>
      <c r="N788" s="42"/>
    </row>
    <row r="789" spans="4:14" ht="14.4" customHeight="1" x14ac:dyDescent="0.3">
      <c r="D789" s="42"/>
      <c r="E789" s="42"/>
      <c r="F789" s="42"/>
      <c r="G789" s="42"/>
      <c r="H789" s="42"/>
      <c r="I789" s="42"/>
      <c r="J789" s="42"/>
      <c r="K789" s="345"/>
      <c r="L789" s="345"/>
      <c r="M789" s="345"/>
      <c r="N789" s="42"/>
    </row>
    <row r="790" spans="4:14" ht="14.4" customHeight="1" x14ac:dyDescent="0.3">
      <c r="D790" s="42"/>
      <c r="E790" s="42"/>
      <c r="F790" s="42"/>
      <c r="G790" s="42"/>
      <c r="H790" s="42"/>
      <c r="I790" s="42"/>
      <c r="J790" s="42"/>
      <c r="K790" s="345"/>
      <c r="L790" s="345"/>
      <c r="M790" s="345"/>
      <c r="N790" s="42"/>
    </row>
    <row r="791" spans="4:14" ht="14.4" customHeight="1" x14ac:dyDescent="0.3">
      <c r="D791" s="42"/>
      <c r="E791" s="42"/>
      <c r="F791" s="42"/>
      <c r="G791" s="42"/>
      <c r="H791" s="42"/>
      <c r="I791" s="42"/>
      <c r="J791" s="42"/>
      <c r="K791" s="345"/>
      <c r="L791" s="345"/>
      <c r="M791" s="345"/>
      <c r="N791" s="42"/>
    </row>
    <row r="792" spans="4:14" ht="14.4" customHeight="1" x14ac:dyDescent="0.3">
      <c r="D792" s="42"/>
      <c r="E792" s="42"/>
      <c r="F792" s="42"/>
      <c r="G792" s="42"/>
      <c r="H792" s="42"/>
      <c r="I792" s="42"/>
      <c r="J792" s="42"/>
      <c r="K792" s="345"/>
      <c r="L792" s="345"/>
      <c r="M792" s="345"/>
      <c r="N792" s="42"/>
    </row>
    <row r="793" spans="4:14" ht="14.4" customHeight="1" x14ac:dyDescent="0.3">
      <c r="D793" s="42"/>
      <c r="E793" s="42"/>
      <c r="F793" s="42"/>
      <c r="G793" s="42"/>
      <c r="H793" s="42"/>
      <c r="I793" s="42"/>
      <c r="J793" s="42"/>
      <c r="K793" s="345"/>
      <c r="L793" s="345"/>
      <c r="M793" s="345"/>
      <c r="N793" s="42"/>
    </row>
    <row r="794" spans="4:14" ht="14.4" customHeight="1" x14ac:dyDescent="0.3">
      <c r="D794" s="42"/>
      <c r="E794" s="42"/>
      <c r="F794" s="42"/>
      <c r="G794" s="42"/>
      <c r="H794" s="42"/>
      <c r="I794" s="42"/>
      <c r="J794" s="42"/>
      <c r="K794" s="345"/>
      <c r="L794" s="345"/>
      <c r="M794" s="345"/>
      <c r="N794" s="42"/>
    </row>
    <row r="795" spans="4:14" ht="14.4" customHeight="1" x14ac:dyDescent="0.3">
      <c r="D795" s="42"/>
      <c r="E795" s="42"/>
      <c r="F795" s="42"/>
      <c r="G795" s="42"/>
      <c r="H795" s="42"/>
      <c r="I795" s="42"/>
      <c r="J795" s="42"/>
      <c r="K795" s="345"/>
      <c r="L795" s="345"/>
      <c r="M795" s="345"/>
      <c r="N795" s="42"/>
    </row>
    <row r="796" spans="4:14" ht="14.4" customHeight="1" x14ac:dyDescent="0.3">
      <c r="D796" s="42"/>
      <c r="E796" s="42"/>
      <c r="F796" s="42"/>
      <c r="G796" s="42"/>
      <c r="H796" s="42"/>
      <c r="I796" s="42"/>
      <c r="J796" s="42"/>
      <c r="K796" s="345"/>
      <c r="L796" s="345"/>
      <c r="M796" s="345"/>
      <c r="N796" s="42"/>
    </row>
    <row r="797" spans="4:14" ht="14.4" customHeight="1" x14ac:dyDescent="0.3">
      <c r="D797" s="42"/>
      <c r="E797" s="42"/>
      <c r="F797" s="42"/>
      <c r="G797" s="42"/>
      <c r="H797" s="42"/>
      <c r="I797" s="42"/>
      <c r="J797" s="42"/>
      <c r="K797" s="345"/>
      <c r="L797" s="345"/>
      <c r="M797" s="345"/>
      <c r="N797" s="42"/>
    </row>
    <row r="798" spans="4:14" ht="14.4" customHeight="1" x14ac:dyDescent="0.3">
      <c r="D798" s="42"/>
      <c r="E798" s="42"/>
      <c r="F798" s="42"/>
      <c r="G798" s="42"/>
      <c r="H798" s="42"/>
      <c r="I798" s="42"/>
      <c r="J798" s="42"/>
      <c r="K798" s="345"/>
      <c r="L798" s="345"/>
      <c r="M798" s="345"/>
      <c r="N798" s="42"/>
    </row>
    <row r="799" spans="4:14" ht="14.4" customHeight="1" x14ac:dyDescent="0.3">
      <c r="D799" s="42"/>
      <c r="E799" s="42"/>
      <c r="F799" s="42"/>
      <c r="G799" s="42"/>
      <c r="H799" s="42"/>
      <c r="I799" s="42"/>
      <c r="J799" s="42"/>
      <c r="K799" s="345"/>
      <c r="L799" s="345"/>
      <c r="M799" s="345"/>
      <c r="N799" s="42"/>
    </row>
    <row r="800" spans="4:14" ht="14.4" customHeight="1" x14ac:dyDescent="0.3">
      <c r="D800" s="42"/>
      <c r="E800" s="42"/>
      <c r="F800" s="42"/>
      <c r="G800" s="42"/>
      <c r="H800" s="42"/>
      <c r="I800" s="42"/>
      <c r="J800" s="42"/>
      <c r="K800" s="345"/>
      <c r="L800" s="345"/>
      <c r="M800" s="345"/>
      <c r="N800" s="42"/>
    </row>
    <row r="801" spans="4:14" ht="14.4" customHeight="1" x14ac:dyDescent="0.3">
      <c r="D801" s="42"/>
      <c r="E801" s="42"/>
      <c r="F801" s="42"/>
      <c r="G801" s="42"/>
      <c r="H801" s="42"/>
      <c r="I801" s="42"/>
      <c r="J801" s="42"/>
      <c r="K801" s="345"/>
      <c r="L801" s="345"/>
      <c r="M801" s="345"/>
      <c r="N801" s="42"/>
    </row>
    <row r="802" spans="4:14" ht="14.4" customHeight="1" x14ac:dyDescent="0.3">
      <c r="D802" s="42"/>
      <c r="E802" s="42"/>
      <c r="F802" s="42"/>
      <c r="G802" s="42"/>
      <c r="H802" s="42"/>
      <c r="I802" s="42"/>
      <c r="J802" s="42"/>
      <c r="K802" s="345"/>
      <c r="L802" s="345"/>
      <c r="M802" s="345"/>
      <c r="N802" s="42"/>
    </row>
    <row r="803" spans="4:14" ht="14.4" customHeight="1" x14ac:dyDescent="0.3">
      <c r="D803" s="42"/>
      <c r="E803" s="42"/>
      <c r="F803" s="42"/>
      <c r="G803" s="42"/>
      <c r="H803" s="42"/>
      <c r="I803" s="42"/>
      <c r="J803" s="42"/>
      <c r="K803" s="345"/>
      <c r="L803" s="345"/>
      <c r="M803" s="345"/>
      <c r="N803" s="42"/>
    </row>
    <row r="804" spans="4:14" ht="14.4" customHeight="1" x14ac:dyDescent="0.3">
      <c r="D804" s="42"/>
      <c r="E804" s="42"/>
      <c r="F804" s="42"/>
      <c r="G804" s="42"/>
      <c r="H804" s="42"/>
      <c r="I804" s="42"/>
      <c r="J804" s="42"/>
      <c r="K804" s="345"/>
      <c r="L804" s="345"/>
      <c r="M804" s="345"/>
      <c r="N804" s="42"/>
    </row>
    <row r="805" spans="4:14" ht="14.4" customHeight="1" x14ac:dyDescent="0.3">
      <c r="D805" s="42"/>
      <c r="E805" s="42"/>
      <c r="F805" s="42"/>
      <c r="G805" s="42"/>
      <c r="H805" s="42"/>
      <c r="I805" s="42"/>
      <c r="J805" s="42"/>
      <c r="K805" s="345"/>
      <c r="L805" s="345"/>
      <c r="M805" s="345"/>
      <c r="N805" s="42"/>
    </row>
    <row r="806" spans="4:14" ht="14.4" customHeight="1" x14ac:dyDescent="0.3">
      <c r="D806" s="42"/>
      <c r="E806" s="42"/>
      <c r="F806" s="42"/>
      <c r="G806" s="42"/>
      <c r="H806" s="42"/>
      <c r="I806" s="42"/>
      <c r="J806" s="42"/>
      <c r="K806" s="345"/>
      <c r="L806" s="345"/>
      <c r="M806" s="345"/>
      <c r="N806" s="42"/>
    </row>
    <row r="807" spans="4:14" ht="14.4" customHeight="1" x14ac:dyDescent="0.3">
      <c r="D807" s="42"/>
      <c r="E807" s="42"/>
      <c r="F807" s="42"/>
      <c r="G807" s="42"/>
      <c r="H807" s="42"/>
      <c r="I807" s="42"/>
      <c r="J807" s="42"/>
      <c r="K807" s="345"/>
      <c r="L807" s="345"/>
      <c r="M807" s="345"/>
      <c r="N807" s="42"/>
    </row>
    <row r="808" spans="4:14" ht="14.4" customHeight="1" x14ac:dyDescent="0.3">
      <c r="D808" s="42"/>
      <c r="E808" s="42"/>
      <c r="F808" s="42"/>
      <c r="G808" s="42"/>
      <c r="H808" s="42"/>
      <c r="I808" s="42"/>
      <c r="J808" s="42"/>
      <c r="K808" s="345"/>
      <c r="L808" s="345"/>
      <c r="M808" s="345"/>
      <c r="N808" s="42"/>
    </row>
    <row r="809" spans="4:14" ht="14.4" customHeight="1" x14ac:dyDescent="0.3">
      <c r="D809" s="42"/>
      <c r="E809" s="42"/>
      <c r="F809" s="42"/>
      <c r="G809" s="42"/>
      <c r="H809" s="42"/>
      <c r="I809" s="42"/>
      <c r="J809" s="42"/>
      <c r="K809" s="345"/>
      <c r="L809" s="345"/>
      <c r="M809" s="345"/>
      <c r="N809" s="42"/>
    </row>
    <row r="810" spans="4:14" ht="14.4" customHeight="1" x14ac:dyDescent="0.3">
      <c r="D810" s="42"/>
      <c r="E810" s="42"/>
      <c r="F810" s="42"/>
      <c r="G810" s="42"/>
      <c r="H810" s="42"/>
      <c r="I810" s="42"/>
      <c r="J810" s="42"/>
      <c r="K810" s="345"/>
      <c r="L810" s="345"/>
      <c r="M810" s="345"/>
      <c r="N810" s="42"/>
    </row>
    <row r="811" spans="4:14" ht="14.4" customHeight="1" x14ac:dyDescent="0.3">
      <c r="D811" s="42"/>
      <c r="E811" s="42"/>
      <c r="F811" s="42"/>
      <c r="G811" s="42"/>
      <c r="H811" s="42"/>
      <c r="I811" s="42"/>
      <c r="J811" s="42"/>
      <c r="K811" s="345"/>
      <c r="L811" s="345"/>
      <c r="M811" s="345"/>
      <c r="N811" s="42"/>
    </row>
    <row r="812" spans="4:14" ht="14.4" customHeight="1" x14ac:dyDescent="0.3">
      <c r="D812" s="42"/>
      <c r="E812" s="42"/>
      <c r="F812" s="42"/>
      <c r="G812" s="42"/>
      <c r="H812" s="42"/>
      <c r="I812" s="42"/>
      <c r="J812" s="42"/>
      <c r="K812" s="345"/>
      <c r="L812" s="345"/>
      <c r="M812" s="345"/>
      <c r="N812" s="42"/>
    </row>
    <row r="813" spans="4:14" ht="14.4" customHeight="1" x14ac:dyDescent="0.3">
      <c r="D813" s="42"/>
      <c r="E813" s="42"/>
      <c r="F813" s="42"/>
      <c r="G813" s="42"/>
      <c r="H813" s="42"/>
      <c r="I813" s="42"/>
      <c r="J813" s="42"/>
      <c r="K813" s="345"/>
      <c r="L813" s="345"/>
      <c r="M813" s="345"/>
      <c r="N813" s="42"/>
    </row>
    <row r="814" spans="4:14" ht="14.4" customHeight="1" x14ac:dyDescent="0.3">
      <c r="D814" s="42"/>
      <c r="E814" s="42"/>
      <c r="F814" s="42"/>
      <c r="G814" s="42"/>
      <c r="H814" s="42"/>
      <c r="I814" s="42"/>
      <c r="J814" s="42"/>
      <c r="K814" s="345"/>
      <c r="L814" s="345"/>
      <c r="M814" s="345"/>
      <c r="N814" s="42"/>
    </row>
    <row r="815" spans="4:14" ht="14.4" customHeight="1" x14ac:dyDescent="0.3">
      <c r="D815" s="42"/>
      <c r="E815" s="42"/>
      <c r="F815" s="42"/>
      <c r="G815" s="42"/>
      <c r="H815" s="42"/>
      <c r="I815" s="42"/>
      <c r="J815" s="42"/>
      <c r="K815" s="345"/>
      <c r="L815" s="345"/>
      <c r="M815" s="345"/>
      <c r="N815" s="42"/>
    </row>
    <row r="816" spans="4:14" ht="14.4" customHeight="1" x14ac:dyDescent="0.3">
      <c r="D816" s="42"/>
      <c r="E816" s="42"/>
      <c r="F816" s="42"/>
      <c r="G816" s="42"/>
      <c r="H816" s="42"/>
      <c r="I816" s="42"/>
      <c r="J816" s="42"/>
      <c r="K816" s="345"/>
      <c r="L816" s="345"/>
      <c r="M816" s="345"/>
      <c r="N816" s="42"/>
    </row>
    <row r="817" spans="4:14" ht="14.4" customHeight="1" x14ac:dyDescent="0.3">
      <c r="D817" s="42"/>
      <c r="E817" s="42"/>
      <c r="F817" s="42"/>
      <c r="G817" s="42"/>
      <c r="H817" s="42"/>
      <c r="I817" s="42"/>
      <c r="J817" s="42"/>
      <c r="K817" s="345"/>
      <c r="L817" s="345"/>
      <c r="M817" s="345"/>
      <c r="N817" s="42"/>
    </row>
    <row r="818" spans="4:14" ht="14.4" customHeight="1" x14ac:dyDescent="0.3">
      <c r="D818" s="42"/>
      <c r="E818" s="42"/>
      <c r="F818" s="42"/>
      <c r="G818" s="42"/>
      <c r="H818" s="42"/>
      <c r="I818" s="42"/>
      <c r="J818" s="42"/>
      <c r="K818" s="345"/>
      <c r="L818" s="345"/>
      <c r="M818" s="345"/>
      <c r="N818" s="42"/>
    </row>
    <row r="819" spans="4:14" ht="14.4" customHeight="1" x14ac:dyDescent="0.3">
      <c r="D819" s="42"/>
      <c r="E819" s="42"/>
      <c r="F819" s="42"/>
      <c r="G819" s="42"/>
      <c r="H819" s="42"/>
      <c r="I819" s="42"/>
      <c r="J819" s="42"/>
      <c r="K819" s="345"/>
      <c r="L819" s="345"/>
      <c r="M819" s="345"/>
      <c r="N819" s="42"/>
    </row>
    <row r="820" spans="4:14" ht="14.4" customHeight="1" x14ac:dyDescent="0.3">
      <c r="D820" s="42"/>
      <c r="E820" s="42"/>
      <c r="F820" s="42"/>
      <c r="G820" s="42"/>
      <c r="H820" s="42"/>
      <c r="I820" s="42"/>
      <c r="J820" s="42"/>
      <c r="K820" s="345"/>
      <c r="L820" s="345"/>
      <c r="M820" s="345"/>
      <c r="N820" s="42"/>
    </row>
    <row r="821" spans="4:14" ht="14.4" customHeight="1" x14ac:dyDescent="0.3">
      <c r="D821" s="42"/>
      <c r="E821" s="42"/>
      <c r="F821" s="42"/>
      <c r="G821" s="42"/>
      <c r="H821" s="42"/>
      <c r="I821" s="42"/>
      <c r="J821" s="42"/>
      <c r="K821" s="345"/>
      <c r="L821" s="345"/>
      <c r="M821" s="345"/>
      <c r="N821" s="42"/>
    </row>
    <row r="822" spans="4:14" ht="14.4" customHeight="1" x14ac:dyDescent="0.3">
      <c r="D822" s="42"/>
      <c r="E822" s="42"/>
      <c r="F822" s="42"/>
      <c r="G822" s="42"/>
      <c r="H822" s="42"/>
      <c r="I822" s="42"/>
      <c r="J822" s="42"/>
      <c r="K822" s="345"/>
      <c r="L822" s="345"/>
      <c r="M822" s="345"/>
      <c r="N822" s="42"/>
    </row>
    <row r="823" spans="4:14" ht="14.4" customHeight="1" x14ac:dyDescent="0.3">
      <c r="D823" s="42"/>
      <c r="E823" s="42"/>
      <c r="F823" s="42"/>
      <c r="G823" s="42"/>
      <c r="H823" s="42"/>
      <c r="I823" s="42"/>
      <c r="J823" s="42"/>
      <c r="K823" s="345"/>
      <c r="L823" s="345"/>
      <c r="M823" s="345"/>
      <c r="N823" s="42"/>
    </row>
  </sheetData>
  <autoFilter ref="A4:M823"/>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58" fitToHeight="0" orientation="portrait" blackAndWhite="1" r:id="rId1"/>
  <headerFooter differentFirst="1">
    <oddHeader>&amp;C&amp;"Times New Roman,обычный"&amp;12&amp;P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H39"/>
  <sheetViews>
    <sheetView topLeftCell="A25" zoomScale="80" zoomScaleNormal="80" workbookViewId="0">
      <selection activeCell="G9" sqref="G9"/>
    </sheetView>
  </sheetViews>
  <sheetFormatPr defaultColWidth="9.109375" defaultRowHeight="18" x14ac:dyDescent="0.35"/>
  <cols>
    <col min="1" max="1" width="33.33203125" style="153" customWidth="1"/>
    <col min="2" max="2" width="56.109375" style="153" customWidth="1"/>
    <col min="3" max="3" width="18.6640625" style="153" customWidth="1"/>
    <col min="4" max="4" width="15.88671875" style="153" customWidth="1"/>
    <col min="5" max="5" width="15.33203125" style="153" customWidth="1"/>
    <col min="6" max="6" width="19.88671875" style="153" customWidth="1"/>
    <col min="7" max="7" width="10.88671875" style="153" bestFit="1" customWidth="1"/>
    <col min="8" max="16384" width="9.109375" style="153"/>
  </cols>
  <sheetData>
    <row r="1" spans="1:6" x14ac:dyDescent="0.35">
      <c r="E1" s="105" t="s">
        <v>372</v>
      </c>
    </row>
    <row r="2" spans="1:6" x14ac:dyDescent="0.35">
      <c r="E2" s="105" t="s">
        <v>480</v>
      </c>
    </row>
    <row r="4" spans="1:6" x14ac:dyDescent="0.35">
      <c r="E4" s="105" t="s">
        <v>401</v>
      </c>
    </row>
    <row r="5" spans="1:6" x14ac:dyDescent="0.35">
      <c r="E5" s="105" t="s">
        <v>476</v>
      </c>
    </row>
    <row r="6" spans="1:6" x14ac:dyDescent="0.35">
      <c r="E6" s="105"/>
    </row>
    <row r="7" spans="1:6" s="34" customFormat="1" ht="18" customHeight="1" x14ac:dyDescent="0.35">
      <c r="C7" s="35"/>
    </row>
    <row r="8" spans="1:6" s="34" customFormat="1" ht="36" customHeight="1" x14ac:dyDescent="0.35">
      <c r="A8" s="536" t="s">
        <v>437</v>
      </c>
      <c r="B8" s="537"/>
      <c r="C8" s="537"/>
      <c r="D8" s="537"/>
      <c r="E8" s="537"/>
    </row>
    <row r="9" spans="1:6" x14ac:dyDescent="0.35">
      <c r="A9" s="537"/>
      <c r="B9" s="537"/>
      <c r="C9" s="537"/>
      <c r="D9" s="537"/>
      <c r="E9" s="537"/>
      <c r="F9" s="319"/>
    </row>
    <row r="10" spans="1:6" ht="37.5" customHeight="1" x14ac:dyDescent="0.35">
      <c r="E10" s="171" t="s">
        <v>203</v>
      </c>
    </row>
    <row r="11" spans="1:6" ht="33" customHeight="1" x14ac:dyDescent="0.35">
      <c r="A11" s="505" t="s">
        <v>11</v>
      </c>
      <c r="B11" s="505" t="s">
        <v>363</v>
      </c>
      <c r="C11" s="538" t="s">
        <v>12</v>
      </c>
      <c r="D11" s="539"/>
      <c r="E11" s="540"/>
      <c r="F11" s="320"/>
    </row>
    <row r="12" spans="1:6" ht="43.2" customHeight="1" x14ac:dyDescent="0.35">
      <c r="A12" s="506"/>
      <c r="B12" s="506"/>
      <c r="C12" s="133" t="s">
        <v>368</v>
      </c>
      <c r="D12" s="133" t="s">
        <v>399</v>
      </c>
      <c r="E12" s="133" t="s">
        <v>433</v>
      </c>
      <c r="F12" s="320"/>
    </row>
    <row r="13" spans="1:6" ht="18" customHeight="1" x14ac:dyDescent="0.35">
      <c r="A13" s="160">
        <v>1</v>
      </c>
      <c r="B13" s="172">
        <v>2</v>
      </c>
      <c r="C13" s="224">
        <v>3</v>
      </c>
      <c r="D13" s="160">
        <v>4</v>
      </c>
      <c r="E13" s="173">
        <v>5</v>
      </c>
      <c r="F13" s="320"/>
    </row>
    <row r="14" spans="1:6" ht="37.200000000000003" customHeight="1" x14ac:dyDescent="0.35">
      <c r="A14" s="174" t="s">
        <v>204</v>
      </c>
      <c r="B14" s="223" t="s">
        <v>205</v>
      </c>
      <c r="C14" s="175">
        <v>48327.802029999904</v>
      </c>
      <c r="D14" s="175">
        <v>0</v>
      </c>
      <c r="E14" s="175">
        <v>0</v>
      </c>
      <c r="F14" s="321"/>
    </row>
    <row r="15" spans="1:6" ht="37.200000000000003" customHeight="1" x14ac:dyDescent="0.35">
      <c r="A15" s="176" t="s">
        <v>440</v>
      </c>
      <c r="B15" s="451" t="s">
        <v>466</v>
      </c>
      <c r="C15" s="225">
        <v>-36000</v>
      </c>
      <c r="D15" s="476">
        <v>0</v>
      </c>
      <c r="E15" s="225">
        <v>0</v>
      </c>
      <c r="F15" s="321"/>
    </row>
    <row r="16" spans="1:6" ht="61.95" customHeight="1" x14ac:dyDescent="0.35">
      <c r="A16" s="177" t="s">
        <v>441</v>
      </c>
      <c r="B16" s="452" t="s">
        <v>442</v>
      </c>
      <c r="C16" s="475">
        <v>-36000</v>
      </c>
      <c r="D16" s="477">
        <v>0</v>
      </c>
      <c r="E16" s="475">
        <v>0</v>
      </c>
      <c r="F16" s="321"/>
    </row>
    <row r="17" spans="1:7" ht="76.2" customHeight="1" x14ac:dyDescent="0.35">
      <c r="A17" s="177" t="s">
        <v>443</v>
      </c>
      <c r="B17" s="452" t="s">
        <v>444</v>
      </c>
      <c r="C17" s="475">
        <v>36000</v>
      </c>
      <c r="D17" s="475">
        <v>0</v>
      </c>
      <c r="E17" s="475">
        <v>0</v>
      </c>
      <c r="F17" s="321"/>
    </row>
    <row r="18" spans="1:7" ht="79.2" customHeight="1" x14ac:dyDescent="0.35">
      <c r="A18" s="177" t="s">
        <v>445</v>
      </c>
      <c r="B18" s="452" t="s">
        <v>446</v>
      </c>
      <c r="C18" s="475">
        <v>36000</v>
      </c>
      <c r="D18" s="475">
        <v>0</v>
      </c>
      <c r="E18" s="475">
        <v>0</v>
      </c>
      <c r="F18" s="321"/>
    </row>
    <row r="19" spans="1:7" s="324" customFormat="1" ht="34.950000000000003" customHeight="1" x14ac:dyDescent="0.3">
      <c r="A19" s="176" t="s">
        <v>206</v>
      </c>
      <c r="B19" s="346" t="s">
        <v>207</v>
      </c>
      <c r="C19" s="225">
        <v>48327.802029999904</v>
      </c>
      <c r="D19" s="225">
        <v>0</v>
      </c>
      <c r="E19" s="225">
        <v>0</v>
      </c>
      <c r="F19" s="322"/>
      <c r="G19" s="323"/>
    </row>
    <row r="20" spans="1:7" x14ac:dyDescent="0.35">
      <c r="A20" s="177" t="s">
        <v>208</v>
      </c>
      <c r="B20" s="347" t="s">
        <v>209</v>
      </c>
      <c r="C20" s="220">
        <v>2310004.2999999998</v>
      </c>
      <c r="D20" s="220">
        <v>2056547.2000000002</v>
      </c>
      <c r="E20" s="220">
        <v>2125542.3999999994</v>
      </c>
    </row>
    <row r="21" spans="1:7" ht="16.5" customHeight="1" x14ac:dyDescent="0.35">
      <c r="A21" s="177" t="s">
        <v>210</v>
      </c>
      <c r="B21" s="347" t="s">
        <v>211</v>
      </c>
      <c r="C21" s="220">
        <v>2310004.2999999998</v>
      </c>
      <c r="D21" s="220">
        <v>2056547.2000000002</v>
      </c>
      <c r="E21" s="220">
        <v>2125542.3999999994</v>
      </c>
    </row>
    <row r="22" spans="1:7" ht="20.25" customHeight="1" x14ac:dyDescent="0.35">
      <c r="A22" s="177" t="s">
        <v>274</v>
      </c>
      <c r="B22" s="348" t="s">
        <v>212</v>
      </c>
      <c r="C22" s="221">
        <v>2310004.2999999998</v>
      </c>
      <c r="D22" s="221">
        <v>2056547.2000000002</v>
      </c>
      <c r="E22" s="221">
        <v>2125542.3999999994</v>
      </c>
    </row>
    <row r="23" spans="1:7" ht="37.5" customHeight="1" x14ac:dyDescent="0.35">
      <c r="A23" s="177" t="s">
        <v>213</v>
      </c>
      <c r="B23" s="348" t="s">
        <v>3</v>
      </c>
      <c r="C23" s="221">
        <v>2310004.2999999998</v>
      </c>
      <c r="D23" s="219">
        <v>2056547.2000000002</v>
      </c>
      <c r="E23" s="219">
        <v>2125542.3999999994</v>
      </c>
    </row>
    <row r="24" spans="1:7" x14ac:dyDescent="0.35">
      <c r="A24" s="177" t="s">
        <v>214</v>
      </c>
      <c r="B24" s="348" t="s">
        <v>215</v>
      </c>
      <c r="C24" s="221">
        <v>2358332.1020299997</v>
      </c>
      <c r="D24" s="221">
        <v>2056547.1999999997</v>
      </c>
      <c r="E24" s="221">
        <v>2125542.3999999999</v>
      </c>
    </row>
    <row r="25" spans="1:7" x14ac:dyDescent="0.35">
      <c r="A25" s="177" t="s">
        <v>216</v>
      </c>
      <c r="B25" s="348" t="s">
        <v>217</v>
      </c>
      <c r="C25" s="221">
        <v>2358332.1020299997</v>
      </c>
      <c r="D25" s="221">
        <v>2056547.1999999997</v>
      </c>
      <c r="E25" s="221">
        <v>2125542.3999999999</v>
      </c>
    </row>
    <row r="26" spans="1:7" ht="22.2" customHeight="1" x14ac:dyDescent="0.35">
      <c r="A26" s="177" t="s">
        <v>218</v>
      </c>
      <c r="B26" s="348" t="s">
        <v>219</v>
      </c>
      <c r="C26" s="221">
        <v>2358332.1020299997</v>
      </c>
      <c r="D26" s="221">
        <v>2056547.1999999997</v>
      </c>
      <c r="E26" s="221">
        <v>2125542.3999999999</v>
      </c>
    </row>
    <row r="27" spans="1:7" ht="36" x14ac:dyDescent="0.35">
      <c r="A27" s="178" t="s">
        <v>220</v>
      </c>
      <c r="B27" s="349" t="s">
        <v>4</v>
      </c>
      <c r="C27" s="222">
        <v>2358332.1020299997</v>
      </c>
      <c r="D27" s="222">
        <v>2056547.1999999997</v>
      </c>
      <c r="E27" s="222">
        <v>2125542.3999999999</v>
      </c>
    </row>
    <row r="28" spans="1:7" ht="34.799999999999997" x14ac:dyDescent="0.35">
      <c r="A28" s="450" t="s">
        <v>411</v>
      </c>
      <c r="B28" s="451" t="s">
        <v>412</v>
      </c>
      <c r="C28" s="225">
        <v>36000</v>
      </c>
      <c r="D28" s="225">
        <v>0</v>
      </c>
      <c r="E28" s="225">
        <v>0</v>
      </c>
    </row>
    <row r="29" spans="1:7" ht="36" x14ac:dyDescent="0.35">
      <c r="A29" s="177" t="s">
        <v>413</v>
      </c>
      <c r="B29" s="452" t="s">
        <v>414</v>
      </c>
      <c r="C29" s="221">
        <v>36000</v>
      </c>
      <c r="D29" s="221">
        <v>0</v>
      </c>
      <c r="E29" s="221">
        <v>0</v>
      </c>
    </row>
    <row r="30" spans="1:7" ht="36" x14ac:dyDescent="0.35">
      <c r="A30" s="177" t="s">
        <v>415</v>
      </c>
      <c r="B30" s="452" t="s">
        <v>416</v>
      </c>
      <c r="C30" s="221">
        <v>36000</v>
      </c>
      <c r="D30" s="221">
        <v>0</v>
      </c>
      <c r="E30" s="221">
        <v>0</v>
      </c>
    </row>
    <row r="31" spans="1:7" ht="72" x14ac:dyDescent="0.35">
      <c r="A31" s="177" t="s">
        <v>417</v>
      </c>
      <c r="B31" s="452" t="s">
        <v>418</v>
      </c>
      <c r="C31" s="221">
        <v>36000</v>
      </c>
      <c r="D31" s="221">
        <v>0</v>
      </c>
      <c r="E31" s="221">
        <v>0</v>
      </c>
    </row>
    <row r="32" spans="1:7" ht="90" x14ac:dyDescent="0.35">
      <c r="A32" s="178" t="s">
        <v>419</v>
      </c>
      <c r="B32" s="453" t="s">
        <v>420</v>
      </c>
      <c r="C32" s="222">
        <v>36000</v>
      </c>
      <c r="D32" s="222">
        <v>0</v>
      </c>
      <c r="E32" s="454">
        <v>0</v>
      </c>
    </row>
    <row r="33" spans="1:8" ht="19.95" customHeight="1" x14ac:dyDescent="0.35">
      <c r="A33" s="179"/>
      <c r="B33" s="436"/>
      <c r="C33" s="437"/>
      <c r="D33" s="437"/>
      <c r="E33" s="437"/>
    </row>
    <row r="34" spans="1:8" x14ac:dyDescent="0.35">
      <c r="A34" s="179"/>
      <c r="B34" s="436"/>
      <c r="C34" s="437"/>
      <c r="D34" s="437"/>
      <c r="E34" s="437"/>
    </row>
    <row r="35" spans="1:8" x14ac:dyDescent="0.35">
      <c r="A35" s="179"/>
      <c r="B35" s="180"/>
      <c r="C35" s="181"/>
    </row>
    <row r="36" spans="1:8" s="188" customFormat="1" x14ac:dyDescent="0.35">
      <c r="A36" s="470" t="s">
        <v>313</v>
      </c>
      <c r="B36" s="218"/>
      <c r="C36" s="57"/>
      <c r="D36" s="57"/>
      <c r="E36" s="57"/>
      <c r="F36" s="214"/>
      <c r="G36" s="71"/>
      <c r="H36" s="325"/>
    </row>
    <row r="37" spans="1:8" s="188" customFormat="1" x14ac:dyDescent="0.35">
      <c r="A37" s="470" t="s">
        <v>314</v>
      </c>
      <c r="B37" s="218"/>
      <c r="C37" s="57"/>
      <c r="D37" s="57"/>
      <c r="E37" s="57"/>
      <c r="F37" s="214"/>
      <c r="G37" s="71"/>
      <c r="H37" s="325"/>
    </row>
    <row r="38" spans="1:8" s="188" customFormat="1" x14ac:dyDescent="0.35">
      <c r="A38" s="471" t="s">
        <v>315</v>
      </c>
      <c r="B38" s="218"/>
      <c r="C38" s="72"/>
      <c r="D38" s="57"/>
      <c r="E38" s="72" t="s">
        <v>322</v>
      </c>
      <c r="F38" s="214"/>
    </row>
    <row r="39" spans="1:8" x14ac:dyDescent="0.35">
      <c r="A39" s="471"/>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прил 5 (Рз,ПР 24-26)</vt:lpstr>
      <vt:lpstr>прил 6 (ЦС,ВР 24)</vt:lpstr>
      <vt:lpstr>прил8 (ведом 24)</vt:lpstr>
      <vt:lpstr>прил.10 (Источники 24-26)</vt:lpstr>
      <vt:lpstr>'прил 5 (Рз,ПР 24-26)'!Заголовки_для_печати</vt:lpstr>
      <vt:lpstr>'прил 6 (ЦС,ВР 24)'!Заголовки_для_печати</vt:lpstr>
      <vt:lpstr>'прил.10 (Источники 24-26)'!Заголовки_для_печати</vt:lpstr>
      <vt:lpstr>'прил8 (ведом 24)'!Заголовки_для_печати</vt:lpstr>
      <vt:lpstr>'прил 5 (Рз,ПР 24-26)'!Область_печати</vt:lpstr>
      <vt:lpstr>'прил 6 (ЦС,ВР 24)'!Область_печати</vt:lpstr>
      <vt:lpstr>'прил.10 (Источники 24-26)'!Область_печати</vt:lpstr>
      <vt:lpstr>'прил8 (ведом 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2024-02-15T13:35:13Z</dcterms:modified>
</cp:coreProperties>
</file>