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528" windowWidth="14808" windowHeight="1596" tabRatio="852" firstSheet="3" activeTab="6"/>
  </bookViews>
  <sheets>
    <sheet name="прил. 1 (поступл.22-24)" sheetId="5" r:id="rId1"/>
    <sheet name="прил.2(пост.безв.22)" sheetId="2" r:id="rId2"/>
    <sheet name="прил.3 (пост.безв.23-24)" sheetId="16" r:id="rId3"/>
    <sheet name="прил 6 (Рз,ПР 22-24)" sheetId="6" r:id="rId4"/>
    <sheet name="прил 7 (ЦС,ВР 22)" sheetId="7" r:id="rId5"/>
    <sheet name="прил 8 (ЦС,ВР 23-24)" sheetId="18" r:id="rId6"/>
    <sheet name="прил9 (ведом 22)" sheetId="3" r:id="rId7"/>
    <sheet name="прил10 (ведом 23-24)" sheetId="19" r:id="rId8"/>
    <sheet name="прил.11 (Источники 22-24)" sheetId="8" r:id="rId9"/>
    <sheet name="прил.12 (безв.всего 22-24)" sheetId="9" r:id="rId10"/>
  </sheets>
  <definedNames>
    <definedName name="_xlnm._FilterDatabase" localSheetId="3" hidden="1">'прил 6 (Рз,ПР 22-24)'!$A$12:$AI$56</definedName>
    <definedName name="_xlnm._FilterDatabase" localSheetId="4" hidden="1">'прил 7 (ЦС,ВР 22)'!$A$4:$H$628</definedName>
    <definedName name="_xlnm._FilterDatabase" localSheetId="5" hidden="1">'прил 8 (ЦС,ВР 23-24)'!$A$4:$I$474</definedName>
    <definedName name="_xlnm._FilterDatabase" localSheetId="1" hidden="1">'прил.2(пост.безв.22)'!$C$5:$D$420</definedName>
    <definedName name="_xlnm._FilterDatabase" localSheetId="2" hidden="1">'прил.3 (пост.безв.23-24)'!$A$13:$J$70</definedName>
    <definedName name="_xlnm._FilterDatabase" localSheetId="7" hidden="1">'прил10 (ведом 23-24)'!$A$4:$N$669</definedName>
    <definedName name="_xlnm._FilterDatabase" localSheetId="6" hidden="1">'прил9 (ведом 22)'!$A$4:$M$934</definedName>
    <definedName name="Z_168CADD9_CFDC_4445_BFE6_DAD4B9423C72_.wvu.FilterData" localSheetId="4" hidden="1">'прил 7 (ЦС,ВР 22)'!#REF!</definedName>
    <definedName name="Z_168CADD9_CFDC_4445_BFE6_DAD4B9423C72_.wvu.FilterData" localSheetId="5" hidden="1">'прил 8 (ЦС,ВР 23-24)'!#REF!</definedName>
    <definedName name="Z_1F25B6A1_C9F7_11D8_A2FD_006098EF8B30_.wvu.FilterData" localSheetId="4" hidden="1">'прил 7 (ЦС,ВР 22)'!#REF!</definedName>
    <definedName name="Z_1F25B6A1_C9F7_11D8_A2FD_006098EF8B30_.wvu.FilterData" localSheetId="5" hidden="1">'прил 8 (ЦС,ВР 23-24)'!#REF!</definedName>
    <definedName name="Z_29D950F2_21ED_48E6_BFC6_87DD89E0125A_.wvu.FilterData" localSheetId="4" hidden="1">'прил 7 (ЦС,ВР 22)'!#REF!</definedName>
    <definedName name="Z_29D950F2_21ED_48E6_BFC6_87DD89E0125A_.wvu.FilterData" localSheetId="5" hidden="1">'прил 8 (ЦС,ВР 23-24)'!#REF!</definedName>
    <definedName name="Z_2CA7FCD5_27A5_4474_9D49_7A7E23BD2FF9_.wvu.FilterData" localSheetId="4" hidden="1">'прил 7 (ЦС,ВР 22)'!#REF!</definedName>
    <definedName name="Z_2CA7FCD5_27A5_4474_9D49_7A7E23BD2FF9_.wvu.FilterData" localSheetId="5" hidden="1">'прил 8 (ЦС,ВР 23-24)'!#REF!</definedName>
    <definedName name="Z_48E28AC5_4E0A_4FBA_AE6D_340F9E8D4B3C_.wvu.FilterData" localSheetId="4" hidden="1">'прил 7 (ЦС,ВР 22)'!#REF!</definedName>
    <definedName name="Z_48E28AC5_4E0A_4FBA_AE6D_340F9E8D4B3C_.wvu.FilterData" localSheetId="5" hidden="1">'прил 8 (ЦС,ВР 23-24)'!#REF!</definedName>
    <definedName name="Z_6398E0F2_3205_40F4_BF0A_C9F4D0DA9A75_.wvu.FilterData" localSheetId="4" hidden="1">'прил 7 (ЦС,ВР 22)'!#REF!</definedName>
    <definedName name="Z_6398E0F2_3205_40F4_BF0A_C9F4D0DA9A75_.wvu.FilterData" localSheetId="5" hidden="1">'прил 8 (ЦС,ВР 23-24)'!#REF!</definedName>
    <definedName name="Z_64DF1B77_0EDD_4B56_A91C_5E003BE599EF_.wvu.FilterData" localSheetId="4" hidden="1">'прил 7 (ЦС,ВР 22)'!#REF!</definedName>
    <definedName name="Z_64DF1B77_0EDD_4B56_A91C_5E003BE599EF_.wvu.FilterData" localSheetId="5" hidden="1">'прил 8 (ЦС,ВР 23-24)'!#REF!</definedName>
    <definedName name="Z_6786C020_BCF1_463A_B3E9_7DE69D46EAB3_.wvu.FilterData" localSheetId="4" hidden="1">'прил 7 (ЦС,ВР 22)'!#REF!</definedName>
    <definedName name="Z_6786C020_BCF1_463A_B3E9_7DE69D46EAB3_.wvu.FilterData" localSheetId="5" hidden="1">'прил 8 (ЦС,ВР 23-24)'!#REF!</definedName>
    <definedName name="Z_8E2E7D81_C767_11D8_A2FD_006098EF8B30_.wvu.FilterData" localSheetId="4" hidden="1">'прил 7 (ЦС,ВР 22)'!#REF!</definedName>
    <definedName name="Z_8E2E7D81_C767_11D8_A2FD_006098EF8B30_.wvu.FilterData" localSheetId="5" hidden="1">'прил 8 (ЦС,ВР 23-24)'!#REF!</definedName>
    <definedName name="Z_97D0CDFA_8A34_4B3C_BA32_D4F0E3218B75_.wvu.FilterData" localSheetId="4" hidden="1">'прил 7 (ЦС,ВР 22)'!#REF!</definedName>
    <definedName name="Z_97D0CDFA_8A34_4B3C_BA32_D4F0E3218B75_.wvu.FilterData" localSheetId="5" hidden="1">'прил 8 (ЦС,ВР 23-24)'!#REF!</definedName>
    <definedName name="Z_B246FE0E_E986_4211_B02A_04E4565C0FED_.wvu.Cols" localSheetId="4" hidden="1">'прил 7 (ЦС,ВР 22)'!$A:$A,'прил 7 (ЦС,ВР 22)'!#REF!</definedName>
    <definedName name="Z_B246FE0E_E986_4211_B02A_04E4565C0FED_.wvu.Cols" localSheetId="5" hidden="1">'прил 8 (ЦС,ВР 23-24)'!$A:$A,'прил 8 (ЦС,ВР 23-24)'!#REF!</definedName>
    <definedName name="Z_B246FE0E_E986_4211_B02A_04E4565C0FED_.wvu.FilterData" localSheetId="4" hidden="1">'прил 7 (ЦС,ВР 22)'!#REF!</definedName>
    <definedName name="Z_B246FE0E_E986_4211_B02A_04E4565C0FED_.wvu.FilterData" localSheetId="5" hidden="1">'прил 8 (ЦС,ВР 23-24)'!#REF!</definedName>
    <definedName name="Z_B246FE0E_E986_4211_B02A_04E4565C0FED_.wvu.PrintArea" localSheetId="4" hidden="1">'прил 7 (ЦС,ВР 22)'!#REF!</definedName>
    <definedName name="Z_B246FE0E_E986_4211_B02A_04E4565C0FED_.wvu.PrintArea" localSheetId="5" hidden="1">'прил 8 (ЦС,ВР 23-24)'!#REF!</definedName>
    <definedName name="Z_B246FE0E_E986_4211_B02A_04E4565C0FED_.wvu.PrintTitles" localSheetId="4" hidden="1">'прил 7 (ЦС,ВР 22)'!#REF!</definedName>
    <definedName name="Z_B246FE0E_E986_4211_B02A_04E4565C0FED_.wvu.PrintTitles" localSheetId="5" hidden="1">'прил 8 (ЦС,ВР 23-24)'!#REF!</definedName>
    <definedName name="Z_C54CDF8B_FA5C_4A02_B343_3FEFD9721392_.wvu.FilterData" localSheetId="4" hidden="1">'прил 7 (ЦС,ВР 22)'!#REF!</definedName>
    <definedName name="Z_C54CDF8B_FA5C_4A02_B343_3FEFD9721392_.wvu.FilterData" localSheetId="5" hidden="1">'прил 8 (ЦС,ВР 23-24)'!#REF!</definedName>
    <definedName name="Z_D7174C22_B878_4584_A218_37ED88979064_.wvu.FilterData" localSheetId="4" hidden="1">'прил 7 (ЦС,ВР 22)'!#REF!</definedName>
    <definedName name="Z_D7174C22_B878_4584_A218_37ED88979064_.wvu.FilterData" localSheetId="5" hidden="1">'прил 8 (ЦС,ВР 23-24)'!#REF!</definedName>
    <definedName name="Z_DD7538FB_7299_4DEE_90D5_2739132A1616_.wvu.FilterData" localSheetId="4" hidden="1">'прил 7 (ЦС,ВР 22)'!#REF!</definedName>
    <definedName name="Z_DD7538FB_7299_4DEE_90D5_2739132A1616_.wvu.FilterData" localSheetId="5" hidden="1">'прил 8 (ЦС,ВР 23-24)'!#REF!</definedName>
    <definedName name="Z_E4B436A8_4A5B_422F_8C0E_9267F763D19D_.wvu.FilterData" localSheetId="4" hidden="1">'прил 7 (ЦС,ВР 22)'!#REF!</definedName>
    <definedName name="Z_E4B436A8_4A5B_422F_8C0E_9267F763D19D_.wvu.FilterData" localSheetId="5" hidden="1">'прил 8 (ЦС,ВР 23-24)'!#REF!</definedName>
    <definedName name="Z_E6BB4361_1D58_11D9_A2FD_006098EF8B30_.wvu.FilterData" localSheetId="4" hidden="1">'прил 7 (ЦС,ВР 22)'!#REF!</definedName>
    <definedName name="Z_E6BB4361_1D58_11D9_A2FD_006098EF8B30_.wvu.FilterData" localSheetId="5" hidden="1">'прил 8 (ЦС,ВР 23-24)'!#REF!</definedName>
    <definedName name="Z_EF486DA3_1DF3_11D9_A2FD_006098EF8B30_.wvu.FilterData" localSheetId="4" hidden="1">'прил 7 (ЦС,ВР 22)'!#REF!</definedName>
    <definedName name="Z_EF486DA3_1DF3_11D9_A2FD_006098EF8B30_.wvu.FilterData" localSheetId="5" hidden="1">'прил 8 (ЦС,ВР 23-24)'!#REF!</definedName>
    <definedName name="Z_EF486DA8_1DF3_11D9_A2FD_006098EF8B30_.wvu.FilterData" localSheetId="4" hidden="1">'прил 7 (ЦС,ВР 22)'!#REF!</definedName>
    <definedName name="Z_EF486DA8_1DF3_11D9_A2FD_006098EF8B30_.wvu.FilterData" localSheetId="5" hidden="1">'прил 8 (ЦС,ВР 23-24)'!#REF!</definedName>
    <definedName name="Z_EF486DAA_1DF3_11D9_A2FD_006098EF8B30_.wvu.FilterData" localSheetId="4" hidden="1">'прил 7 (ЦС,ВР 22)'!#REF!</definedName>
    <definedName name="Z_EF486DAA_1DF3_11D9_A2FD_006098EF8B30_.wvu.FilterData" localSheetId="5" hidden="1">'прил 8 (ЦС,ВР 23-24)'!#REF!</definedName>
    <definedName name="Z_EF486DAC_1DF3_11D9_A2FD_006098EF8B30_.wvu.FilterData" localSheetId="4" hidden="1">'прил 7 (ЦС,ВР 22)'!#REF!</definedName>
    <definedName name="Z_EF486DAC_1DF3_11D9_A2FD_006098EF8B30_.wvu.FilterData" localSheetId="5" hidden="1">'прил 8 (ЦС,ВР 23-24)'!#REF!</definedName>
    <definedName name="Z_EF5A4981_C8E4_11D8_A2FC_006098EF8BA8_.wvu.Cols" localSheetId="4" hidden="1">'прил 7 (ЦС,ВР 22)'!$A:$A,'прил 7 (ЦС,ВР 22)'!#REF!,'прил 7 (ЦС,ВР 22)'!#REF!</definedName>
    <definedName name="Z_EF5A4981_C8E4_11D8_A2FC_006098EF8BA8_.wvu.Cols" localSheetId="5" hidden="1">'прил 8 (ЦС,ВР 23-24)'!$A:$A,'прил 8 (ЦС,ВР 23-24)'!#REF!,'прил 8 (ЦС,ВР 23-24)'!#REF!</definedName>
    <definedName name="Z_EF5A4981_C8E4_11D8_A2FC_006098EF8BA8_.wvu.FilterData" localSheetId="4" hidden="1">'прил 7 (ЦС,ВР 22)'!#REF!</definedName>
    <definedName name="Z_EF5A4981_C8E4_11D8_A2FC_006098EF8BA8_.wvu.FilterData" localSheetId="5" hidden="1">'прил 8 (ЦС,ВР 23-24)'!#REF!</definedName>
    <definedName name="Z_EF5A4981_C8E4_11D8_A2FC_006098EF8BA8_.wvu.PrintArea" localSheetId="4" hidden="1">'прил 7 (ЦС,ВР 22)'!#REF!</definedName>
    <definedName name="Z_EF5A4981_C8E4_11D8_A2FC_006098EF8BA8_.wvu.PrintArea" localSheetId="5" hidden="1">'прил 8 (ЦС,ВР 23-24)'!#REF!</definedName>
    <definedName name="Z_EF5A4981_C8E4_11D8_A2FC_006098EF8BA8_.wvu.PrintTitles" localSheetId="4" hidden="1">'прил 7 (ЦС,ВР 22)'!#REF!</definedName>
    <definedName name="Z_EF5A4981_C8E4_11D8_A2FC_006098EF8BA8_.wvu.PrintTitles" localSheetId="5" hidden="1">'прил 8 (ЦС,ВР 23-24)'!#REF!</definedName>
    <definedName name="_xlnm.Print_Titles" localSheetId="3">'прил 6 (Рз,ПР 22-24)'!$14:$14</definedName>
    <definedName name="_xlnm.Print_Titles" localSheetId="4">'прил 7 (ЦС,ВР 22)'!$13:$13</definedName>
    <definedName name="_xlnm.Print_Titles" localSheetId="5">'прил 8 (ЦС,ВР 23-24)'!$14:$14</definedName>
    <definedName name="_xlnm.Print_Titles" localSheetId="0">'прил. 1 (поступл.22-24)'!$13:$13</definedName>
    <definedName name="_xlnm.Print_Titles" localSheetId="8">'прил.11 (Источники 22-24)'!$14:$14</definedName>
    <definedName name="_xlnm.Print_Titles" localSheetId="1">'прил.2(пост.безв.22)'!$14:$14</definedName>
    <definedName name="_xlnm.Print_Titles" localSheetId="2">'прил.3 (пост.безв.23-24)'!$13:$13</definedName>
    <definedName name="_xlnm.Print_Titles" localSheetId="7">'прил10 (ведом 23-24)'!$15:$15</definedName>
    <definedName name="_xlnm.Print_Titles" localSheetId="6">'прил9 (ведом 22)'!$14:$14</definedName>
    <definedName name="_xlnm.Print_Area" localSheetId="3">'прил 6 (Рз,ПР 22-24)'!$A$1:$F$64</definedName>
    <definedName name="_xlnm.Print_Area" localSheetId="4">'прил 7 (ЦС,ВР 22)'!$A$1:$H$617</definedName>
    <definedName name="_xlnm.Print_Area" localSheetId="5">'прил 8 (ЦС,ВР 23-24)'!$A$1:$I$460</definedName>
    <definedName name="_xlnm.Print_Area" localSheetId="0">'прил. 1 (поступл.22-24)'!$A$1:$E$49</definedName>
    <definedName name="_xlnm.Print_Area" localSheetId="8">'прил.11 (Источники 22-24)'!$A$1:$E$33</definedName>
    <definedName name="_xlnm.Print_Area" localSheetId="9">'прил.12 (безв.всего 22-24)'!$A$1:$D$23</definedName>
    <definedName name="_xlnm.Print_Area" localSheetId="1">'прил.2(пост.безв.22)'!$A$1:$C$87</definedName>
    <definedName name="_xlnm.Print_Area" localSheetId="2">'прил.3 (пост.безв.23-24)'!$A$1:$D$75</definedName>
    <definedName name="_xlnm.Print_Area" localSheetId="7">'прил10 (ведом 23-24)'!$A$1:$N$606</definedName>
    <definedName name="_xlnm.Print_Area" localSheetId="6">'прил9 (ведом 22)'!$A$1:$M$823</definedName>
  </definedNames>
  <calcPr calcId="152511" iterate="1"/>
</workbook>
</file>

<file path=xl/calcChain.xml><?xml version="1.0" encoding="utf-8"?>
<calcChain xmlns="http://schemas.openxmlformats.org/spreadsheetml/2006/main">
  <c r="M499" i="3" l="1"/>
  <c r="M811" i="3"/>
  <c r="M812" i="3"/>
  <c r="M817" i="3"/>
  <c r="M818" i="3"/>
  <c r="M417" i="3"/>
  <c r="M488" i="3" l="1"/>
  <c r="M590" i="3"/>
  <c r="M59" i="3" l="1"/>
  <c r="H562" i="7" l="1"/>
  <c r="H561" i="7" s="1"/>
  <c r="H560" i="7" s="1"/>
  <c r="H565" i="7"/>
  <c r="H564" i="7" s="1"/>
  <c r="H563" i="7" s="1"/>
  <c r="M239" i="3" l="1"/>
  <c r="M236" i="3"/>
  <c r="H89" i="7" l="1"/>
  <c r="H88" i="7" s="1"/>
  <c r="M553" i="3"/>
  <c r="L554" i="3"/>
  <c r="L553" i="3" s="1"/>
  <c r="M632" i="3" l="1"/>
  <c r="M683" i="3"/>
  <c r="M465" i="3"/>
  <c r="M493" i="3" l="1"/>
  <c r="M287" i="19" l="1"/>
  <c r="M271" i="19"/>
  <c r="M437" i="3"/>
  <c r="M716" i="3" l="1"/>
  <c r="M744" i="3" l="1"/>
  <c r="M376" i="3" l="1"/>
  <c r="M125" i="3" l="1"/>
  <c r="H358" i="7"/>
  <c r="H357" i="7" s="1"/>
  <c r="M362" i="3"/>
  <c r="L363" i="3"/>
  <c r="L362" i="3" s="1"/>
  <c r="M95" i="3" l="1"/>
  <c r="M80" i="3"/>
  <c r="M33" i="3"/>
  <c r="M496" i="3"/>
  <c r="M495" i="3"/>
  <c r="M463" i="3"/>
  <c r="M498" i="3"/>
  <c r="M500" i="3"/>
  <c r="M275" i="3" l="1"/>
  <c r="M266" i="3"/>
  <c r="M358" i="3"/>
  <c r="M719" i="3" l="1"/>
  <c r="M715" i="3"/>
  <c r="M349" i="3" l="1"/>
  <c r="M619" i="3"/>
  <c r="M618" i="3" s="1"/>
  <c r="M688" i="3"/>
  <c r="M687" i="3"/>
  <c r="M551" i="3"/>
  <c r="M550" i="3"/>
  <c r="M489" i="3"/>
  <c r="M459" i="3"/>
  <c r="H541" i="7" l="1"/>
  <c r="M94" i="3"/>
  <c r="L96" i="3"/>
  <c r="M176" i="3"/>
  <c r="M179" i="3"/>
  <c r="C43" i="2" l="1"/>
  <c r="M168" i="3"/>
  <c r="M534" i="3" l="1"/>
  <c r="C33" i="5" l="1"/>
  <c r="C32" i="5"/>
  <c r="C31" i="5"/>
  <c r="C26" i="5"/>
  <c r="C24" i="5"/>
  <c r="C23" i="5"/>
  <c r="C22" i="5"/>
  <c r="C21" i="5"/>
  <c r="C20" i="5"/>
  <c r="C19" i="5"/>
  <c r="C18" i="5"/>
  <c r="C16" i="5"/>
  <c r="C15" i="5"/>
  <c r="M730" i="3" l="1"/>
  <c r="M778" i="3" l="1"/>
  <c r="M636" i="3"/>
  <c r="M556" i="3" l="1"/>
  <c r="M557" i="3"/>
  <c r="M592" i="3"/>
  <c r="M361" i="3"/>
  <c r="M216" i="3" l="1"/>
  <c r="M166" i="3" l="1"/>
  <c r="M170" i="3"/>
  <c r="M151" i="3" l="1"/>
  <c r="M711" i="3" l="1"/>
  <c r="M549" i="3"/>
  <c r="M487" i="3"/>
  <c r="M461" i="3" l="1"/>
  <c r="M31" i="19" l="1"/>
  <c r="M145" i="19"/>
  <c r="C75" i="2" l="1"/>
  <c r="C69" i="2"/>
  <c r="C61" i="2"/>
  <c r="C71" i="2"/>
  <c r="C68" i="2"/>
  <c r="M610" i="3"/>
  <c r="M609" i="3"/>
  <c r="M576" i="3"/>
  <c r="M564" i="3"/>
  <c r="I375" i="18" l="1"/>
  <c r="I374" i="18" s="1"/>
  <c r="H375" i="18"/>
  <c r="H374" i="18" s="1"/>
  <c r="H447" i="7"/>
  <c r="H446" i="7" s="1"/>
  <c r="M150" i="3"/>
  <c r="H467" i="7"/>
  <c r="H466" i="7" s="1"/>
  <c r="M144" i="19"/>
  <c r="N144" i="19"/>
  <c r="L145" i="19"/>
  <c r="L144" i="19" s="1"/>
  <c r="M169" i="3"/>
  <c r="L170" i="3"/>
  <c r="L169" i="3" s="1"/>
  <c r="L151" i="3"/>
  <c r="L150" i="3" s="1"/>
  <c r="M149" i="3"/>
  <c r="M504" i="3" l="1"/>
  <c r="M505" i="3"/>
  <c r="M521" i="3"/>
  <c r="M522" i="3"/>
  <c r="N42" i="19" l="1"/>
  <c r="M42" i="19"/>
  <c r="M42" i="3"/>
  <c r="D45" i="16" l="1"/>
  <c r="C45" i="16"/>
  <c r="C54" i="2"/>
  <c r="N513" i="19"/>
  <c r="M513" i="19"/>
  <c r="M723" i="3"/>
  <c r="M586" i="3"/>
  <c r="H128" i="7"/>
  <c r="L533" i="3"/>
  <c r="M532" i="3"/>
  <c r="M120" i="3"/>
  <c r="H204" i="7"/>
  <c r="H203" i="7" s="1"/>
  <c r="H202" i="7" s="1"/>
  <c r="M624" i="3" l="1"/>
  <c r="M623" i="3" s="1"/>
  <c r="L625" i="3"/>
  <c r="L624" i="3" s="1"/>
  <c r="L623" i="3" s="1"/>
  <c r="M689" i="3" l="1"/>
  <c r="M89" i="3"/>
  <c r="M75" i="3"/>
  <c r="M377" i="3"/>
  <c r="M387" i="3"/>
  <c r="M357" i="3"/>
  <c r="M353" i="3"/>
  <c r="M369" i="3"/>
  <c r="M346" i="3"/>
  <c r="M294" i="3"/>
  <c r="M648" i="3"/>
  <c r="M691" i="3"/>
  <c r="M664" i="3"/>
  <c r="M655" i="3"/>
  <c r="M692" i="3" l="1"/>
  <c r="C20" i="2"/>
  <c r="H611" i="7" l="1"/>
  <c r="H610" i="7" s="1"/>
  <c r="M284" i="3"/>
  <c r="M283" i="3" s="1"/>
  <c r="M282" i="3" s="1"/>
  <c r="L285" i="3"/>
  <c r="L284" i="3" s="1"/>
  <c r="L283" i="3" s="1"/>
  <c r="L282" i="3" s="1"/>
  <c r="M124" i="3" l="1"/>
  <c r="M29" i="3"/>
  <c r="M30" i="3"/>
  <c r="M129" i="3"/>
  <c r="M209" i="3"/>
  <c r="M84" i="3"/>
  <c r="M93" i="3"/>
  <c r="H604" i="7"/>
  <c r="H603" i="7" s="1"/>
  <c r="H602" i="7" s="1"/>
  <c r="H540" i="7"/>
  <c r="C32" i="2"/>
  <c r="M280" i="3"/>
  <c r="M279" i="3" s="1"/>
  <c r="L281" i="3"/>
  <c r="L280" i="3" s="1"/>
  <c r="L279" i="3" s="1"/>
  <c r="H539" i="7" l="1"/>
  <c r="H538" i="7" s="1"/>
  <c r="L95" i="3"/>
  <c r="M525" i="3"/>
  <c r="K601" i="19"/>
  <c r="K600" i="19"/>
  <c r="K598" i="19"/>
  <c r="K597" i="19" s="1"/>
  <c r="K595" i="19"/>
  <c r="K594" i="19"/>
  <c r="K592" i="19"/>
  <c r="K591" i="19" s="1"/>
  <c r="K584" i="19"/>
  <c r="K581" i="19"/>
  <c r="K578" i="19"/>
  <c r="K575" i="19"/>
  <c r="K564" i="19"/>
  <c r="K563" i="19" s="1"/>
  <c r="K562" i="19" s="1"/>
  <c r="K561" i="19" s="1"/>
  <c r="K560" i="19" s="1"/>
  <c r="K556" i="19"/>
  <c r="K555" i="19" s="1"/>
  <c r="K554" i="19" s="1"/>
  <c r="K553" i="19" s="1"/>
  <c r="K552" i="19" s="1"/>
  <c r="K549" i="19"/>
  <c r="K548" i="19" s="1"/>
  <c r="K546" i="19"/>
  <c r="K545" i="19" s="1"/>
  <c r="K543" i="19"/>
  <c r="K542" i="19" s="1"/>
  <c r="K534" i="19"/>
  <c r="K532" i="19"/>
  <c r="K531" i="19" s="1"/>
  <c r="K530" i="19" s="1"/>
  <c r="K529" i="19" s="1"/>
  <c r="K528" i="19" s="1"/>
  <c r="K527" i="19"/>
  <c r="K526" i="19" s="1"/>
  <c r="K525" i="19" s="1"/>
  <c r="K524" i="19"/>
  <c r="K522" i="19"/>
  <c r="K521" i="19" s="1"/>
  <c r="K517" i="19"/>
  <c r="K516" i="19" s="1"/>
  <c r="K515" i="19"/>
  <c r="K514" i="19"/>
  <c r="K512" i="19"/>
  <c r="K511" i="19"/>
  <c r="K510" i="19"/>
  <c r="K509" i="19"/>
  <c r="K508" i="19"/>
  <c r="K502" i="19"/>
  <c r="K501" i="19" s="1"/>
  <c r="K500" i="19" s="1"/>
  <c r="K495" i="19"/>
  <c r="K494" i="19" s="1"/>
  <c r="K493" i="19" s="1"/>
  <c r="K492" i="19" s="1"/>
  <c r="K491" i="19" s="1"/>
  <c r="K490" i="19" s="1"/>
  <c r="K484" i="19"/>
  <c r="K480" i="19"/>
  <c r="K474" i="19"/>
  <c r="K471" i="19"/>
  <c r="K467" i="19"/>
  <c r="K464" i="19"/>
  <c r="K463" i="19" s="1"/>
  <c r="K460" i="19"/>
  <c r="K459" i="19" s="1"/>
  <c r="K453" i="19"/>
  <c r="K452" i="19" s="1"/>
  <c r="K451" i="19" s="1"/>
  <c r="K450" i="19" s="1"/>
  <c r="K449" i="19" s="1"/>
  <c r="K447" i="19"/>
  <c r="K446" i="19" s="1"/>
  <c r="K445" i="19" s="1"/>
  <c r="K444" i="19" s="1"/>
  <c r="K443" i="19" s="1"/>
  <c r="K441" i="19"/>
  <c r="K439" i="19"/>
  <c r="K432" i="19"/>
  <c r="K431" i="19" s="1"/>
  <c r="K430" i="19" s="1"/>
  <c r="K429" i="19" s="1"/>
  <c r="K428" i="19" s="1"/>
  <c r="K427" i="19" s="1"/>
  <c r="K422" i="19"/>
  <c r="K421" i="19" s="1"/>
  <c r="K420" i="19" s="1"/>
  <c r="K419" i="19" s="1"/>
  <c r="K418" i="19" s="1"/>
  <c r="K417" i="19" s="1"/>
  <c r="K415" i="19"/>
  <c r="K413" i="19"/>
  <c r="K411" i="19"/>
  <c r="K409" i="19"/>
  <c r="K408" i="19"/>
  <c r="K405" i="19"/>
  <c r="K404" i="19" s="1"/>
  <c r="K398" i="19"/>
  <c r="K397" i="19"/>
  <c r="K396" i="19" s="1"/>
  <c r="K390" i="19"/>
  <c r="K389" i="19" s="1"/>
  <c r="K388" i="19" s="1"/>
  <c r="K387" i="19" s="1"/>
  <c r="K385" i="19"/>
  <c r="K383" i="19"/>
  <c r="K382" i="19"/>
  <c r="K381" i="19"/>
  <c r="K375" i="19"/>
  <c r="K369" i="19"/>
  <c r="K368" i="19" s="1"/>
  <c r="K367" i="19" s="1"/>
  <c r="K363" i="19"/>
  <c r="K361" i="19"/>
  <c r="K358" i="19"/>
  <c r="K355" i="19"/>
  <c r="K352" i="19"/>
  <c r="K348" i="19"/>
  <c r="K344" i="19"/>
  <c r="K341" i="19"/>
  <c r="K338" i="19"/>
  <c r="K337" i="19"/>
  <c r="K336" i="19"/>
  <c r="K335" i="19" s="1"/>
  <c r="K330" i="19"/>
  <c r="K324" i="19"/>
  <c r="K323" i="19" s="1"/>
  <c r="K322" i="19" s="1"/>
  <c r="K321" i="19" s="1"/>
  <c r="K319" i="19"/>
  <c r="K318" i="19" s="1"/>
  <c r="K317" i="19" s="1"/>
  <c r="K316" i="19" s="1"/>
  <c r="K314" i="19"/>
  <c r="K312" i="19"/>
  <c r="K311" i="19"/>
  <c r="K310" i="19" s="1"/>
  <c r="K308" i="19"/>
  <c r="K301" i="19"/>
  <c r="K300" i="19" s="1"/>
  <c r="K298" i="19"/>
  <c r="K297" i="19" s="1"/>
  <c r="K295" i="19"/>
  <c r="K294" i="19" s="1"/>
  <c r="K287" i="19"/>
  <c r="K286" i="19" s="1"/>
  <c r="K285" i="19" s="1"/>
  <c r="K284" i="19" s="1"/>
  <c r="K283" i="19" s="1"/>
  <c r="K282" i="19" s="1"/>
  <c r="K281" i="19" s="1"/>
  <c r="K279" i="19"/>
  <c r="K278" i="19"/>
  <c r="K277" i="19" s="1"/>
  <c r="K271" i="19"/>
  <c r="K270" i="19" s="1"/>
  <c r="K269" i="19" s="1"/>
  <c r="K268" i="19" s="1"/>
  <c r="K267" i="19" s="1"/>
  <c r="K266" i="19" s="1"/>
  <c r="K265" i="19"/>
  <c r="K264" i="19"/>
  <c r="K263" i="19"/>
  <c r="K262" i="19" s="1"/>
  <c r="K256" i="19"/>
  <c r="K255" i="19"/>
  <c r="K254" i="19" s="1"/>
  <c r="K253" i="19" s="1"/>
  <c r="K252" i="19" s="1"/>
  <c r="K251" i="19" s="1"/>
  <c r="K250" i="19" s="1"/>
  <c r="K247" i="19"/>
  <c r="K246" i="19" s="1"/>
  <c r="K245" i="19" s="1"/>
  <c r="K244" i="19" s="1"/>
  <c r="K242" i="19"/>
  <c r="K241" i="19" s="1"/>
  <c r="K239" i="19"/>
  <c r="K238" i="19" s="1"/>
  <c r="K236" i="19"/>
  <c r="K234" i="19"/>
  <c r="K233" i="19"/>
  <c r="K232" i="19" s="1"/>
  <c r="K228" i="19"/>
  <c r="K224" i="19"/>
  <c r="K223" i="19" s="1"/>
  <c r="K222" i="19" s="1"/>
  <c r="K213" i="19"/>
  <c r="K212" i="19" s="1"/>
  <c r="K211" i="19" s="1"/>
  <c r="K210" i="19" s="1"/>
  <c r="K209" i="19" s="1"/>
  <c r="K208" i="19" s="1"/>
  <c r="K205" i="19"/>
  <c r="K204" i="19" s="1"/>
  <c r="K203" i="19" s="1"/>
  <c r="K202" i="19" s="1"/>
  <c r="K201" i="19" s="1"/>
  <c r="K200" i="19" s="1"/>
  <c r="K198" i="19"/>
  <c r="K197" i="19" s="1"/>
  <c r="K195" i="19"/>
  <c r="K194" i="19" s="1"/>
  <c r="K187" i="19"/>
  <c r="K186" i="19" s="1"/>
  <c r="K185" i="19" s="1"/>
  <c r="K184" i="19" s="1"/>
  <c r="K183" i="19" s="1"/>
  <c r="K178" i="19"/>
  <c r="K177" i="19" s="1"/>
  <c r="K176" i="19" s="1"/>
  <c r="K175" i="19" s="1"/>
  <c r="K174" i="19" s="1"/>
  <c r="K172" i="19"/>
  <c r="K171" i="19" s="1"/>
  <c r="K170" i="19" s="1"/>
  <c r="K169" i="19" s="1"/>
  <c r="K168" i="19" s="1"/>
  <c r="K165" i="19"/>
  <c r="K164" i="19" s="1"/>
  <c r="K163" i="19" s="1"/>
  <c r="K162" i="19" s="1"/>
  <c r="K161" i="19" s="1"/>
  <c r="K159" i="19"/>
  <c r="K158" i="19" s="1"/>
  <c r="K157" i="19" s="1"/>
  <c r="K156" i="19" s="1"/>
  <c r="K155" i="19" s="1"/>
  <c r="K153" i="19"/>
  <c r="K152" i="19" s="1"/>
  <c r="K151" i="19"/>
  <c r="K149" i="19" s="1"/>
  <c r="K143" i="19"/>
  <c r="K142" i="19"/>
  <c r="K141" i="19"/>
  <c r="K140" i="19" s="1"/>
  <c r="K135" i="19"/>
  <c r="K134" i="19" s="1"/>
  <c r="K133" i="19" s="1"/>
  <c r="K131" i="19"/>
  <c r="K130" i="19" s="1"/>
  <c r="K129" i="19" s="1"/>
  <c r="K125" i="19"/>
  <c r="K124" i="19" s="1"/>
  <c r="K123" i="19" s="1"/>
  <c r="K122" i="19" s="1"/>
  <c r="K121" i="19" s="1"/>
  <c r="K119" i="19"/>
  <c r="K118" i="19" s="1"/>
  <c r="K116" i="19"/>
  <c r="K115" i="19" s="1"/>
  <c r="K109" i="19"/>
  <c r="K108" i="19" s="1"/>
  <c r="K107" i="19" s="1"/>
  <c r="K104" i="19"/>
  <c r="K103" i="19"/>
  <c r="K102" i="19" s="1"/>
  <c r="K101" i="19" s="1"/>
  <c r="K99" i="19"/>
  <c r="K98" i="19" s="1"/>
  <c r="K96" i="19"/>
  <c r="K95" i="19" s="1"/>
  <c r="K90" i="19"/>
  <c r="K88" i="19"/>
  <c r="K81" i="19"/>
  <c r="K80" i="19" s="1"/>
  <c r="K78" i="19"/>
  <c r="K77" i="19" s="1"/>
  <c r="K75" i="19"/>
  <c r="K73" i="19"/>
  <c r="K69" i="19"/>
  <c r="K68" i="19" s="1"/>
  <c r="K64" i="19"/>
  <c r="K63" i="19" s="1"/>
  <c r="K62" i="19" s="1"/>
  <c r="K61" i="19" s="1"/>
  <c r="K58" i="19"/>
  <c r="K57" i="19" s="1"/>
  <c r="K56" i="19" s="1"/>
  <c r="K55" i="19" s="1"/>
  <c r="K54" i="19"/>
  <c r="K53" i="19" s="1"/>
  <c r="K52" i="19" s="1"/>
  <c r="K51" i="19" s="1"/>
  <c r="K50" i="19" s="1"/>
  <c r="K49" i="19" s="1"/>
  <c r="K47" i="19"/>
  <c r="K46" i="19" s="1"/>
  <c r="K45" i="19"/>
  <c r="K44" i="19"/>
  <c r="K43" i="19" s="1"/>
  <c r="K42" i="19"/>
  <c r="K41" i="19"/>
  <c r="K39" i="19"/>
  <c r="K38" i="19" s="1"/>
  <c r="K37" i="19"/>
  <c r="K36" i="19" s="1"/>
  <c r="K34" i="19"/>
  <c r="K32" i="19"/>
  <c r="K31" i="19"/>
  <c r="K30" i="19"/>
  <c r="K24" i="19"/>
  <c r="K23" i="19" s="1"/>
  <c r="K22" i="19" s="1"/>
  <c r="K21" i="19" s="1"/>
  <c r="K20" i="19" s="1"/>
  <c r="K817" i="3"/>
  <c r="K816" i="3"/>
  <c r="K814" i="3"/>
  <c r="K813" i="3" s="1"/>
  <c r="K811" i="3"/>
  <c r="K810" i="3"/>
  <c r="K803" i="3"/>
  <c r="K800" i="3"/>
  <c r="K797" i="3"/>
  <c r="K794" i="3"/>
  <c r="K784" i="3"/>
  <c r="K783" i="3"/>
  <c r="K782" i="3" s="1"/>
  <c r="K781" i="3" s="1"/>
  <c r="K780" i="3" s="1"/>
  <c r="K779" i="3" s="1"/>
  <c r="K778" i="3"/>
  <c r="K777" i="3" s="1"/>
  <c r="K773" i="3"/>
  <c r="K766" i="3"/>
  <c r="K765" i="3" s="1"/>
  <c r="K763" i="3"/>
  <c r="K762" i="3" s="1"/>
  <c r="K760" i="3"/>
  <c r="K759" i="3" s="1"/>
  <c r="K750" i="3"/>
  <c r="K749" i="3" s="1"/>
  <c r="K748" i="3" s="1"/>
  <c r="K747" i="3" s="1"/>
  <c r="K746" i="3" s="1"/>
  <c r="K745" i="3" s="1"/>
  <c r="K744" i="3"/>
  <c r="K743" i="3" s="1"/>
  <c r="K742" i="3" s="1"/>
  <c r="K741" i="3" s="1"/>
  <c r="K740" i="3" s="1"/>
  <c r="K739" i="3" s="1"/>
  <c r="K738" i="3"/>
  <c r="K737" i="3" s="1"/>
  <c r="K736" i="3" s="1"/>
  <c r="K735" i="3" s="1"/>
  <c r="K734" i="3"/>
  <c r="K733" i="3" s="1"/>
  <c r="K730" i="3"/>
  <c r="K729" i="3" s="1"/>
  <c r="K727" i="3"/>
  <c r="K726" i="3" s="1"/>
  <c r="K725" i="3"/>
  <c r="K724" i="3" s="1"/>
  <c r="K722" i="3"/>
  <c r="K721" i="3"/>
  <c r="K720" i="3" s="1"/>
  <c r="K718" i="3"/>
  <c r="K716" i="3"/>
  <c r="K715" i="3"/>
  <c r="K710" i="3"/>
  <c r="K709" i="3" s="1"/>
  <c r="K708" i="3" s="1"/>
  <c r="K703" i="3"/>
  <c r="K702" i="3" s="1"/>
  <c r="K701" i="3" s="1"/>
  <c r="K700" i="3" s="1"/>
  <c r="K699" i="3" s="1"/>
  <c r="K698" i="3" s="1"/>
  <c r="K695" i="3"/>
  <c r="K694" i="3" s="1"/>
  <c r="K692" i="3"/>
  <c r="K691" i="3"/>
  <c r="K688" i="3"/>
  <c r="K687" i="3"/>
  <c r="K683" i="3"/>
  <c r="K682" i="3" s="1"/>
  <c r="K681" i="3" s="1"/>
  <c r="K680" i="3" s="1"/>
  <c r="K677" i="3"/>
  <c r="K676" i="3" s="1"/>
  <c r="K675" i="3"/>
  <c r="K674" i="3"/>
  <c r="K669" i="3"/>
  <c r="K667" i="3"/>
  <c r="K664" i="3"/>
  <c r="K663" i="3" s="1"/>
  <c r="K661" i="3"/>
  <c r="K660" i="3" s="1"/>
  <c r="K658" i="3"/>
  <c r="K656" i="3"/>
  <c r="K655" i="3"/>
  <c r="K654" i="3" s="1"/>
  <c r="K647" i="3"/>
  <c r="K646" i="3" s="1"/>
  <c r="K645" i="3" s="1"/>
  <c r="K644" i="3" s="1"/>
  <c r="K643" i="3" s="1"/>
  <c r="K641" i="3"/>
  <c r="K640" i="3" s="1"/>
  <c r="K639" i="3" s="1"/>
  <c r="K638" i="3" s="1"/>
  <c r="K637" i="3" s="1"/>
  <c r="K636" i="3"/>
  <c r="K635" i="3" s="1"/>
  <c r="K634" i="3"/>
  <c r="K633" i="3" s="1"/>
  <c r="K632" i="3"/>
  <c r="K631" i="3" s="1"/>
  <c r="K621" i="3"/>
  <c r="K620" i="3" s="1"/>
  <c r="K619" i="3"/>
  <c r="K608" i="3"/>
  <c r="K607" i="3" s="1"/>
  <c r="K606" i="3" s="1"/>
  <c r="K605" i="3" s="1"/>
  <c r="K604" i="3" s="1"/>
  <c r="K603" i="3" s="1"/>
  <c r="K600" i="3"/>
  <c r="K598" i="3"/>
  <c r="K596" i="3"/>
  <c r="K594" i="3"/>
  <c r="K592" i="3"/>
  <c r="K591" i="3"/>
  <c r="K590" i="3"/>
  <c r="K587" i="3"/>
  <c r="K586" i="3"/>
  <c r="K581" i="3"/>
  <c r="K580" i="3" s="1"/>
  <c r="K579" i="3" s="1"/>
  <c r="K576" i="3"/>
  <c r="K575" i="3" s="1"/>
  <c r="K574" i="3"/>
  <c r="K573" i="3" s="1"/>
  <c r="K567" i="3"/>
  <c r="K566" i="3"/>
  <c r="K565" i="3" s="1"/>
  <c r="K563" i="3"/>
  <c r="K561" i="3"/>
  <c r="K560" i="3" s="1"/>
  <c r="K558" i="3"/>
  <c r="K557" i="3"/>
  <c r="K556" i="3"/>
  <c r="K552" i="3"/>
  <c r="K551" i="3"/>
  <c r="K550" i="3"/>
  <c r="K549" i="3"/>
  <c r="K541" i="3"/>
  <c r="K538" i="3"/>
  <c r="K534" i="3"/>
  <c r="K532" i="3" s="1"/>
  <c r="K531" i="3" s="1"/>
  <c r="K530" i="3" s="1"/>
  <c r="K526" i="3"/>
  <c r="K525" i="3"/>
  <c r="K524" i="3"/>
  <c r="K522" i="3"/>
  <c r="K521" i="3"/>
  <c r="K517" i="3"/>
  <c r="K514" i="3"/>
  <c r="K513" i="3"/>
  <c r="K512" i="3"/>
  <c r="K511" i="3"/>
  <c r="K509" i="3"/>
  <c r="K507" i="3"/>
  <c r="K506" i="3" s="1"/>
  <c r="K503" i="3"/>
  <c r="K501" i="3"/>
  <c r="K500" i="3"/>
  <c r="K499" i="3"/>
  <c r="K498" i="3"/>
  <c r="K497" i="3" s="1"/>
  <c r="K496" i="3"/>
  <c r="K495" i="3"/>
  <c r="K493" i="3"/>
  <c r="K492" i="3"/>
  <c r="K490" i="3"/>
  <c r="K489" i="3"/>
  <c r="K488" i="3"/>
  <c r="K487" i="3"/>
  <c r="K480" i="3"/>
  <c r="K479" i="3" s="1"/>
  <c r="K478" i="3" s="1"/>
  <c r="K477" i="3" s="1"/>
  <c r="K475" i="3"/>
  <c r="K473" i="3"/>
  <c r="K468" i="3"/>
  <c r="K466" i="3"/>
  <c r="K464" i="3"/>
  <c r="K463" i="3"/>
  <c r="K462" i="3" s="1"/>
  <c r="K461" i="3"/>
  <c r="K460" i="3" s="1"/>
  <c r="K459" i="3"/>
  <c r="K458" i="3" s="1"/>
  <c r="K451" i="3"/>
  <c r="K450" i="3" s="1"/>
  <c r="K448" i="3"/>
  <c r="K447" i="3" s="1"/>
  <c r="K445" i="3"/>
  <c r="K444" i="3" s="1"/>
  <c r="K436" i="3"/>
  <c r="K435" i="3" s="1"/>
  <c r="K434" i="3" s="1"/>
  <c r="K433" i="3" s="1"/>
  <c r="K432" i="3" s="1"/>
  <c r="K431" i="3" s="1"/>
  <c r="K430" i="3"/>
  <c r="K429" i="3" s="1"/>
  <c r="K428" i="3" s="1"/>
  <c r="K427" i="3" s="1"/>
  <c r="K426" i="3" s="1"/>
  <c r="K425" i="3" s="1"/>
  <c r="K424" i="3" s="1"/>
  <c r="K422" i="3"/>
  <c r="K421" i="3" s="1"/>
  <c r="K420" i="3" s="1"/>
  <c r="K419" i="3" s="1"/>
  <c r="K418" i="3" s="1"/>
  <c r="K417" i="3"/>
  <c r="K416" i="3" s="1"/>
  <c r="K415" i="3" s="1"/>
  <c r="K414" i="3" s="1"/>
  <c r="K413" i="3" s="1"/>
  <c r="K412" i="3" s="1"/>
  <c r="K411" i="3"/>
  <c r="K410" i="3" s="1"/>
  <c r="K409" i="3"/>
  <c r="K408" i="3" s="1"/>
  <c r="K402" i="3"/>
  <c r="K401" i="3" s="1"/>
  <c r="K400" i="3" s="1"/>
  <c r="K399" i="3" s="1"/>
  <c r="K398" i="3" s="1"/>
  <c r="K397" i="3" s="1"/>
  <c r="K396" i="3" s="1"/>
  <c r="K395" i="3"/>
  <c r="K394" i="3" s="1"/>
  <c r="K393" i="3" s="1"/>
  <c r="K392" i="3" s="1"/>
  <c r="K391" i="3" s="1"/>
  <c r="K390" i="3" s="1"/>
  <c r="K389" i="3" s="1"/>
  <c r="K387" i="3"/>
  <c r="K386" i="3" s="1"/>
  <c r="K385" i="3" s="1"/>
  <c r="K384" i="3" s="1"/>
  <c r="K383" i="3" s="1"/>
  <c r="K381" i="3"/>
  <c r="K380" i="3" s="1"/>
  <c r="K379" i="3" s="1"/>
  <c r="K378" i="3" s="1"/>
  <c r="K376" i="3"/>
  <c r="K375" i="3" s="1"/>
  <c r="K374" i="3" s="1"/>
  <c r="K373" i="3"/>
  <c r="K372" i="3" s="1"/>
  <c r="K371" i="3" s="1"/>
  <c r="K368" i="3"/>
  <c r="K367" i="3" s="1"/>
  <c r="K366" i="3"/>
  <c r="K365" i="3" s="1"/>
  <c r="K364" i="3" s="1"/>
  <c r="K361" i="3"/>
  <c r="K360" i="3" s="1"/>
  <c r="K359" i="3"/>
  <c r="K357" i="3"/>
  <c r="K354" i="3"/>
  <c r="K353" i="3"/>
  <c r="K349" i="3"/>
  <c r="K348" i="3" s="1"/>
  <c r="K347" i="3" s="1"/>
  <c r="K346" i="3"/>
  <c r="K345" i="3" s="1"/>
  <c r="K344" i="3" s="1"/>
  <c r="K336" i="3"/>
  <c r="K334" i="3"/>
  <c r="K333" i="3"/>
  <c r="K324" i="3"/>
  <c r="K323" i="3" s="1"/>
  <c r="K322" i="3" s="1"/>
  <c r="K321" i="3" s="1"/>
  <c r="K320" i="3" s="1"/>
  <c r="K318" i="3"/>
  <c r="K317" i="3" s="1"/>
  <c r="K316" i="3" s="1"/>
  <c r="K315" i="3" s="1"/>
  <c r="K314" i="3" s="1"/>
  <c r="K311" i="3"/>
  <c r="K310" i="3" s="1"/>
  <c r="K309" i="3" s="1"/>
  <c r="K308" i="3" s="1"/>
  <c r="K307" i="3" s="1"/>
  <c r="K306" i="3" s="1"/>
  <c r="K304" i="3"/>
  <c r="K303" i="3" s="1"/>
  <c r="K301" i="3"/>
  <c r="K300" i="3" s="1"/>
  <c r="K295" i="3"/>
  <c r="K294" i="3"/>
  <c r="K277" i="3"/>
  <c r="K276" i="3" s="1"/>
  <c r="K274" i="3"/>
  <c r="K273" i="3" s="1"/>
  <c r="K271" i="3"/>
  <c r="K270" i="3" s="1"/>
  <c r="K268" i="3"/>
  <c r="K267" i="3" s="1"/>
  <c r="K265" i="3"/>
  <c r="K264" i="3" s="1"/>
  <c r="K262" i="3"/>
  <c r="K261" i="3" s="1"/>
  <c r="K259" i="3"/>
  <c r="K258" i="3" s="1"/>
  <c r="K256" i="3"/>
  <c r="K255" i="3" s="1"/>
  <c r="K253" i="3"/>
  <c r="K252" i="3" s="1"/>
  <c r="K250" i="3"/>
  <c r="K249" i="3" s="1"/>
  <c r="K247" i="3"/>
  <c r="K246" i="3" s="1"/>
  <c r="K244" i="3"/>
  <c r="K243" i="3" s="1"/>
  <c r="K241" i="3"/>
  <c r="K240" i="3" s="1"/>
  <c r="K238" i="3"/>
  <c r="K237" i="3" s="1"/>
  <c r="K235" i="3"/>
  <c r="K234" i="3" s="1"/>
  <c r="K228" i="3"/>
  <c r="K227" i="3" s="1"/>
  <c r="K226" i="3" s="1"/>
  <c r="K225" i="3" s="1"/>
  <c r="K224" i="3" s="1"/>
  <c r="K223" i="3" s="1"/>
  <c r="K222" i="3"/>
  <c r="K221" i="3" s="1"/>
  <c r="K220" i="3" s="1"/>
  <c r="K219" i="3" s="1"/>
  <c r="K218" i="3" s="1"/>
  <c r="K217" i="3" s="1"/>
  <c r="K216" i="3"/>
  <c r="K215" i="3" s="1"/>
  <c r="K214" i="3" s="1"/>
  <c r="K213" i="3" s="1"/>
  <c r="K212" i="3" s="1"/>
  <c r="K211" i="3" s="1"/>
  <c r="K209" i="3"/>
  <c r="K208" i="3" s="1"/>
  <c r="K207" i="3" s="1"/>
  <c r="K206" i="3" s="1"/>
  <c r="K205" i="3" s="1"/>
  <c r="K204" i="3" s="1"/>
  <c r="K203" i="3" s="1"/>
  <c r="K201" i="3"/>
  <c r="K200" i="3" s="1"/>
  <c r="K199" i="3" s="1"/>
  <c r="K197" i="3"/>
  <c r="K196" i="3" s="1"/>
  <c r="K195" i="3" s="1"/>
  <c r="K192" i="3"/>
  <c r="K191" i="3" s="1"/>
  <c r="K190" i="3"/>
  <c r="K189" i="3" s="1"/>
  <c r="K188" i="3"/>
  <c r="K187" i="3" s="1"/>
  <c r="K181" i="3"/>
  <c r="K180" i="3" s="1"/>
  <c r="K179" i="3"/>
  <c r="K178" i="3" s="1"/>
  <c r="K175" i="3"/>
  <c r="K174" i="3" s="1"/>
  <c r="K168" i="3"/>
  <c r="K167" i="3" s="1"/>
  <c r="K166" i="3"/>
  <c r="K165" i="3" s="1"/>
  <c r="K160" i="3"/>
  <c r="K159" i="3" s="1"/>
  <c r="K158" i="3" s="1"/>
  <c r="K156" i="3"/>
  <c r="K155" i="3" s="1"/>
  <c r="K154" i="3" s="1"/>
  <c r="K149" i="3"/>
  <c r="K148" i="3"/>
  <c r="K147" i="3" s="1"/>
  <c r="K146" i="3" s="1"/>
  <c r="K145" i="3" s="1"/>
  <c r="K144" i="3" s="1"/>
  <c r="K142" i="3"/>
  <c r="K141" i="3" s="1"/>
  <c r="K140" i="3"/>
  <c r="K139" i="3" s="1"/>
  <c r="K138" i="3" s="1"/>
  <c r="K132" i="3"/>
  <c r="K131" i="3" s="1"/>
  <c r="K130" i="3" s="1"/>
  <c r="K128" i="3"/>
  <c r="K127" i="3" s="1"/>
  <c r="K125" i="3"/>
  <c r="K124" i="3"/>
  <c r="K119" i="3"/>
  <c r="K118" i="3" s="1"/>
  <c r="K116" i="3"/>
  <c r="K115" i="3"/>
  <c r="K114" i="3" s="1"/>
  <c r="K108" i="3"/>
  <c r="K107" i="3"/>
  <c r="K106" i="3" s="1"/>
  <c r="K104" i="3"/>
  <c r="K102" i="3"/>
  <c r="K92" i="3"/>
  <c r="K91" i="3" s="1"/>
  <c r="K90" i="3" s="1"/>
  <c r="K88" i="3"/>
  <c r="K87" i="3" s="1"/>
  <c r="K85" i="3"/>
  <c r="K83" i="3"/>
  <c r="K80" i="3"/>
  <c r="K79" i="3" s="1"/>
  <c r="K78" i="3" s="1"/>
  <c r="K76" i="3"/>
  <c r="K74" i="3"/>
  <c r="K70" i="3"/>
  <c r="K69" i="3" s="1"/>
  <c r="K68" i="3" s="1"/>
  <c r="K67" i="3" s="1"/>
  <c r="K66" i="3" s="1"/>
  <c r="K64" i="3"/>
  <c r="K63" i="3" s="1"/>
  <c r="K62" i="3" s="1"/>
  <c r="K61" i="3" s="1"/>
  <c r="K59" i="3"/>
  <c r="K58" i="3" s="1"/>
  <c r="K57" i="3" s="1"/>
  <c r="K56" i="3" s="1"/>
  <c r="K55" i="3" s="1"/>
  <c r="K54" i="3"/>
  <c r="K53" i="3"/>
  <c r="K52" i="3" s="1"/>
  <c r="K51" i="3" s="1"/>
  <c r="K50" i="3" s="1"/>
  <c r="K49" i="3" s="1"/>
  <c r="K48" i="3"/>
  <c r="K47" i="3" s="1"/>
  <c r="K46" i="3" s="1"/>
  <c r="K45" i="3"/>
  <c r="K44" i="3"/>
  <c r="K41" i="3"/>
  <c r="K39" i="3"/>
  <c r="K38" i="3" s="1"/>
  <c r="K37" i="3"/>
  <c r="K36" i="3" s="1"/>
  <c r="K34" i="3"/>
  <c r="K32" i="3"/>
  <c r="K30" i="3"/>
  <c r="K29" i="3"/>
  <c r="K23" i="3"/>
  <c r="K22" i="3" s="1"/>
  <c r="K21" i="3" s="1"/>
  <c r="K20" i="3" s="1"/>
  <c r="K19" i="3" s="1"/>
  <c r="K18" i="3" s="1"/>
  <c r="K520" i="3" l="1"/>
  <c r="K380" i="19"/>
  <c r="K491" i="3"/>
  <c r="K690" i="3"/>
  <c r="K506" i="19"/>
  <c r="K332" i="3"/>
  <c r="K331" i="3" s="1"/>
  <c r="K330" i="3" s="1"/>
  <c r="K329" i="3" s="1"/>
  <c r="K328" i="3" s="1"/>
  <c r="K327" i="3" s="1"/>
  <c r="K28" i="3"/>
  <c r="K293" i="3"/>
  <c r="K292" i="3" s="1"/>
  <c r="K291" i="3" s="1"/>
  <c r="K290" i="3" s="1"/>
  <c r="K289" i="3" s="1"/>
  <c r="K523" i="3"/>
  <c r="K510" i="3"/>
  <c r="K123" i="3"/>
  <c r="K122" i="3" s="1"/>
  <c r="K121" i="3" s="1"/>
  <c r="K356" i="3"/>
  <c r="K555" i="3"/>
  <c r="K589" i="3"/>
  <c r="K686" i="3"/>
  <c r="K714" i="3"/>
  <c r="K713" i="3" s="1"/>
  <c r="K352" i="3"/>
  <c r="K486" i="3"/>
  <c r="K548" i="3"/>
  <c r="K462" i="19"/>
  <c r="K458" i="19" s="1"/>
  <c r="L94" i="3"/>
  <c r="L93" i="3" s="1"/>
  <c r="K139" i="19"/>
  <c r="K138" i="19" s="1"/>
  <c r="K137" i="19" s="1"/>
  <c r="K505" i="19"/>
  <c r="K504" i="19" s="1"/>
  <c r="K403" i="19"/>
  <c r="K402" i="19" s="1"/>
  <c r="K401" i="19" s="1"/>
  <c r="K400" i="19" s="1"/>
  <c r="K128" i="19"/>
  <c r="K261" i="19"/>
  <c r="K260" i="19" s="1"/>
  <c r="K259" i="19" s="1"/>
  <c r="K258" i="19" s="1"/>
  <c r="K257" i="19" s="1"/>
  <c r="K276" i="19"/>
  <c r="K275" i="19" s="1"/>
  <c r="K274" i="19" s="1"/>
  <c r="K273" i="19" s="1"/>
  <c r="K272" i="19" s="1"/>
  <c r="K574" i="19"/>
  <c r="K573" i="19" s="1"/>
  <c r="K572" i="19" s="1"/>
  <c r="K571" i="19" s="1"/>
  <c r="K590" i="19"/>
  <c r="K589" i="19" s="1"/>
  <c r="K588" i="19" s="1"/>
  <c r="K587" i="19" s="1"/>
  <c r="K87" i="19"/>
  <c r="K86" i="19" s="1"/>
  <c r="K85" i="19" s="1"/>
  <c r="K84" i="19" s="1"/>
  <c r="K148" i="19"/>
  <c r="K147" i="19" s="1"/>
  <c r="K146" i="19" s="1"/>
  <c r="K329" i="19"/>
  <c r="K328" i="19" s="1"/>
  <c r="K327" i="19" s="1"/>
  <c r="K326" i="19" s="1"/>
  <c r="K479" i="19"/>
  <c r="K478" i="19" s="1"/>
  <c r="K477" i="19" s="1"/>
  <c r="K476" i="19" s="1"/>
  <c r="K72" i="19"/>
  <c r="K67" i="19" s="1"/>
  <c r="K66" i="19" s="1"/>
  <c r="K60" i="19" s="1"/>
  <c r="K520" i="19"/>
  <c r="K519" i="19" s="1"/>
  <c r="K518" i="19" s="1"/>
  <c r="K395" i="19"/>
  <c r="K394" i="19" s="1"/>
  <c r="K393" i="19" s="1"/>
  <c r="K392" i="19" s="1"/>
  <c r="K438" i="19"/>
  <c r="K437" i="19" s="1"/>
  <c r="K436" i="19" s="1"/>
  <c r="K435" i="19" s="1"/>
  <c r="K434" i="19" s="1"/>
  <c r="K470" i="19"/>
  <c r="K469" i="19" s="1"/>
  <c r="K94" i="19"/>
  <c r="K93" i="19" s="1"/>
  <c r="K92" i="19" s="1"/>
  <c r="K114" i="19"/>
  <c r="K113" i="19" s="1"/>
  <c r="K112" i="19" s="1"/>
  <c r="K227" i="19"/>
  <c r="K226" i="19" s="1"/>
  <c r="K221" i="19" s="1"/>
  <c r="K220" i="19" s="1"/>
  <c r="K219" i="19" s="1"/>
  <c r="K293" i="19"/>
  <c r="K292" i="19" s="1"/>
  <c r="K291" i="19" s="1"/>
  <c r="K290" i="19" s="1"/>
  <c r="K307" i="19"/>
  <c r="K306" i="19" s="1"/>
  <c r="K305" i="19" s="1"/>
  <c r="K304" i="19" s="1"/>
  <c r="K374" i="19"/>
  <c r="K373" i="19" s="1"/>
  <c r="K372" i="19" s="1"/>
  <c r="K371" i="19" s="1"/>
  <c r="K193" i="19"/>
  <c r="K192" i="19" s="1"/>
  <c r="K191" i="19" s="1"/>
  <c r="K182" i="19" s="1"/>
  <c r="K181" i="19" s="1"/>
  <c r="K585" i="3"/>
  <c r="K43" i="3"/>
  <c r="K494" i="3"/>
  <c r="K618" i="3"/>
  <c r="K617" i="3" s="1"/>
  <c r="K616" i="3" s="1"/>
  <c r="K615" i="3" s="1"/>
  <c r="K673" i="3"/>
  <c r="K672" i="3" s="1"/>
  <c r="K671" i="3" s="1"/>
  <c r="K194" i="3"/>
  <c r="K193" i="3" s="1"/>
  <c r="K370" i="3"/>
  <c r="K73" i="3"/>
  <c r="K82" i="3"/>
  <c r="K653" i="3"/>
  <c r="K472" i="3"/>
  <c r="K471" i="3" s="1"/>
  <c r="K470" i="3" s="1"/>
  <c r="K173" i="3"/>
  <c r="K172" i="3" s="1"/>
  <c r="K171" i="3" s="1"/>
  <c r="K728" i="3"/>
  <c r="K101" i="3"/>
  <c r="K100" i="3" s="1"/>
  <c r="K99" i="3" s="1"/>
  <c r="K98" i="3" s="1"/>
  <c r="K407" i="3"/>
  <c r="K406" i="3" s="1"/>
  <c r="K405" i="3" s="1"/>
  <c r="K404" i="3" s="1"/>
  <c r="K403" i="3" s="1"/>
  <c r="K313" i="3"/>
  <c r="K630" i="3"/>
  <c r="K629" i="3" s="1"/>
  <c r="K628" i="3" s="1"/>
  <c r="K627" i="3" s="1"/>
  <c r="K626" i="3" s="1"/>
  <c r="K662" i="3"/>
  <c r="K343" i="3"/>
  <c r="K457" i="3"/>
  <c r="K456" i="3" s="1"/>
  <c r="K455" i="3" s="1"/>
  <c r="K793" i="3"/>
  <c r="K792" i="3" s="1"/>
  <c r="K791" i="3" s="1"/>
  <c r="K790" i="3" s="1"/>
  <c r="K186" i="3"/>
  <c r="K184" i="3" s="1"/>
  <c r="K183" i="3" s="1"/>
  <c r="K113" i="3"/>
  <c r="K112" i="3" s="1"/>
  <c r="K299" i="3"/>
  <c r="K298" i="3" s="1"/>
  <c r="K297" i="3" s="1"/>
  <c r="K772" i="3"/>
  <c r="K771" i="3" s="1"/>
  <c r="K770" i="3" s="1"/>
  <c r="K769" i="3" s="1"/>
  <c r="K768" i="3" s="1"/>
  <c r="K443" i="3"/>
  <c r="K442" i="3" s="1"/>
  <c r="K441" i="3" s="1"/>
  <c r="K440" i="3" s="1"/>
  <c r="K537" i="3"/>
  <c r="K536" i="3" s="1"/>
  <c r="K535" i="3" s="1"/>
  <c r="K153" i="3"/>
  <c r="K137" i="3"/>
  <c r="K136" i="3" s="1"/>
  <c r="K135" i="3" s="1"/>
  <c r="K164" i="3"/>
  <c r="K163" i="3" s="1"/>
  <c r="K162" i="3" s="1"/>
  <c r="K167" i="19"/>
  <c r="K499" i="19"/>
  <c r="K498" i="19" s="1"/>
  <c r="K497" i="19" s="1"/>
  <c r="K489" i="19" s="1"/>
  <c r="K551" i="19"/>
  <c r="K29" i="19"/>
  <c r="K28" i="19" s="1"/>
  <c r="K27" i="19" s="1"/>
  <c r="K26" i="19" s="1"/>
  <c r="K154" i="19"/>
  <c r="K541" i="19"/>
  <c r="K540" i="19" s="1"/>
  <c r="K539" i="19" s="1"/>
  <c r="K538" i="19" s="1"/>
  <c r="K210" i="3"/>
  <c r="K233" i="3"/>
  <c r="K232" i="3" s="1"/>
  <c r="K231" i="3" s="1"/>
  <c r="K230" i="3" s="1"/>
  <c r="K572" i="3"/>
  <c r="K571" i="3" s="1"/>
  <c r="K570" i="3" s="1"/>
  <c r="K569" i="3" s="1"/>
  <c r="K758" i="3"/>
  <c r="K757" i="3" s="1"/>
  <c r="K756" i="3" s="1"/>
  <c r="K755" i="3" s="1"/>
  <c r="K809" i="3"/>
  <c r="K808" i="3" s="1"/>
  <c r="K807" i="3" s="1"/>
  <c r="K806" i="3" s="1"/>
  <c r="M677" i="3"/>
  <c r="M675" i="3"/>
  <c r="K288" i="3" l="1"/>
  <c r="K685" i="3"/>
  <c r="K684" i="3" s="1"/>
  <c r="K679" i="3" s="1"/>
  <c r="K678" i="3" s="1"/>
  <c r="K27" i="3"/>
  <c r="K26" i="3" s="1"/>
  <c r="K25" i="3" s="1"/>
  <c r="K24" i="3" s="1"/>
  <c r="K351" i="3"/>
  <c r="K350" i="3" s="1"/>
  <c r="K342" i="3" s="1"/>
  <c r="K341" i="3" s="1"/>
  <c r="K340" i="3" s="1"/>
  <c r="K339" i="3" s="1"/>
  <c r="K485" i="3"/>
  <c r="K484" i="3" s="1"/>
  <c r="K483" i="3" s="1"/>
  <c r="K482" i="3" s="1"/>
  <c r="K547" i="3"/>
  <c r="K546" i="3" s="1"/>
  <c r="K545" i="3" s="1"/>
  <c r="K544" i="3" s="1"/>
  <c r="K584" i="3"/>
  <c r="K583" i="3" s="1"/>
  <c r="K578" i="3" s="1"/>
  <c r="K577" i="3" s="1"/>
  <c r="K127" i="19"/>
  <c r="K111" i="19" s="1"/>
  <c r="K218" i="19"/>
  <c r="K570" i="19"/>
  <c r="K569" i="19" s="1"/>
  <c r="K457" i="19"/>
  <c r="K456" i="19" s="1"/>
  <c r="K455" i="19" s="1"/>
  <c r="K426" i="19" s="1"/>
  <c r="K303" i="19"/>
  <c r="K289" i="19" s="1"/>
  <c r="K83" i="19"/>
  <c r="K19" i="19"/>
  <c r="K537" i="19"/>
  <c r="K182" i="3"/>
  <c r="K72" i="3"/>
  <c r="K71" i="3" s="1"/>
  <c r="K60" i="3" s="1"/>
  <c r="K789" i="3"/>
  <c r="K788" i="3" s="1"/>
  <c r="K454" i="3"/>
  <c r="K652" i="3"/>
  <c r="K651" i="3" s="1"/>
  <c r="K650" i="3" s="1"/>
  <c r="K614" i="3"/>
  <c r="K613" i="3" s="1"/>
  <c r="K712" i="3"/>
  <c r="K707" i="3" s="1"/>
  <c r="K706" i="3" s="1"/>
  <c r="K705" i="3" s="1"/>
  <c r="K697" i="3" s="1"/>
  <c r="K152" i="3"/>
  <c r="K134" i="3" s="1"/>
  <c r="K111" i="3"/>
  <c r="K110" i="3" s="1"/>
  <c r="K97" i="3" s="1"/>
  <c r="K287" i="3"/>
  <c r="K185" i="3"/>
  <c r="K754" i="3"/>
  <c r="K649" i="3" l="1"/>
  <c r="K612" i="3" s="1"/>
  <c r="K17" i="3"/>
  <c r="K16" i="3" s="1"/>
  <c r="K18" i="19"/>
  <c r="K16" i="19"/>
  <c r="K453" i="3"/>
  <c r="K439" i="3" s="1"/>
  <c r="K15" i="3" l="1"/>
  <c r="M524" i="19"/>
  <c r="N508" i="19"/>
  <c r="N515" i="19"/>
  <c r="M515" i="19"/>
  <c r="M725" i="3"/>
  <c r="M695" i="3"/>
  <c r="M634" i="3"/>
  <c r="H601" i="7" l="1"/>
  <c r="H600" i="7" s="1"/>
  <c r="H599" i="7" s="1"/>
  <c r="M277" i="3"/>
  <c r="M276" i="3" s="1"/>
  <c r="L278" i="3"/>
  <c r="L277" i="3" s="1"/>
  <c r="L276" i="3" s="1"/>
  <c r="D36" i="16"/>
  <c r="D32" i="16" s="1"/>
  <c r="C36" i="16"/>
  <c r="C32" i="16" s="1"/>
  <c r="C42" i="2"/>
  <c r="C40" i="2" s="1"/>
  <c r="M538" i="3" l="1"/>
  <c r="E24" i="5" l="1"/>
  <c r="D24" i="5"/>
  <c r="D18" i="5"/>
  <c r="M263" i="19" l="1"/>
  <c r="I340" i="18"/>
  <c r="I339" i="18" s="1"/>
  <c r="I338" i="18" s="1"/>
  <c r="I337" i="18" s="1"/>
  <c r="H340" i="18"/>
  <c r="H339" i="18" s="1"/>
  <c r="H338" i="18" s="1"/>
  <c r="H337" i="18" s="1"/>
  <c r="N159" i="19"/>
  <c r="N158" i="19" s="1"/>
  <c r="N157" i="19" s="1"/>
  <c r="N156" i="19" s="1"/>
  <c r="N155" i="19" s="1"/>
  <c r="M159" i="19"/>
  <c r="M158" i="19" s="1"/>
  <c r="M157" i="19" s="1"/>
  <c r="M156" i="19" s="1"/>
  <c r="M155" i="19" s="1"/>
  <c r="M627" i="19" s="1"/>
  <c r="L160" i="19"/>
  <c r="L159" i="19" s="1"/>
  <c r="L158" i="19" s="1"/>
  <c r="L157" i="19" s="1"/>
  <c r="L156" i="19" s="1"/>
  <c r="L155" i="19" s="1"/>
  <c r="C30" i="2" l="1"/>
  <c r="C28" i="2"/>
  <c r="M190" i="3"/>
  <c r="M188" i="3"/>
  <c r="M574" i="3" l="1"/>
  <c r="M222" i="3"/>
  <c r="M508" i="19" l="1"/>
  <c r="M527" i="19"/>
  <c r="H372" i="7"/>
  <c r="L377" i="3"/>
  <c r="M359" i="3"/>
  <c r="M674" i="3" l="1"/>
  <c r="H287" i="7" l="1"/>
  <c r="H286" i="7"/>
  <c r="L540" i="3"/>
  <c r="L539" i="3"/>
  <c r="H285" i="7" l="1"/>
  <c r="L538" i="3"/>
  <c r="M473" i="3"/>
  <c r="L474" i="3"/>
  <c r="L473" i="3" s="1"/>
  <c r="L472" i="3" s="1"/>
  <c r="H391" i="7" l="1"/>
  <c r="M381" i="3"/>
  <c r="M380" i="3" s="1"/>
  <c r="M379" i="3" s="1"/>
  <c r="M378" i="3" s="1"/>
  <c r="L382" i="3"/>
  <c r="L381" i="3" s="1"/>
  <c r="L380" i="3" s="1"/>
  <c r="L379" i="3" s="1"/>
  <c r="L378" i="3" s="1"/>
  <c r="M430" i="3"/>
  <c r="M395" i="3" l="1"/>
  <c r="M375" i="3"/>
  <c r="H598" i="7" l="1"/>
  <c r="H597" i="7" s="1"/>
  <c r="H596" i="7" s="1"/>
  <c r="M271" i="3"/>
  <c r="M270" i="3" s="1"/>
  <c r="M274" i="3"/>
  <c r="M273" i="3" s="1"/>
  <c r="L275" i="3"/>
  <c r="L274" i="3" s="1"/>
  <c r="L273" i="3" s="1"/>
  <c r="L272" i="3"/>
  <c r="L271" i="3" s="1"/>
  <c r="L270" i="3" s="1"/>
  <c r="C25" i="16" l="1"/>
  <c r="H126" i="7"/>
  <c r="M600" i="3"/>
  <c r="L602" i="3"/>
  <c r="M566" i="3"/>
  <c r="M513" i="3"/>
  <c r="M512" i="3"/>
  <c r="M511" i="3"/>
  <c r="M507" i="3"/>
  <c r="C66" i="2"/>
  <c r="C64" i="2" s="1"/>
  <c r="M510" i="3" l="1"/>
  <c r="K660" i="19"/>
  <c r="K651" i="19"/>
  <c r="K641" i="19"/>
  <c r="K629" i="19"/>
  <c r="K623" i="19"/>
  <c r="K614" i="19"/>
  <c r="K612" i="19"/>
  <c r="K655" i="19"/>
  <c r="K608" i="19"/>
  <c r="K637" i="19" l="1"/>
  <c r="K650" i="19"/>
  <c r="K622" i="19"/>
  <c r="K619" i="19"/>
  <c r="K634" i="19"/>
  <c r="K657" i="19"/>
  <c r="K658" i="19" s="1"/>
  <c r="K644" i="19"/>
  <c r="K613" i="19"/>
  <c r="K628" i="19"/>
  <c r="K630" i="19" s="1"/>
  <c r="K633" i="19"/>
  <c r="K610" i="19"/>
  <c r="K636" i="19"/>
  <c r="K646" i="19"/>
  <c r="K645" i="19" l="1"/>
  <c r="K611" i="19"/>
  <c r="K615" i="19"/>
  <c r="K624" i="19"/>
  <c r="K625" i="19" s="1"/>
  <c r="K632" i="19"/>
  <c r="K638" i="19" s="1"/>
  <c r="K649" i="19"/>
  <c r="K652" i="19" s="1"/>
  <c r="K647" i="19"/>
  <c r="K618" i="19"/>
  <c r="K620" i="19" s="1"/>
  <c r="K640" i="19"/>
  <c r="K642" i="19" s="1"/>
  <c r="M490" i="3"/>
  <c r="K616" i="19" l="1"/>
  <c r="M402" i="3"/>
  <c r="C37" i="2" l="1"/>
  <c r="D29" i="16" l="1"/>
  <c r="C29" i="16"/>
  <c r="C19" i="8" l="1"/>
  <c r="C21" i="16" l="1"/>
  <c r="H527" i="7" l="1"/>
  <c r="H488" i="7"/>
  <c r="H487" i="7" s="1"/>
  <c r="M265" i="19" l="1"/>
  <c r="M409" i="19"/>
  <c r="D21" i="16"/>
  <c r="C26" i="2"/>
  <c r="M256" i="19"/>
  <c r="I332" i="18"/>
  <c r="I331" i="18" s="1"/>
  <c r="I330" i="18" s="1"/>
  <c r="I329" i="18" s="1"/>
  <c r="H332" i="18"/>
  <c r="H331" i="18" s="1"/>
  <c r="H330" i="18" s="1"/>
  <c r="H329" i="18" s="1"/>
  <c r="H336" i="18"/>
  <c r="N255" i="19"/>
  <c r="N254" i="19" s="1"/>
  <c r="N253" i="19" s="1"/>
  <c r="N252" i="19" s="1"/>
  <c r="N251" i="19" s="1"/>
  <c r="N250" i="19" s="1"/>
  <c r="M255" i="19"/>
  <c r="M254" i="19" s="1"/>
  <c r="M253" i="19" s="1"/>
  <c r="M252" i="19" s="1"/>
  <c r="M251" i="19" s="1"/>
  <c r="M628" i="19" s="1"/>
  <c r="L256" i="19"/>
  <c r="L255" i="19" s="1"/>
  <c r="L254" i="19" s="1"/>
  <c r="L253" i="19" s="1"/>
  <c r="L252" i="19" s="1"/>
  <c r="L251" i="19" s="1"/>
  <c r="N628" i="19" l="1"/>
  <c r="M250" i="19"/>
  <c r="L250" i="19"/>
  <c r="M436" i="3"/>
  <c r="M435" i="3" s="1"/>
  <c r="M434" i="3" s="1"/>
  <c r="M433" i="3" s="1"/>
  <c r="M432" i="3" s="1"/>
  <c r="M431" i="3" s="1"/>
  <c r="L437" i="3"/>
  <c r="L436" i="3" s="1"/>
  <c r="L435" i="3" s="1"/>
  <c r="L434" i="3" s="1"/>
  <c r="L433" i="3" s="1"/>
  <c r="L432" i="3" s="1"/>
  <c r="L431" i="3" s="1"/>
  <c r="M409" i="3"/>
  <c r="M411" i="3" l="1"/>
  <c r="M115" i="3"/>
  <c r="M70" i="3"/>
  <c r="M76" i="3"/>
  <c r="L76" i="3" s="1"/>
  <c r="L77" i="3"/>
  <c r="H289" i="7" l="1"/>
  <c r="H288" i="7" s="1"/>
  <c r="L471" i="3"/>
  <c r="L470" i="3" s="1"/>
  <c r="M354" i="3" l="1"/>
  <c r="M366" i="3"/>
  <c r="M92" i="3"/>
  <c r="M48" i="3"/>
  <c r="L177" i="3"/>
  <c r="C28" i="16" l="1"/>
  <c r="C36" i="2"/>
  <c r="H33" i="18" l="1"/>
  <c r="H32" i="18" s="1"/>
  <c r="I33" i="18"/>
  <c r="I32" i="18" s="1"/>
  <c r="I99" i="18"/>
  <c r="I98" i="18" s="1"/>
  <c r="H99" i="18"/>
  <c r="H98" i="18" s="1"/>
  <c r="C20" i="16" l="1"/>
  <c r="D20" i="16"/>
  <c r="C25" i="2" l="1"/>
  <c r="N264" i="19"/>
  <c r="M264" i="19"/>
  <c r="L265" i="19"/>
  <c r="L264" i="19" s="1"/>
  <c r="N413" i="19" l="1"/>
  <c r="M413" i="19"/>
  <c r="L414" i="19"/>
  <c r="L413" i="19" s="1"/>
  <c r="H123" i="7"/>
  <c r="H122" i="7" s="1"/>
  <c r="M598" i="3"/>
  <c r="L599" i="3"/>
  <c r="L598" i="3" s="1"/>
  <c r="H595" i="7"/>
  <c r="H594" i="7" s="1"/>
  <c r="H593" i="7" s="1"/>
  <c r="H592" i="7"/>
  <c r="H591" i="7" s="1"/>
  <c r="H590" i="7" s="1"/>
  <c r="H589" i="7"/>
  <c r="H588" i="7" s="1"/>
  <c r="H587" i="7" s="1"/>
  <c r="M268" i="3"/>
  <c r="M267" i="3" s="1"/>
  <c r="M265" i="3"/>
  <c r="M264" i="3" s="1"/>
  <c r="M262" i="3"/>
  <c r="M261" i="3" s="1"/>
  <c r="L269" i="3"/>
  <c r="L268" i="3" s="1"/>
  <c r="L267" i="3" s="1"/>
  <c r="L266" i="3"/>
  <c r="L265" i="3" s="1"/>
  <c r="L264" i="3" s="1"/>
  <c r="L263" i="3"/>
  <c r="L262" i="3" s="1"/>
  <c r="L261" i="3" s="1"/>
  <c r="H198" i="7" l="1"/>
  <c r="H197" i="7" s="1"/>
  <c r="M617" i="3"/>
  <c r="L619" i="3"/>
  <c r="L618" i="3" s="1"/>
  <c r="L617" i="3" l="1"/>
  <c r="M517" i="19" l="1"/>
  <c r="M511" i="19"/>
  <c r="M727" i="3"/>
  <c r="M734" i="3"/>
  <c r="H586" i="7" l="1"/>
  <c r="H585" i="7" s="1"/>
  <c r="H584" i="7" s="1"/>
  <c r="M259" i="3"/>
  <c r="M258" i="3" s="1"/>
  <c r="L260" i="3"/>
  <c r="L259" i="3" s="1"/>
  <c r="L258" i="3" s="1"/>
  <c r="H103" i="7" l="1"/>
  <c r="H102" i="7" s="1"/>
  <c r="H325" i="7" l="1"/>
  <c r="H324" i="7" s="1"/>
  <c r="M140" i="3"/>
  <c r="M39" i="3"/>
  <c r="N39" i="19"/>
  <c r="M39" i="19"/>
  <c r="N37" i="19"/>
  <c r="M37" i="19"/>
  <c r="M37" i="3"/>
  <c r="N44" i="19"/>
  <c r="M44" i="19"/>
  <c r="N45" i="19"/>
  <c r="M45" i="19"/>
  <c r="M44" i="3"/>
  <c r="M45" i="3"/>
  <c r="N598" i="19" l="1"/>
  <c r="M598" i="19"/>
  <c r="M814" i="3"/>
  <c r="N595" i="19"/>
  <c r="M595" i="19"/>
  <c r="N592" i="19"/>
  <c r="M592" i="19"/>
  <c r="M567" i="3" l="1"/>
  <c r="L568" i="3"/>
  <c r="L567" i="3" s="1"/>
  <c r="H70" i="7"/>
  <c r="H69" i="7"/>
  <c r="M517" i="3"/>
  <c r="L519" i="3"/>
  <c r="L518" i="3"/>
  <c r="L517" i="3" l="1"/>
  <c r="H68" i="7"/>
  <c r="C81" i="2"/>
  <c r="C55" i="2" l="1"/>
  <c r="D46" i="16"/>
  <c r="C46" i="16"/>
  <c r="D48" i="16"/>
  <c r="C48" i="16"/>
  <c r="C57" i="2"/>
  <c r="C62" i="2"/>
  <c r="H232" i="7" l="1"/>
  <c r="H231" i="7" s="1"/>
  <c r="I193" i="18" l="1"/>
  <c r="I192" i="18" s="1"/>
  <c r="H193" i="18"/>
  <c r="H192" i="18" s="1"/>
  <c r="M516" i="19"/>
  <c r="N516" i="19"/>
  <c r="L517" i="19"/>
  <c r="L516" i="19" s="1"/>
  <c r="L727" i="3"/>
  <c r="L726" i="3" s="1"/>
  <c r="M726" i="3"/>
  <c r="D70" i="16"/>
  <c r="C70" i="16"/>
  <c r="C77" i="2"/>
  <c r="C76" i="2" s="1"/>
  <c r="C40" i="5"/>
  <c r="M324" i="3" l="1"/>
  <c r="M323" i="3" s="1"/>
  <c r="M322" i="3" s="1"/>
  <c r="M321" i="3" s="1"/>
  <c r="M320" i="3" s="1"/>
  <c r="L325" i="3"/>
  <c r="L324" i="3" s="1"/>
  <c r="L323" i="3" s="1"/>
  <c r="L322" i="3" s="1"/>
  <c r="L321" i="3" s="1"/>
  <c r="L320" i="3" s="1"/>
  <c r="M552" i="3" l="1"/>
  <c r="M107" i="3" l="1"/>
  <c r="B18" i="9" s="1"/>
  <c r="N143" i="19"/>
  <c r="M143" i="19"/>
  <c r="N141" i="19"/>
  <c r="M141" i="19"/>
  <c r="H306" i="7"/>
  <c r="H305" i="7" s="1"/>
  <c r="H304" i="7" s="1"/>
  <c r="M128" i="3"/>
  <c r="M127" i="3" s="1"/>
  <c r="L129" i="3"/>
  <c r="L128" i="3" s="1"/>
  <c r="L127" i="3" s="1"/>
  <c r="I138" i="18" l="1"/>
  <c r="I137" i="18" s="1"/>
  <c r="H138" i="18"/>
  <c r="H137" i="18" s="1"/>
  <c r="L468" i="19"/>
  <c r="L466" i="19"/>
  <c r="M467" i="19"/>
  <c r="L467" i="19" s="1"/>
  <c r="N467" i="19"/>
  <c r="M464" i="19"/>
  <c r="C34" i="2"/>
  <c r="C33" i="2" s="1"/>
  <c r="M661" i="3" l="1"/>
  <c r="H165" i="7" s="1"/>
  <c r="H164" i="7" s="1"/>
  <c r="L661" i="3" l="1"/>
  <c r="L660" i="3" s="1"/>
  <c r="M660" i="3"/>
  <c r="M256" i="3"/>
  <c r="M255" i="3" s="1"/>
  <c r="M253" i="3"/>
  <c r="M252" i="3" s="1"/>
  <c r="M250" i="3"/>
  <c r="M249" i="3" s="1"/>
  <c r="M247" i="3"/>
  <c r="M246" i="3" s="1"/>
  <c r="M244" i="3"/>
  <c r="M243" i="3" s="1"/>
  <c r="M241" i="3"/>
  <c r="M240" i="3" s="1"/>
  <c r="M238" i="3"/>
  <c r="M237" i="3" s="1"/>
  <c r="M235" i="3"/>
  <c r="M234" i="3" s="1"/>
  <c r="M233" i="3" l="1"/>
  <c r="M232" i="3" s="1"/>
  <c r="H583" i="7"/>
  <c r="H582" i="7" s="1"/>
  <c r="H581" i="7" s="1"/>
  <c r="H580" i="7"/>
  <c r="H579" i="7" s="1"/>
  <c r="H578" i="7" s="1"/>
  <c r="H577" i="7"/>
  <c r="H576" i="7" s="1"/>
  <c r="H575" i="7" s="1"/>
  <c r="H574" i="7"/>
  <c r="H573" i="7" s="1"/>
  <c r="H572" i="7" s="1"/>
  <c r="H571" i="7"/>
  <c r="H570" i="7" s="1"/>
  <c r="H569" i="7" s="1"/>
  <c r="H568" i="7"/>
  <c r="H567" i="7" s="1"/>
  <c r="H566" i="7" s="1"/>
  <c r="L257" i="3"/>
  <c r="L256" i="3" s="1"/>
  <c r="L255" i="3" s="1"/>
  <c r="L254" i="3"/>
  <c r="L253" i="3" s="1"/>
  <c r="L252" i="3" s="1"/>
  <c r="L251" i="3"/>
  <c r="L250" i="3" s="1"/>
  <c r="L249" i="3" s="1"/>
  <c r="L248" i="3"/>
  <c r="L247" i="3" s="1"/>
  <c r="L246" i="3" s="1"/>
  <c r="L245" i="3"/>
  <c r="L244" i="3" s="1"/>
  <c r="L243" i="3" s="1"/>
  <c r="L242" i="3"/>
  <c r="L241" i="3" s="1"/>
  <c r="L240" i="3" s="1"/>
  <c r="L239" i="3"/>
  <c r="L238" i="3" s="1"/>
  <c r="L237" i="3" s="1"/>
  <c r="L236" i="3"/>
  <c r="L235" i="3" s="1"/>
  <c r="L234" i="3" s="1"/>
  <c r="H559" i="7" l="1"/>
  <c r="H558" i="7" s="1"/>
  <c r="M231" i="3"/>
  <c r="M878" i="3" s="1"/>
  <c r="D57" i="6" s="1"/>
  <c r="L233" i="3"/>
  <c r="L232" i="3" s="1"/>
  <c r="M334" i="3"/>
  <c r="M333" i="3"/>
  <c r="M230" i="3" l="1"/>
  <c r="L231" i="3"/>
  <c r="L230" i="3" s="1"/>
  <c r="M234" i="19"/>
  <c r="M601" i="19"/>
  <c r="H68" i="18" l="1"/>
  <c r="M336" i="19" l="1"/>
  <c r="M411" i="19"/>
  <c r="M405" i="19"/>
  <c r="H172" i="7"/>
  <c r="H171" i="7" s="1"/>
  <c r="L668" i="3"/>
  <c r="L667" i="3" s="1"/>
  <c r="M667" i="3"/>
  <c r="H423" i="7"/>
  <c r="H422" i="7" s="1"/>
  <c r="H421" i="7" s="1"/>
  <c r="L59" i="3"/>
  <c r="M64" i="3"/>
  <c r="M63" i="3" s="1"/>
  <c r="M62" i="3" s="1"/>
  <c r="M61" i="3" s="1"/>
  <c r="L65" i="3"/>
  <c r="L64" i="3" s="1"/>
  <c r="L63" i="3" s="1"/>
  <c r="L62" i="3" s="1"/>
  <c r="L61" i="3" s="1"/>
  <c r="M721" i="3" l="1"/>
  <c r="M591" i="3" l="1"/>
  <c r="M587" i="3"/>
  <c r="M175" i="3"/>
  <c r="M174" i="3" s="1"/>
  <c r="M738" i="3" l="1"/>
  <c r="H246" i="7" s="1"/>
  <c r="M733" i="3" l="1"/>
  <c r="H529" i="7" l="1"/>
  <c r="H528" i="7" s="1"/>
  <c r="M178" i="3"/>
  <c r="L179" i="3"/>
  <c r="L178" i="3" s="1"/>
  <c r="M729" i="3" l="1"/>
  <c r="M728" i="3" s="1"/>
  <c r="H242" i="7" l="1"/>
  <c r="H241" i="7" s="1"/>
  <c r="H240" i="7"/>
  <c r="H239" i="7"/>
  <c r="H238" i="7"/>
  <c r="L734" i="3"/>
  <c r="L733" i="3" s="1"/>
  <c r="L732" i="3"/>
  <c r="L731" i="3"/>
  <c r="L730" i="3"/>
  <c r="H237" i="7" l="1"/>
  <c r="H236" i="7" s="1"/>
  <c r="L729" i="3"/>
  <c r="L728" i="3" s="1"/>
  <c r="M373" i="3" l="1"/>
  <c r="M372" i="3" s="1"/>
  <c r="H371" i="7" l="1"/>
  <c r="M374" i="3"/>
  <c r="L376" i="3"/>
  <c r="L375" i="3" l="1"/>
  <c r="L374" i="3" s="1"/>
  <c r="H370" i="7"/>
  <c r="H369" i="7" s="1"/>
  <c r="M690" i="3"/>
  <c r="M737" i="3" l="1"/>
  <c r="M736" i="3" s="1"/>
  <c r="M735" i="3" s="1"/>
  <c r="L738" i="3"/>
  <c r="L737" i="3" s="1"/>
  <c r="L736" i="3" s="1"/>
  <c r="L735" i="3" s="1"/>
  <c r="C14" i="5" l="1"/>
  <c r="L124" i="3" l="1"/>
  <c r="H486" i="7"/>
  <c r="M32" i="3"/>
  <c r="L33" i="3"/>
  <c r="L32" i="3" s="1"/>
  <c r="L601" i="19"/>
  <c r="L600" i="19" s="1"/>
  <c r="L599" i="19"/>
  <c r="L598" i="19"/>
  <c r="L596" i="19"/>
  <c r="L595" i="19"/>
  <c r="L593" i="19"/>
  <c r="L592" i="19"/>
  <c r="L586" i="19"/>
  <c r="L585" i="19"/>
  <c r="L583" i="19"/>
  <c r="L582" i="19"/>
  <c r="L580" i="19"/>
  <c r="L579" i="19"/>
  <c r="L577" i="19"/>
  <c r="L576" i="19"/>
  <c r="L567" i="19"/>
  <c r="L566" i="19"/>
  <c r="L565" i="19"/>
  <c r="L559" i="19"/>
  <c r="L558" i="19"/>
  <c r="L557" i="19"/>
  <c r="L550" i="19"/>
  <c r="L549" i="19" s="1"/>
  <c r="L548" i="19" s="1"/>
  <c r="L547" i="19"/>
  <c r="L546" i="19" s="1"/>
  <c r="L545" i="19" s="1"/>
  <c r="L544" i="19"/>
  <c r="L543" i="19" s="1"/>
  <c r="L542" i="19" s="1"/>
  <c r="L535" i="19"/>
  <c r="L533" i="19"/>
  <c r="L527" i="19"/>
  <c r="L526" i="19" s="1"/>
  <c r="L525" i="19" s="1"/>
  <c r="L524" i="19"/>
  <c r="L523" i="19"/>
  <c r="L515" i="19"/>
  <c r="L514" i="19" s="1"/>
  <c r="L513" i="19"/>
  <c r="L512" i="19" s="1"/>
  <c r="L511" i="19"/>
  <c r="L510" i="19" s="1"/>
  <c r="L508" i="19"/>
  <c r="L507" i="19"/>
  <c r="L503" i="19"/>
  <c r="L502" i="19" s="1"/>
  <c r="L501" i="19" s="1"/>
  <c r="L500" i="19" s="1"/>
  <c r="L496" i="19"/>
  <c r="L495" i="19" s="1"/>
  <c r="L494" i="19" s="1"/>
  <c r="L493" i="19" s="1"/>
  <c r="L492" i="19" s="1"/>
  <c r="L491" i="19" s="1"/>
  <c r="L490" i="19" s="1"/>
  <c r="L487" i="19"/>
  <c r="L486" i="19"/>
  <c r="L485" i="19"/>
  <c r="L483" i="19"/>
  <c r="L482" i="19"/>
  <c r="L481" i="19"/>
  <c r="L475" i="19"/>
  <c r="L474" i="19" s="1"/>
  <c r="L473" i="19"/>
  <c r="L472" i="19"/>
  <c r="L465" i="19"/>
  <c r="L464" i="19"/>
  <c r="L461" i="19"/>
  <c r="L460" i="19" s="1"/>
  <c r="L459" i="19" s="1"/>
  <c r="L454" i="19"/>
  <c r="L453" i="19" s="1"/>
  <c r="L452" i="19" s="1"/>
  <c r="L451" i="19" s="1"/>
  <c r="L450" i="19" s="1"/>
  <c r="L449" i="19" s="1"/>
  <c r="L448" i="19"/>
  <c r="L447" i="19" s="1"/>
  <c r="L446" i="19" s="1"/>
  <c r="L445" i="19" s="1"/>
  <c r="L444" i="19" s="1"/>
  <c r="L443" i="19" s="1"/>
  <c r="L442" i="19"/>
  <c r="L441" i="19" s="1"/>
  <c r="L440" i="19"/>
  <c r="L439" i="19" s="1"/>
  <c r="L433" i="19"/>
  <c r="L432" i="19" s="1"/>
  <c r="L431" i="19" s="1"/>
  <c r="L430" i="19" s="1"/>
  <c r="L429" i="19" s="1"/>
  <c r="L428" i="19" s="1"/>
  <c r="L427" i="19" s="1"/>
  <c r="L424" i="19"/>
  <c r="L423" i="19"/>
  <c r="L416" i="19"/>
  <c r="L415" i="19" s="1"/>
  <c r="L412" i="19"/>
  <c r="L411" i="19"/>
  <c r="L410" i="19"/>
  <c r="L409" i="19"/>
  <c r="L407" i="19"/>
  <c r="L406" i="19"/>
  <c r="L405" i="19"/>
  <c r="L399" i="19"/>
  <c r="L398" i="19" s="1"/>
  <c r="L391" i="19"/>
  <c r="L390" i="19" s="1"/>
  <c r="L389" i="19" s="1"/>
  <c r="L388" i="19" s="1"/>
  <c r="L387" i="19" s="1"/>
  <c r="L386" i="19"/>
  <c r="L385" i="19" s="1"/>
  <c r="L384" i="19"/>
  <c r="L383" i="19" s="1"/>
  <c r="L379" i="19"/>
  <c r="L378" i="19"/>
  <c r="L377" i="19"/>
  <c r="L376" i="19"/>
  <c r="L370" i="19"/>
  <c r="L369" i="19" s="1"/>
  <c r="L368" i="19" s="1"/>
  <c r="L367" i="19" s="1"/>
  <c r="L366" i="19"/>
  <c r="L365" i="19"/>
  <c r="L364" i="19"/>
  <c r="L362" i="19"/>
  <c r="L361" i="19" s="1"/>
  <c r="L360" i="19"/>
  <c r="L359" i="19"/>
  <c r="L357" i="19"/>
  <c r="L356" i="19"/>
  <c r="L354" i="19"/>
  <c r="L353" i="19"/>
  <c r="L351" i="19"/>
  <c r="L350" i="19"/>
  <c r="L349" i="19"/>
  <c r="L347" i="19"/>
  <c r="L346" i="19"/>
  <c r="L345" i="19"/>
  <c r="L343" i="19"/>
  <c r="L342" i="19"/>
  <c r="L340" i="19"/>
  <c r="L339" i="19"/>
  <c r="L336" i="19"/>
  <c r="L334" i="19"/>
  <c r="L333" i="19"/>
  <c r="L332" i="19"/>
  <c r="L331" i="19"/>
  <c r="L325" i="19"/>
  <c r="L324" i="19" s="1"/>
  <c r="L323" i="19" s="1"/>
  <c r="L322" i="19" s="1"/>
  <c r="L321" i="19" s="1"/>
  <c r="L320" i="19"/>
  <c r="L319" i="19" s="1"/>
  <c r="L318" i="19" s="1"/>
  <c r="L317" i="19" s="1"/>
  <c r="L316" i="19" s="1"/>
  <c r="L315" i="19"/>
  <c r="L314" i="19" s="1"/>
  <c r="L313" i="19"/>
  <c r="L312" i="19" s="1"/>
  <c r="L309" i="19"/>
  <c r="L308" i="19" s="1"/>
  <c r="L302" i="19"/>
  <c r="L301" i="19" s="1"/>
  <c r="L300" i="19" s="1"/>
  <c r="L299" i="19"/>
  <c r="L298" i="19" s="1"/>
  <c r="L297" i="19" s="1"/>
  <c r="L296" i="19"/>
  <c r="L295" i="19" s="1"/>
  <c r="L294" i="19" s="1"/>
  <c r="L287" i="19"/>
  <c r="L286" i="19" s="1"/>
  <c r="L285" i="19" s="1"/>
  <c r="L284" i="19" s="1"/>
  <c r="L283" i="19" s="1"/>
  <c r="L282" i="19" s="1"/>
  <c r="L281" i="19" s="1"/>
  <c r="L280" i="19"/>
  <c r="L279" i="19" s="1"/>
  <c r="L271" i="19"/>
  <c r="L270" i="19" s="1"/>
  <c r="L269" i="19" s="1"/>
  <c r="L268" i="19" s="1"/>
  <c r="L267" i="19" s="1"/>
  <c r="L266" i="19" s="1"/>
  <c r="L263" i="19"/>
  <c r="L262" i="19" s="1"/>
  <c r="L249" i="19"/>
  <c r="L248" i="19"/>
  <c r="L243" i="19"/>
  <c r="L242" i="19" s="1"/>
  <c r="L241" i="19" s="1"/>
  <c r="L240" i="19"/>
  <c r="L239" i="19" s="1"/>
  <c r="L238" i="19" s="1"/>
  <c r="L237" i="19"/>
  <c r="L236" i="19" s="1"/>
  <c r="L235" i="19"/>
  <c r="L234" i="19"/>
  <c r="L231" i="19"/>
  <c r="L230" i="19"/>
  <c r="L229" i="19"/>
  <c r="L225" i="19"/>
  <c r="L224" i="19" s="1"/>
  <c r="L223" i="19" s="1"/>
  <c r="L222" i="19" s="1"/>
  <c r="L216" i="19"/>
  <c r="L215" i="19"/>
  <c r="L214" i="19"/>
  <c r="L206" i="19"/>
  <c r="L205" i="19" s="1"/>
  <c r="L204" i="19" s="1"/>
  <c r="L203" i="19" s="1"/>
  <c r="L202" i="19" s="1"/>
  <c r="L201" i="19" s="1"/>
  <c r="L200" i="19" s="1"/>
  <c r="L199" i="19"/>
  <c r="L198" i="19" s="1"/>
  <c r="L197" i="19" s="1"/>
  <c r="L196" i="19"/>
  <c r="L195" i="19" s="1"/>
  <c r="L194" i="19" s="1"/>
  <c r="L190" i="19"/>
  <c r="L189" i="19"/>
  <c r="L188" i="19"/>
  <c r="L179" i="19"/>
  <c r="L178" i="19" s="1"/>
  <c r="L177" i="19" s="1"/>
  <c r="L176" i="19" s="1"/>
  <c r="L175" i="19" s="1"/>
  <c r="L174" i="19" s="1"/>
  <c r="L173" i="19"/>
  <c r="L172" i="19" s="1"/>
  <c r="L171" i="19" s="1"/>
  <c r="L170" i="19" s="1"/>
  <c r="L169" i="19" s="1"/>
  <c r="L168" i="19" s="1"/>
  <c r="L166" i="19"/>
  <c r="L165" i="19" s="1"/>
  <c r="L164" i="19" s="1"/>
  <c r="L163" i="19" s="1"/>
  <c r="L162" i="19" s="1"/>
  <c r="L161" i="19" s="1"/>
  <c r="L154" i="19" s="1"/>
  <c r="L150" i="19"/>
  <c r="L143" i="19"/>
  <c r="L142" i="19" s="1"/>
  <c r="L141" i="19"/>
  <c r="L140" i="19" s="1"/>
  <c r="L136" i="19"/>
  <c r="L135" i="19" s="1"/>
  <c r="L134" i="19" s="1"/>
  <c r="L133" i="19" s="1"/>
  <c r="L132" i="19"/>
  <c r="L131" i="19" s="1"/>
  <c r="L130" i="19" s="1"/>
  <c r="L129" i="19" s="1"/>
  <c r="L126" i="19"/>
  <c r="L125" i="19" s="1"/>
  <c r="L124" i="19" s="1"/>
  <c r="L123" i="19" s="1"/>
  <c r="L122" i="19" s="1"/>
  <c r="L121" i="19" s="1"/>
  <c r="L120" i="19"/>
  <c r="L119" i="19" s="1"/>
  <c r="L118" i="19" s="1"/>
  <c r="L117" i="19"/>
  <c r="L116" i="19" s="1"/>
  <c r="L115" i="19" s="1"/>
  <c r="L110" i="19"/>
  <c r="L109" i="19" s="1"/>
  <c r="L108" i="19" s="1"/>
  <c r="L107" i="19" s="1"/>
  <c r="L106" i="19"/>
  <c r="L105" i="19"/>
  <c r="L100" i="19"/>
  <c r="L99" i="19" s="1"/>
  <c r="L98" i="19" s="1"/>
  <c r="L97" i="19"/>
  <c r="L96" i="19" s="1"/>
  <c r="L95" i="19" s="1"/>
  <c r="L91" i="19"/>
  <c r="L90" i="19" s="1"/>
  <c r="L89" i="19"/>
  <c r="L88" i="19" s="1"/>
  <c r="L82" i="19"/>
  <c r="L81" i="19" s="1"/>
  <c r="L80" i="19" s="1"/>
  <c r="L79" i="19"/>
  <c r="L78" i="19" s="1"/>
  <c r="L77" i="19" s="1"/>
  <c r="L76" i="19"/>
  <c r="L75" i="19" s="1"/>
  <c r="L74" i="19"/>
  <c r="L73" i="19" s="1"/>
  <c r="L71" i="19"/>
  <c r="L70" i="19"/>
  <c r="L65" i="19"/>
  <c r="L64" i="19" s="1"/>
  <c r="L63" i="19" s="1"/>
  <c r="L62" i="19" s="1"/>
  <c r="L61" i="19" s="1"/>
  <c r="L59" i="19"/>
  <c r="L58" i="19" s="1"/>
  <c r="L57" i="19" s="1"/>
  <c r="L56" i="19" s="1"/>
  <c r="L55" i="19" s="1"/>
  <c r="L48" i="19"/>
  <c r="L47" i="19" s="1"/>
  <c r="L46" i="19" s="1"/>
  <c r="L45" i="19"/>
  <c r="L44" i="19"/>
  <c r="L42" i="19"/>
  <c r="L41" i="19" s="1"/>
  <c r="L40" i="19"/>
  <c r="L39" i="19"/>
  <c r="L37" i="19"/>
  <c r="L36" i="19" s="1"/>
  <c r="L35" i="19"/>
  <c r="L34" i="19" s="1"/>
  <c r="L33" i="19"/>
  <c r="L25" i="19"/>
  <c r="L24" i="19" s="1"/>
  <c r="L23" i="19" s="1"/>
  <c r="L22" i="19" s="1"/>
  <c r="L21" i="19" s="1"/>
  <c r="L20" i="19" s="1"/>
  <c r="L818" i="3"/>
  <c r="L817" i="3"/>
  <c r="L815" i="3"/>
  <c r="L814" i="3"/>
  <c r="L812" i="3"/>
  <c r="L811" i="3"/>
  <c r="L805" i="3"/>
  <c r="L804" i="3"/>
  <c r="L802" i="3"/>
  <c r="L801" i="3"/>
  <c r="L799" i="3"/>
  <c r="L798" i="3"/>
  <c r="L796" i="3"/>
  <c r="L795" i="3"/>
  <c r="L786" i="3"/>
  <c r="L785" i="3"/>
  <c r="L778" i="3"/>
  <c r="L777" i="3" s="1"/>
  <c r="L776" i="3"/>
  <c r="L775" i="3"/>
  <c r="L774" i="3"/>
  <c r="L767" i="3"/>
  <c r="L766" i="3" s="1"/>
  <c r="L765" i="3" s="1"/>
  <c r="L764" i="3"/>
  <c r="L763" i="3" s="1"/>
  <c r="L762" i="3" s="1"/>
  <c r="L761" i="3"/>
  <c r="L760" i="3" s="1"/>
  <c r="L759" i="3" s="1"/>
  <c r="L752" i="3"/>
  <c r="L751" i="3"/>
  <c r="L725" i="3"/>
  <c r="L724" i="3" s="1"/>
  <c r="L723" i="3"/>
  <c r="L722" i="3" s="1"/>
  <c r="L721" i="3"/>
  <c r="L720" i="3" s="1"/>
  <c r="L719" i="3"/>
  <c r="L718" i="3" s="1"/>
  <c r="L717" i="3"/>
  <c r="L716" i="3"/>
  <c r="L715" i="3"/>
  <c r="L711" i="3"/>
  <c r="L710" i="3" s="1"/>
  <c r="L709" i="3" s="1"/>
  <c r="L708" i="3" s="1"/>
  <c r="L704" i="3"/>
  <c r="L703" i="3" s="1"/>
  <c r="L702" i="3" s="1"/>
  <c r="L701" i="3" s="1"/>
  <c r="L700" i="3" s="1"/>
  <c r="L699" i="3" s="1"/>
  <c r="L698" i="3" s="1"/>
  <c r="L695" i="3"/>
  <c r="L694" i="3" s="1"/>
  <c r="L693" i="3"/>
  <c r="L692" i="3"/>
  <c r="L691" i="3"/>
  <c r="L689" i="3"/>
  <c r="L688" i="3"/>
  <c r="L683" i="3"/>
  <c r="L682" i="3" s="1"/>
  <c r="L681" i="3" s="1"/>
  <c r="L680" i="3" s="1"/>
  <c r="L677" i="3"/>
  <c r="L676" i="3" s="1"/>
  <c r="L675" i="3"/>
  <c r="L674" i="3"/>
  <c r="L666" i="3"/>
  <c r="L665" i="3"/>
  <c r="L659" i="3"/>
  <c r="L658" i="3" s="1"/>
  <c r="L657" i="3"/>
  <c r="L656" i="3" s="1"/>
  <c r="L648" i="3"/>
  <c r="L647" i="3" s="1"/>
  <c r="L646" i="3" s="1"/>
  <c r="L645" i="3" s="1"/>
  <c r="L644" i="3" s="1"/>
  <c r="L643" i="3" s="1"/>
  <c r="L642" i="3"/>
  <c r="L641" i="3" s="1"/>
  <c r="L640" i="3" s="1"/>
  <c r="L639" i="3" s="1"/>
  <c r="L638" i="3" s="1"/>
  <c r="L637" i="3" s="1"/>
  <c r="L636" i="3"/>
  <c r="L635" i="3" s="1"/>
  <c r="L634" i="3"/>
  <c r="L633" i="3" s="1"/>
  <c r="L622" i="3"/>
  <c r="L621" i="3" s="1"/>
  <c r="L620" i="3" s="1"/>
  <c r="L616" i="3" s="1"/>
  <c r="L610" i="3"/>
  <c r="L609" i="3"/>
  <c r="L601" i="3"/>
  <c r="L600" i="3" s="1"/>
  <c r="L597" i="3"/>
  <c r="L596" i="3" s="1"/>
  <c r="L595" i="3"/>
  <c r="L594" i="3" s="1"/>
  <c r="L593" i="3"/>
  <c r="L591" i="3"/>
  <c r="L590" i="3"/>
  <c r="L588" i="3"/>
  <c r="L587" i="3"/>
  <c r="L582" i="3"/>
  <c r="L581" i="3" s="1"/>
  <c r="L580" i="3" s="1"/>
  <c r="L579" i="3" s="1"/>
  <c r="L574" i="3"/>
  <c r="L573" i="3" s="1"/>
  <c r="L566" i="3"/>
  <c r="L565" i="3" s="1"/>
  <c r="L564" i="3"/>
  <c r="L563" i="3" s="1"/>
  <c r="L562" i="3"/>
  <c r="L559" i="3"/>
  <c r="L558" i="3" s="1"/>
  <c r="L557" i="3"/>
  <c r="L556" i="3"/>
  <c r="L552" i="3"/>
  <c r="L551" i="3"/>
  <c r="L550" i="3"/>
  <c r="L549" i="3"/>
  <c r="L543" i="3"/>
  <c r="L542" i="3"/>
  <c r="L529" i="3"/>
  <c r="L528" i="3"/>
  <c r="L527" i="3"/>
  <c r="L522" i="3"/>
  <c r="L521" i="3"/>
  <c r="L516" i="3"/>
  <c r="L515" i="3"/>
  <c r="L513" i="3"/>
  <c r="L512" i="3"/>
  <c r="L511" i="3"/>
  <c r="L508" i="3"/>
  <c r="L507" i="3"/>
  <c r="L505" i="3"/>
  <c r="L504" i="3"/>
  <c r="L502" i="3"/>
  <c r="L501" i="3" s="1"/>
  <c r="L500" i="3"/>
  <c r="L499" i="3"/>
  <c r="L498" i="3"/>
  <c r="L496" i="3"/>
  <c r="L495" i="3"/>
  <c r="L493" i="3"/>
  <c r="L490" i="3"/>
  <c r="L488" i="3"/>
  <c r="L481" i="3"/>
  <c r="L480" i="3" s="1"/>
  <c r="L479" i="3" s="1"/>
  <c r="L478" i="3" s="1"/>
  <c r="L477" i="3" s="1"/>
  <c r="L476" i="3"/>
  <c r="L469" i="3"/>
  <c r="L468" i="3" s="1"/>
  <c r="L467" i="3"/>
  <c r="L466" i="3" s="1"/>
  <c r="L465" i="3"/>
  <c r="L464" i="3" s="1"/>
  <c r="L463" i="3"/>
  <c r="L462" i="3" s="1"/>
  <c r="L461" i="3"/>
  <c r="L460" i="3" s="1"/>
  <c r="L452" i="3"/>
  <c r="L451" i="3" s="1"/>
  <c r="L450" i="3" s="1"/>
  <c r="L449" i="3"/>
  <c r="L448" i="3" s="1"/>
  <c r="L447" i="3" s="1"/>
  <c r="L446" i="3"/>
  <c r="L445" i="3" s="1"/>
  <c r="L444" i="3" s="1"/>
  <c r="L423" i="3"/>
  <c r="L422" i="3" s="1"/>
  <c r="L421" i="3" s="1"/>
  <c r="L420" i="3" s="1"/>
  <c r="L419" i="3" s="1"/>
  <c r="L418" i="3" s="1"/>
  <c r="L417" i="3"/>
  <c r="L416" i="3" s="1"/>
  <c r="L415" i="3" s="1"/>
  <c r="L414" i="3" s="1"/>
  <c r="L413" i="3" s="1"/>
  <c r="L412" i="3" s="1"/>
  <c r="L409" i="3"/>
  <c r="L408" i="3" s="1"/>
  <c r="L402" i="3"/>
  <c r="L401" i="3" s="1"/>
  <c r="L400" i="3" s="1"/>
  <c r="L395" i="3"/>
  <c r="L394" i="3" s="1"/>
  <c r="L393" i="3" s="1"/>
  <c r="L392" i="3" s="1"/>
  <c r="L391" i="3" s="1"/>
  <c r="L390" i="3" s="1"/>
  <c r="L389" i="3" s="1"/>
  <c r="L388" i="3"/>
  <c r="L373" i="3"/>
  <c r="L372" i="3" s="1"/>
  <c r="L371" i="3" s="1"/>
  <c r="L370" i="3" s="1"/>
  <c r="L369" i="3"/>
  <c r="L368" i="3" s="1"/>
  <c r="L367" i="3" s="1"/>
  <c r="L361" i="3"/>
  <c r="L360" i="3" s="1"/>
  <c r="L359" i="3"/>
  <c r="L358" i="3"/>
  <c r="L355" i="3"/>
  <c r="L349" i="3"/>
  <c r="L348" i="3" s="1"/>
  <c r="L347" i="3" s="1"/>
  <c r="L346" i="3"/>
  <c r="L345" i="3" s="1"/>
  <c r="L344" i="3" s="1"/>
  <c r="L337" i="3"/>
  <c r="L336" i="3" s="1"/>
  <c r="L335" i="3"/>
  <c r="L334" i="3"/>
  <c r="L319" i="3"/>
  <c r="L318" i="3" s="1"/>
  <c r="L317" i="3" s="1"/>
  <c r="L316" i="3" s="1"/>
  <c r="L315" i="3" s="1"/>
  <c r="L314" i="3" s="1"/>
  <c r="L313" i="3" s="1"/>
  <c r="L312" i="3"/>
  <c r="L311" i="3" s="1"/>
  <c r="L310" i="3" s="1"/>
  <c r="L309" i="3" s="1"/>
  <c r="L308" i="3" s="1"/>
  <c r="L307" i="3" s="1"/>
  <c r="L306" i="3" s="1"/>
  <c r="L305" i="3"/>
  <c r="L304" i="3" s="1"/>
  <c r="L303" i="3" s="1"/>
  <c r="L302" i="3"/>
  <c r="L301" i="3" s="1"/>
  <c r="L300" i="3" s="1"/>
  <c r="L296" i="3"/>
  <c r="L229" i="3"/>
  <c r="L228" i="3" s="1"/>
  <c r="L227" i="3" s="1"/>
  <c r="L226" i="3" s="1"/>
  <c r="L225" i="3" s="1"/>
  <c r="L224" i="3" s="1"/>
  <c r="L223" i="3" s="1"/>
  <c r="L222" i="3"/>
  <c r="L221" i="3" s="1"/>
  <c r="L220" i="3" s="1"/>
  <c r="L219" i="3" s="1"/>
  <c r="L218" i="3" s="1"/>
  <c r="L217" i="3" s="1"/>
  <c r="L216" i="3"/>
  <c r="L215" i="3" s="1"/>
  <c r="L214" i="3" s="1"/>
  <c r="L213" i="3" s="1"/>
  <c r="L212" i="3" s="1"/>
  <c r="L211" i="3" s="1"/>
  <c r="L209" i="3"/>
  <c r="L208" i="3" s="1"/>
  <c r="L207" i="3" s="1"/>
  <c r="L206" i="3" s="1"/>
  <c r="L205" i="3" s="1"/>
  <c r="L204" i="3" s="1"/>
  <c r="L203" i="3" s="1"/>
  <c r="L202" i="3"/>
  <c r="L201" i="3" s="1"/>
  <c r="L200" i="3" s="1"/>
  <c r="L199" i="3" s="1"/>
  <c r="L198" i="3"/>
  <c r="L197" i="3" s="1"/>
  <c r="L196" i="3" s="1"/>
  <c r="L195" i="3" s="1"/>
  <c r="L190" i="3"/>
  <c r="L189" i="3" s="1"/>
  <c r="L188" i="3"/>
  <c r="L187" i="3" s="1"/>
  <c r="L176" i="3"/>
  <c r="L175" i="3"/>
  <c r="L168" i="3"/>
  <c r="L167" i="3" s="1"/>
  <c r="L161" i="3"/>
  <c r="L160" i="3" s="1"/>
  <c r="L159" i="3" s="1"/>
  <c r="L158" i="3" s="1"/>
  <c r="L157" i="3"/>
  <c r="L156" i="3" s="1"/>
  <c r="L155" i="3" s="1"/>
  <c r="L154" i="3" s="1"/>
  <c r="L149" i="3"/>
  <c r="L148" i="3" s="1"/>
  <c r="L143" i="3"/>
  <c r="L142" i="3" s="1"/>
  <c r="L141" i="3" s="1"/>
  <c r="L133" i="3"/>
  <c r="L132" i="3" s="1"/>
  <c r="L131" i="3" s="1"/>
  <c r="L130" i="3" s="1"/>
  <c r="L126" i="3"/>
  <c r="L125" i="3"/>
  <c r="L120" i="3"/>
  <c r="L119" i="3" s="1"/>
  <c r="L118" i="3" s="1"/>
  <c r="L117" i="3"/>
  <c r="L116" i="3" s="1"/>
  <c r="L109" i="3"/>
  <c r="L108" i="3" s="1"/>
  <c r="L107" i="3"/>
  <c r="L106" i="3" s="1"/>
  <c r="L105" i="3"/>
  <c r="L104" i="3" s="1"/>
  <c r="L103" i="3"/>
  <c r="L102" i="3" s="1"/>
  <c r="L92" i="3"/>
  <c r="L91" i="3" s="1"/>
  <c r="L90" i="3" s="1"/>
  <c r="L89" i="3"/>
  <c r="L88" i="3" s="1"/>
  <c r="L87" i="3" s="1"/>
  <c r="L86" i="3"/>
  <c r="L85" i="3" s="1"/>
  <c r="L84" i="3"/>
  <c r="L83" i="3" s="1"/>
  <c r="L81" i="3"/>
  <c r="L80" i="3"/>
  <c r="L75" i="3"/>
  <c r="L74" i="3" s="1"/>
  <c r="L73" i="3" s="1"/>
  <c r="L70" i="3"/>
  <c r="L69" i="3" s="1"/>
  <c r="L68" i="3" s="1"/>
  <c r="L67" i="3" s="1"/>
  <c r="L66" i="3" s="1"/>
  <c r="L58" i="3"/>
  <c r="L57" i="3" s="1"/>
  <c r="L56" i="3" s="1"/>
  <c r="L55" i="3" s="1"/>
  <c r="L45" i="3"/>
  <c r="L44" i="3"/>
  <c r="L42" i="3"/>
  <c r="L41" i="3" s="1"/>
  <c r="L40" i="3"/>
  <c r="L39" i="3"/>
  <c r="L37" i="3"/>
  <c r="L36" i="3" s="1"/>
  <c r="L35" i="3"/>
  <c r="L34" i="3" s="1"/>
  <c r="L31" i="3"/>
  <c r="L30" i="3"/>
  <c r="L29" i="3"/>
  <c r="L343" i="3" l="1"/>
  <c r="L139" i="19"/>
  <c r="L138" i="19" s="1"/>
  <c r="L137" i="19" s="1"/>
  <c r="L147" i="3"/>
  <c r="L146" i="3" s="1"/>
  <c r="L145" i="3" s="1"/>
  <c r="L144" i="3" s="1"/>
  <c r="L475" i="3"/>
  <c r="L174" i="3"/>
  <c r="L261" i="19"/>
  <c r="L260" i="19" s="1"/>
  <c r="L259" i="19" s="1"/>
  <c r="L258" i="19" s="1"/>
  <c r="L257" i="19" s="1"/>
  <c r="L422" i="19"/>
  <c r="L421" i="19" s="1"/>
  <c r="L420" i="19" s="1"/>
  <c r="L419" i="19" s="1"/>
  <c r="L418" i="19" s="1"/>
  <c r="L417" i="19" s="1"/>
  <c r="L463" i="19"/>
  <c r="L462" i="19" s="1"/>
  <c r="L458" i="19" s="1"/>
  <c r="L584" i="19"/>
  <c r="L338" i="19"/>
  <c r="L348" i="19"/>
  <c r="L597" i="19"/>
  <c r="L797" i="3"/>
  <c r="L514" i="3"/>
  <c r="L608" i="3"/>
  <c r="L607" i="3" s="1"/>
  <c r="L606" i="3" s="1"/>
  <c r="L605" i="3" s="1"/>
  <c r="L604" i="3" s="1"/>
  <c r="L603" i="3" s="1"/>
  <c r="L123" i="3"/>
  <c r="L122" i="3" s="1"/>
  <c r="L121" i="3" s="1"/>
  <c r="L813" i="3"/>
  <c r="L480" i="19"/>
  <c r="L564" i="19"/>
  <c r="L563" i="19" s="1"/>
  <c r="L562" i="19" s="1"/>
  <c r="L561" i="19" s="1"/>
  <c r="L560" i="19" s="1"/>
  <c r="L344" i="19"/>
  <c r="L522" i="19"/>
  <c r="L521" i="19" s="1"/>
  <c r="L520" i="19" s="1"/>
  <c r="L519" i="19" s="1"/>
  <c r="L518" i="19" s="1"/>
  <c r="L556" i="19"/>
  <c r="L555" i="19" s="1"/>
  <c r="L554" i="19" s="1"/>
  <c r="L553" i="19" s="1"/>
  <c r="L552" i="19" s="1"/>
  <c r="L594" i="19"/>
  <c r="L187" i="19"/>
  <c r="L186" i="19" s="1"/>
  <c r="L185" i="19" s="1"/>
  <c r="L184" i="19" s="1"/>
  <c r="L183" i="19" s="1"/>
  <c r="L247" i="19"/>
  <c r="L246" i="19" s="1"/>
  <c r="L245" i="19" s="1"/>
  <c r="L244" i="19" s="1"/>
  <c r="L341" i="19"/>
  <c r="L358" i="19"/>
  <c r="L471" i="19"/>
  <c r="L470" i="19" s="1"/>
  <c r="L581" i="19"/>
  <c r="L520" i="3"/>
  <c r="L43" i="3"/>
  <c r="L79" i="3"/>
  <c r="L78" i="3" s="1"/>
  <c r="L494" i="3"/>
  <c r="L503" i="3"/>
  <c r="L555" i="3"/>
  <c r="L497" i="3"/>
  <c r="L794" i="3"/>
  <c r="L810" i="3"/>
  <c r="L816" i="3"/>
  <c r="L800" i="3"/>
  <c r="L673" i="3"/>
  <c r="L672" i="3" s="1"/>
  <c r="L671" i="3" s="1"/>
  <c r="L399" i="3"/>
  <c r="L398" i="3" s="1"/>
  <c r="L397" i="3" s="1"/>
  <c r="L396" i="3" s="1"/>
  <c r="L714" i="3"/>
  <c r="L713" i="3" s="1"/>
  <c r="L712" i="3" s="1"/>
  <c r="L43" i="19"/>
  <c r="L228" i="19"/>
  <c r="L352" i="19"/>
  <c r="L404" i="19"/>
  <c r="L484" i="19"/>
  <c r="L213" i="19"/>
  <c r="L212" i="19" s="1"/>
  <c r="L211" i="19" s="1"/>
  <c r="L210" i="19" s="1"/>
  <c r="L209" i="19" s="1"/>
  <c r="L208" i="19" s="1"/>
  <c r="L363" i="19"/>
  <c r="L38" i="19"/>
  <c r="L330" i="19"/>
  <c r="L355" i="19"/>
  <c r="L575" i="19"/>
  <c r="L591" i="19"/>
  <c r="L578" i="19"/>
  <c r="L541" i="19"/>
  <c r="L540" i="19" s="1"/>
  <c r="L539" i="19" s="1"/>
  <c r="L538" i="19" s="1"/>
  <c r="L438" i="19"/>
  <c r="L437" i="19" s="1"/>
  <c r="L436" i="19" s="1"/>
  <c r="L435" i="19" s="1"/>
  <c r="L434" i="19" s="1"/>
  <c r="L408" i="19"/>
  <c r="L375" i="19"/>
  <c r="L87" i="19"/>
  <c r="L86" i="19" s="1"/>
  <c r="L85" i="19" s="1"/>
  <c r="L84" i="19" s="1"/>
  <c r="L69" i="19"/>
  <c r="L68" i="19" s="1"/>
  <c r="L72" i="19"/>
  <c r="L293" i="19"/>
  <c r="L292" i="19" s="1"/>
  <c r="L291" i="19" s="1"/>
  <c r="L290" i="19" s="1"/>
  <c r="L128" i="19"/>
  <c r="L94" i="19"/>
  <c r="L114" i="19"/>
  <c r="L113" i="19" s="1"/>
  <c r="L112" i="19" s="1"/>
  <c r="L167" i="19"/>
  <c r="L193" i="19"/>
  <c r="L192" i="19" s="1"/>
  <c r="L191" i="19" s="1"/>
  <c r="L38" i="3"/>
  <c r="L690" i="3"/>
  <c r="L803" i="3"/>
  <c r="L28" i="3"/>
  <c r="L510" i="3"/>
  <c r="L526" i="3"/>
  <c r="L773" i="3"/>
  <c r="L772" i="3" s="1"/>
  <c r="L771" i="3" s="1"/>
  <c r="L770" i="3" s="1"/>
  <c r="L769" i="3" s="1"/>
  <c r="L548" i="3"/>
  <c r="L299" i="3"/>
  <c r="L298" i="3" s="1"/>
  <c r="L297" i="3" s="1"/>
  <c r="L101" i="3"/>
  <c r="L100" i="3" s="1"/>
  <c r="L99" i="3" s="1"/>
  <c r="L98" i="3" s="1"/>
  <c r="L210" i="3"/>
  <c r="L153" i="3"/>
  <c r="L194" i="3"/>
  <c r="L193" i="3" s="1"/>
  <c r="L758" i="3"/>
  <c r="L757" i="3" s="1"/>
  <c r="L756" i="3" s="1"/>
  <c r="L755" i="3" s="1"/>
  <c r="L82" i="3"/>
  <c r="L443" i="3"/>
  <c r="L442" i="3" s="1"/>
  <c r="L441" i="3" s="1"/>
  <c r="L440" i="3" s="1"/>
  <c r="L614" i="3"/>
  <c r="L613" i="3" s="1"/>
  <c r="L615" i="3"/>
  <c r="L72" i="3" l="1"/>
  <c r="L71" i="3" s="1"/>
  <c r="L60" i="3" s="1"/>
  <c r="L403" i="19"/>
  <c r="L402" i="19" s="1"/>
  <c r="L401" i="19" s="1"/>
  <c r="L400" i="19" s="1"/>
  <c r="L551" i="19"/>
  <c r="L537" i="19" s="1"/>
  <c r="L707" i="3"/>
  <c r="L706" i="3" s="1"/>
  <c r="L182" i="19"/>
  <c r="L181" i="19" s="1"/>
  <c r="L479" i="19"/>
  <c r="L478" i="19" s="1"/>
  <c r="L477" i="19" s="1"/>
  <c r="L476" i="19" s="1"/>
  <c r="L574" i="19"/>
  <c r="L573" i="19" s="1"/>
  <c r="L572" i="19" s="1"/>
  <c r="L571" i="19" s="1"/>
  <c r="L590" i="19"/>
  <c r="L589" i="19" s="1"/>
  <c r="L588" i="19" s="1"/>
  <c r="L587" i="19" s="1"/>
  <c r="L809" i="3"/>
  <c r="L808" i="3" s="1"/>
  <c r="L807" i="3" s="1"/>
  <c r="L806" i="3" s="1"/>
  <c r="L793" i="3"/>
  <c r="L792" i="3" s="1"/>
  <c r="L791" i="3" s="1"/>
  <c r="L790" i="3" s="1"/>
  <c r="L27" i="3"/>
  <c r="L67" i="19"/>
  <c r="L66" i="19" s="1"/>
  <c r="L60" i="19" s="1"/>
  <c r="L570" i="19" l="1"/>
  <c r="L569" i="19" s="1"/>
  <c r="L789" i="3"/>
  <c r="L788" i="3" s="1"/>
  <c r="I313" i="18" l="1"/>
  <c r="I312" i="18" s="1"/>
  <c r="H313" i="18"/>
  <c r="H312" i="18" s="1"/>
  <c r="N278" i="19"/>
  <c r="M278" i="19"/>
  <c r="L278" i="19" s="1"/>
  <c r="L277" i="19" s="1"/>
  <c r="L276" i="19" s="1"/>
  <c r="L275" i="19" s="1"/>
  <c r="L274" i="19" s="1"/>
  <c r="L273" i="19" s="1"/>
  <c r="L272" i="19" s="1"/>
  <c r="N279" i="19"/>
  <c r="M279" i="19"/>
  <c r="L430" i="3"/>
  <c r="L429" i="3" s="1"/>
  <c r="L428" i="3" l="1"/>
  <c r="L427" i="3" s="1"/>
  <c r="L426" i="3" s="1"/>
  <c r="L425" i="3" s="1"/>
  <c r="L424" i="3" s="1"/>
  <c r="D53" i="16"/>
  <c r="C53" i="16"/>
  <c r="D63" i="16" l="1"/>
  <c r="C63" i="16"/>
  <c r="H67" i="18" l="1"/>
  <c r="I68" i="18"/>
  <c r="I67" i="18" s="1"/>
  <c r="N361" i="19"/>
  <c r="L140" i="3" l="1"/>
  <c r="L139" i="3" s="1"/>
  <c r="L138" i="3" s="1"/>
  <c r="L137" i="3" s="1"/>
  <c r="L136" i="3" s="1"/>
  <c r="L135" i="3" s="1"/>
  <c r="L632" i="3" l="1"/>
  <c r="L631" i="3" s="1"/>
  <c r="L630" i="3" s="1"/>
  <c r="L629" i="3" s="1"/>
  <c r="L628" i="3" s="1"/>
  <c r="L627" i="3" s="1"/>
  <c r="L626" i="3" s="1"/>
  <c r="L744" i="3"/>
  <c r="L743" i="3" s="1"/>
  <c r="L742" i="3" s="1"/>
  <c r="L741" i="3" s="1"/>
  <c r="L740" i="3" s="1"/>
  <c r="L739" i="3" s="1"/>
  <c r="M743" i="3" l="1"/>
  <c r="N48" i="19"/>
  <c r="H97" i="7" l="1"/>
  <c r="M561" i="3"/>
  <c r="M492" i="3"/>
  <c r="L492" i="3" s="1"/>
  <c r="L491" i="3" s="1"/>
  <c r="H96" i="7" l="1"/>
  <c r="H95" i="7" s="1"/>
  <c r="L561" i="3"/>
  <c r="L560" i="3" s="1"/>
  <c r="L547" i="3" s="1"/>
  <c r="M560" i="3"/>
  <c r="L546" i="3" l="1"/>
  <c r="L545" i="3" s="1"/>
  <c r="L544" i="3" s="1"/>
  <c r="N465" i="19"/>
  <c r="D31" i="16"/>
  <c r="N475" i="19" l="1"/>
  <c r="N474" i="19" s="1"/>
  <c r="I406" i="18" l="1"/>
  <c r="H406" i="18"/>
  <c r="I405" i="18"/>
  <c r="H405" i="18"/>
  <c r="N43" i="19"/>
  <c r="M43" i="19"/>
  <c r="H502" i="7"/>
  <c r="H501" i="7"/>
  <c r="M43" i="3"/>
  <c r="I63" i="18"/>
  <c r="H63" i="18"/>
  <c r="I62" i="18"/>
  <c r="H62" i="18"/>
  <c r="I72" i="18"/>
  <c r="I71" i="18"/>
  <c r="I70" i="18"/>
  <c r="H72" i="18"/>
  <c r="H71" i="18"/>
  <c r="H70" i="18"/>
  <c r="H73" i="7"/>
  <c r="H72" i="7"/>
  <c r="H80" i="7"/>
  <c r="H79" i="7"/>
  <c r="H78" i="7"/>
  <c r="H404" i="18" l="1"/>
  <c r="H71" i="7"/>
  <c r="I404" i="18"/>
  <c r="H500" i="7"/>
  <c r="H61" i="18"/>
  <c r="I61" i="18"/>
  <c r="H69" i="18"/>
  <c r="I69" i="18"/>
  <c r="H77" i="7"/>
  <c r="M337" i="19"/>
  <c r="L337" i="19" s="1"/>
  <c r="L335" i="19" s="1"/>
  <c r="L329" i="19" s="1"/>
  <c r="L328" i="19" s="1"/>
  <c r="L327" i="19" s="1"/>
  <c r="L326" i="19" s="1"/>
  <c r="N337" i="19"/>
  <c r="M361" i="19"/>
  <c r="N355" i="19"/>
  <c r="M355" i="19"/>
  <c r="N363" i="19"/>
  <c r="M363" i="19"/>
  <c r="M520" i="3"/>
  <c r="M526" i="3"/>
  <c r="L525" i="3" l="1"/>
  <c r="M524" i="3"/>
  <c r="L524" i="3" s="1"/>
  <c r="L523" i="3" l="1"/>
  <c r="M523" i="3"/>
  <c r="N591" i="19"/>
  <c r="M591" i="19"/>
  <c r="N597" i="19"/>
  <c r="M597" i="19"/>
  <c r="N578" i="19"/>
  <c r="M578" i="19"/>
  <c r="N581" i="19"/>
  <c r="M581" i="19"/>
  <c r="H401" i="7"/>
  <c r="H402" i="7"/>
  <c r="M810" i="3"/>
  <c r="M816" i="3"/>
  <c r="M797" i="3"/>
  <c r="M800" i="3"/>
  <c r="D69" i="16"/>
  <c r="C69" i="16"/>
  <c r="L166" i="3" l="1"/>
  <c r="L165" i="3" s="1"/>
  <c r="M153" i="19"/>
  <c r="L153" i="19" s="1"/>
  <c r="L152" i="19" s="1"/>
  <c r="M181" i="3"/>
  <c r="L181" i="3" s="1"/>
  <c r="L180" i="3" s="1"/>
  <c r="L173" i="3" s="1"/>
  <c r="L172" i="3" s="1"/>
  <c r="L171" i="3" s="1"/>
  <c r="L670" i="3"/>
  <c r="L669" i="3" s="1"/>
  <c r="L411" i="3"/>
  <c r="L410" i="3" s="1"/>
  <c r="L407" i="3" s="1"/>
  <c r="L406" i="3" s="1"/>
  <c r="L405" i="3" s="1"/>
  <c r="L404" i="3" s="1"/>
  <c r="L403" i="3" s="1"/>
  <c r="L164" i="3" l="1"/>
  <c r="L163" i="3" s="1"/>
  <c r="L162" i="3" s="1"/>
  <c r="L152" i="3" s="1"/>
  <c r="L134" i="3" s="1"/>
  <c r="M192" i="3"/>
  <c r="L192" i="3" s="1"/>
  <c r="L191" i="3" s="1"/>
  <c r="L186" i="3" s="1"/>
  <c r="L115" i="3"/>
  <c r="L114" i="3" s="1"/>
  <c r="L113" i="3" s="1"/>
  <c r="L112" i="3" s="1"/>
  <c r="L111" i="3" s="1"/>
  <c r="L110" i="3" s="1"/>
  <c r="L97" i="3" s="1"/>
  <c r="L354" i="3"/>
  <c r="M295" i="3"/>
  <c r="L295" i="3" s="1"/>
  <c r="L48" i="3"/>
  <c r="L47" i="3" s="1"/>
  <c r="L46" i="3" s="1"/>
  <c r="L26" i="3" s="1"/>
  <c r="L25" i="3" s="1"/>
  <c r="L24" i="3" s="1"/>
  <c r="L366" i="3"/>
  <c r="L365" i="3" s="1"/>
  <c r="L364" i="3" s="1"/>
  <c r="L387" i="3"/>
  <c r="L386" i="3" s="1"/>
  <c r="L385" i="3" s="1"/>
  <c r="L384" i="3" s="1"/>
  <c r="L383" i="3" s="1"/>
  <c r="L184" i="3" l="1"/>
  <c r="L183" i="3" s="1"/>
  <c r="L182" i="3" s="1"/>
  <c r="L185" i="3"/>
  <c r="H354" i="7"/>
  <c r="H353" i="7" s="1"/>
  <c r="H320" i="7"/>
  <c r="H319" i="7" s="1"/>
  <c r="H507" i="7"/>
  <c r="H506" i="7" s="1"/>
  <c r="F39" i="6" l="1"/>
  <c r="E39" i="6"/>
  <c r="M422" i="3"/>
  <c r="M421" i="3" s="1"/>
  <c r="M420" i="3" s="1"/>
  <c r="M419" i="3" s="1"/>
  <c r="M418" i="3" s="1"/>
  <c r="M311" i="3"/>
  <c r="M310" i="3" s="1"/>
  <c r="M309" i="3" s="1"/>
  <c r="M308" i="3" s="1"/>
  <c r="M307" i="3" s="1"/>
  <c r="M306" i="3" s="1"/>
  <c r="M208" i="3"/>
  <c r="M207" i="3" s="1"/>
  <c r="M206" i="3" s="1"/>
  <c r="M205" i="3" s="1"/>
  <c r="M204" i="3" s="1"/>
  <c r="M203" i="3" s="1"/>
  <c r="M853" i="3" l="1"/>
  <c r="D39" i="6" s="1"/>
  <c r="L576" i="3"/>
  <c r="L575" i="3" s="1"/>
  <c r="L572" i="3" s="1"/>
  <c r="L571" i="3" s="1"/>
  <c r="L570" i="3" s="1"/>
  <c r="L569" i="3" s="1"/>
  <c r="N54" i="19"/>
  <c r="M54" i="19"/>
  <c r="L54" i="19" s="1"/>
  <c r="L53" i="19" s="1"/>
  <c r="L52" i="19" s="1"/>
  <c r="L51" i="19" s="1"/>
  <c r="L50" i="19" s="1"/>
  <c r="L49" i="19" s="1"/>
  <c r="M54" i="3"/>
  <c r="L54" i="3" s="1"/>
  <c r="L53" i="3" s="1"/>
  <c r="L52" i="3" s="1"/>
  <c r="L51" i="3" s="1"/>
  <c r="L50" i="3" s="1"/>
  <c r="L49" i="3" s="1"/>
  <c r="L534" i="3"/>
  <c r="C66" i="16"/>
  <c r="D66" i="16"/>
  <c r="C73" i="2"/>
  <c r="C67" i="2"/>
  <c r="L532" i="3" l="1"/>
  <c r="L531" i="3" s="1"/>
  <c r="L530" i="3" s="1"/>
  <c r="L664" i="3"/>
  <c r="L663" i="3" s="1"/>
  <c r="L662" i="3" s="1"/>
  <c r="L655" i="3"/>
  <c r="L654" i="3" s="1"/>
  <c r="L653" i="3" s="1"/>
  <c r="L652" i="3" l="1"/>
  <c r="L651" i="3" s="1"/>
  <c r="L650" i="3" s="1"/>
  <c r="L489" i="3"/>
  <c r="L487" i="3"/>
  <c r="L459" i="3"/>
  <c r="L458" i="3" s="1"/>
  <c r="L457" i="3" s="1"/>
  <c r="L456" i="3" s="1"/>
  <c r="L455" i="3" s="1"/>
  <c r="L454" i="3" s="1"/>
  <c r="L486" i="3" l="1"/>
  <c r="N31" i="19"/>
  <c r="L31" i="19"/>
  <c r="L592" i="3" l="1"/>
  <c r="L589" i="3" s="1"/>
  <c r="L357" i="3" l="1"/>
  <c r="L356" i="3" s="1"/>
  <c r="L333" i="3" l="1"/>
  <c r="L332" i="3" s="1"/>
  <c r="L331" i="3" s="1"/>
  <c r="L330" i="3" s="1"/>
  <c r="L329" i="3" s="1"/>
  <c r="L328" i="3" s="1"/>
  <c r="L327" i="3" s="1"/>
  <c r="L294" i="3" l="1"/>
  <c r="L293" i="3" s="1"/>
  <c r="L292" i="3" s="1"/>
  <c r="M784" i="3"/>
  <c r="L784" i="3" s="1"/>
  <c r="L783" i="3" s="1"/>
  <c r="L782" i="3" s="1"/>
  <c r="L781" i="3" s="1"/>
  <c r="L780" i="3" s="1"/>
  <c r="L779" i="3" s="1"/>
  <c r="L768" i="3" s="1"/>
  <c r="L754" i="3" s="1"/>
  <c r="M750" i="3"/>
  <c r="L750" i="3" s="1"/>
  <c r="L749" i="3" s="1"/>
  <c r="L748" i="3" s="1"/>
  <c r="L747" i="3" s="1"/>
  <c r="L746" i="3" s="1"/>
  <c r="L745" i="3" s="1"/>
  <c r="L705" i="3" s="1"/>
  <c r="L697" i="3" s="1"/>
  <c r="L687" i="3"/>
  <c r="L686" i="3" s="1"/>
  <c r="L685" i="3" s="1"/>
  <c r="L684" i="3" s="1"/>
  <c r="L679" i="3" s="1"/>
  <c r="L678" i="3" s="1"/>
  <c r="L649" i="3" s="1"/>
  <c r="L612" i="3" s="1"/>
  <c r="L586" i="3"/>
  <c r="L585" i="3" s="1"/>
  <c r="L353" i="3"/>
  <c r="L352" i="3" s="1"/>
  <c r="L351" i="3" l="1"/>
  <c r="L350" i="3" s="1"/>
  <c r="L342" i="3" s="1"/>
  <c r="L341" i="3" s="1"/>
  <c r="L340" i="3" s="1"/>
  <c r="L339" i="3" s="1"/>
  <c r="L291" i="3"/>
  <c r="L290" i="3" s="1"/>
  <c r="L289" i="3" s="1"/>
  <c r="L288" i="3" s="1"/>
  <c r="L287" i="3" s="1"/>
  <c r="L584" i="3"/>
  <c r="L583" i="3" s="1"/>
  <c r="L578" i="3" s="1"/>
  <c r="L577" i="3" s="1"/>
  <c r="M23" i="3"/>
  <c r="L23" i="3" s="1"/>
  <c r="L22" i="3" s="1"/>
  <c r="L21" i="3" s="1"/>
  <c r="L20" i="3" s="1"/>
  <c r="L19" i="3" s="1"/>
  <c r="L18" i="3" s="1"/>
  <c r="L17" i="3" l="1"/>
  <c r="L16" i="3" s="1"/>
  <c r="I24" i="18"/>
  <c r="I23" i="18" s="1"/>
  <c r="I200" i="18"/>
  <c r="H200" i="18"/>
  <c r="I45" i="18"/>
  <c r="N247" i="19"/>
  <c r="M247" i="19"/>
  <c r="H24" i="18"/>
  <c r="H23" i="18" s="1"/>
  <c r="M348" i="3"/>
  <c r="M386" i="3"/>
  <c r="H368" i="7"/>
  <c r="H367" i="7" s="1"/>
  <c r="H366" i="7" s="1"/>
  <c r="H365" i="7" s="1"/>
  <c r="M371" i="3"/>
  <c r="M370" i="3" s="1"/>
  <c r="M151" i="19" l="1"/>
  <c r="L151" i="19" s="1"/>
  <c r="L149" i="19" s="1"/>
  <c r="L148" i="19" s="1"/>
  <c r="L147" i="19" s="1"/>
  <c r="L146" i="19" s="1"/>
  <c r="L127" i="19" s="1"/>
  <c r="L111" i="19" s="1"/>
  <c r="I427" i="18"/>
  <c r="I426" i="18" s="1"/>
  <c r="H427" i="18"/>
  <c r="H426" i="18" s="1"/>
  <c r="M152" i="19"/>
  <c r="N152" i="19"/>
  <c r="M813" i="3" l="1"/>
  <c r="M809" i="3" s="1"/>
  <c r="H53" i="7" l="1"/>
  <c r="I199" i="18"/>
  <c r="I198" i="18" s="1"/>
  <c r="I197" i="18" s="1"/>
  <c r="H199" i="18"/>
  <c r="H198" i="18" s="1"/>
  <c r="H197" i="18" s="1"/>
  <c r="M286" i="19" l="1"/>
  <c r="M285" i="19" s="1"/>
  <c r="M284" i="19" s="1"/>
  <c r="M283" i="19" s="1"/>
  <c r="M282" i="19" s="1"/>
  <c r="M281" i="19" s="1"/>
  <c r="N286" i="19"/>
  <c r="N285" i="19" s="1"/>
  <c r="N284" i="19" s="1"/>
  <c r="N283" i="19" s="1"/>
  <c r="N282" i="19" s="1"/>
  <c r="N281" i="19" s="1"/>
  <c r="N262" i="19"/>
  <c r="N261" i="19" s="1"/>
  <c r="M262" i="19"/>
  <c r="M261" i="19" s="1"/>
  <c r="D67" i="16" l="1"/>
  <c r="C67" i="16"/>
  <c r="C74" i="2"/>
  <c r="M558" i="3"/>
  <c r="M497" i="3"/>
  <c r="I171" i="18" l="1"/>
  <c r="H171" i="18"/>
  <c r="I170" i="18"/>
  <c r="H170" i="18"/>
  <c r="I439" i="18"/>
  <c r="I438" i="18" s="1"/>
  <c r="I437" i="18" s="1"/>
  <c r="I436" i="18" s="1"/>
  <c r="I435" i="18" s="1"/>
  <c r="H439" i="18"/>
  <c r="H438" i="18" s="1"/>
  <c r="H437" i="18" s="1"/>
  <c r="H436" i="18" s="1"/>
  <c r="H435" i="18" s="1"/>
  <c r="I238" i="18"/>
  <c r="H238" i="18"/>
  <c r="I237" i="18"/>
  <c r="H237" i="18"/>
  <c r="N415" i="19"/>
  <c r="M415" i="19"/>
  <c r="N397" i="19"/>
  <c r="N396" i="19" s="1"/>
  <c r="M397" i="19"/>
  <c r="M398" i="19"/>
  <c r="N398" i="19"/>
  <c r="N382" i="19"/>
  <c r="I82" i="18" s="1"/>
  <c r="M382" i="19"/>
  <c r="L382" i="19" s="1"/>
  <c r="N381" i="19"/>
  <c r="I81" i="18" s="1"/>
  <c r="M381" i="19"/>
  <c r="N369" i="19"/>
  <c r="M369" i="19"/>
  <c r="I42" i="18"/>
  <c r="H42" i="18"/>
  <c r="N336" i="19"/>
  <c r="I41" i="18" s="1"/>
  <c r="H41" i="18"/>
  <c r="N324" i="19"/>
  <c r="N323" i="19" s="1"/>
  <c r="N322" i="19" s="1"/>
  <c r="N321" i="19" s="1"/>
  <c r="M324" i="19"/>
  <c r="M323" i="19" s="1"/>
  <c r="M322" i="19" s="1"/>
  <c r="M321" i="19" s="1"/>
  <c r="N311" i="19"/>
  <c r="N310" i="19" s="1"/>
  <c r="M311" i="19"/>
  <c r="H294" i="7"/>
  <c r="H293" i="7"/>
  <c r="H52" i="7"/>
  <c r="H25" i="7"/>
  <c r="M541" i="3"/>
  <c r="M537" i="3" s="1"/>
  <c r="M509" i="3"/>
  <c r="L509" i="3" s="1"/>
  <c r="L506" i="3" s="1"/>
  <c r="L485" i="3" s="1"/>
  <c r="M501" i="3"/>
  <c r="M475" i="3"/>
  <c r="M472" i="3" l="1"/>
  <c r="M471" i="3" s="1"/>
  <c r="M470" i="3" s="1"/>
  <c r="M536" i="3"/>
  <c r="M535" i="3" s="1"/>
  <c r="L541" i="3"/>
  <c r="L537" i="3" s="1"/>
  <c r="M310" i="19"/>
  <c r="L311" i="19"/>
  <c r="L310" i="19" s="1"/>
  <c r="L307" i="19" s="1"/>
  <c r="L306" i="19" s="1"/>
  <c r="L305" i="19" s="1"/>
  <c r="L304" i="19" s="1"/>
  <c r="H106" i="18"/>
  <c r="H105" i="18" s="1"/>
  <c r="L397" i="19"/>
  <c r="L396" i="19" s="1"/>
  <c r="L395" i="19" s="1"/>
  <c r="L394" i="19" s="1"/>
  <c r="L393" i="19" s="1"/>
  <c r="L392" i="19" s="1"/>
  <c r="H81" i="18"/>
  <c r="L381" i="19"/>
  <c r="L380" i="19" s="1"/>
  <c r="L374" i="19" s="1"/>
  <c r="L373" i="19" s="1"/>
  <c r="L372" i="19" s="1"/>
  <c r="L371" i="19" s="1"/>
  <c r="L484" i="3"/>
  <c r="L483" i="3" s="1"/>
  <c r="N395" i="19"/>
  <c r="M380" i="19"/>
  <c r="M396" i="19"/>
  <c r="M395" i="19" s="1"/>
  <c r="I40" i="18"/>
  <c r="H22" i="18"/>
  <c r="H21" i="18" s="1"/>
  <c r="I22" i="18"/>
  <c r="I21" i="18" s="1"/>
  <c r="I106" i="18"/>
  <c r="I105" i="18" s="1"/>
  <c r="H82" i="18"/>
  <c r="I169" i="18"/>
  <c r="I168" i="18" s="1"/>
  <c r="H169" i="18"/>
  <c r="H168" i="18" s="1"/>
  <c r="I80" i="18"/>
  <c r="H40" i="18"/>
  <c r="N335" i="19"/>
  <c r="N380" i="19"/>
  <c r="M335" i="19"/>
  <c r="H292" i="7"/>
  <c r="L536" i="3" l="1"/>
  <c r="L535" i="3" s="1"/>
  <c r="L482" i="3" s="1"/>
  <c r="L453" i="3" s="1"/>
  <c r="L439" i="3" s="1"/>
  <c r="L15" i="3" s="1"/>
  <c r="H80" i="18"/>
  <c r="L303" i="19"/>
  <c r="L289" i="19" s="1"/>
  <c r="M464" i="3"/>
  <c r="N522" i="19" l="1"/>
  <c r="N521" i="19" s="1"/>
  <c r="M522" i="19"/>
  <c r="M521" i="19" s="1"/>
  <c r="I187" i="18"/>
  <c r="I186" i="18" s="1"/>
  <c r="H187" i="18"/>
  <c r="H186" i="18" s="1"/>
  <c r="N510" i="19"/>
  <c r="M510" i="19"/>
  <c r="N534" i="19"/>
  <c r="M534" i="19"/>
  <c r="L534" i="19" s="1"/>
  <c r="L532" i="19" s="1"/>
  <c r="L531" i="19" s="1"/>
  <c r="L530" i="19" s="1"/>
  <c r="L529" i="19" s="1"/>
  <c r="L528" i="19" s="1"/>
  <c r="N509" i="19"/>
  <c r="M509" i="19"/>
  <c r="L509" i="19" s="1"/>
  <c r="L506" i="19" s="1"/>
  <c r="L505" i="19" l="1"/>
  <c r="L504" i="19" s="1"/>
  <c r="L499" i="19" s="1"/>
  <c r="L498" i="19" s="1"/>
  <c r="L497" i="19" s="1"/>
  <c r="L489" i="19" s="1"/>
  <c r="F32" i="6"/>
  <c r="E32" i="6"/>
  <c r="C24" i="2"/>
  <c r="C29" i="2"/>
  <c r="I336" i="18" l="1"/>
  <c r="I335" i="18" s="1"/>
  <c r="I334" i="18" s="1"/>
  <c r="I333" i="18" s="1"/>
  <c r="I328" i="18" s="1"/>
  <c r="H335" i="18"/>
  <c r="H334" i="18" s="1"/>
  <c r="H333" i="18" s="1"/>
  <c r="H328" i="18" s="1"/>
  <c r="I251" i="18"/>
  <c r="I250" i="18" s="1"/>
  <c r="I249" i="18" s="1"/>
  <c r="I248" i="18" s="1"/>
  <c r="H251" i="18"/>
  <c r="H250" i="18" s="1"/>
  <c r="H249" i="18" s="1"/>
  <c r="H248" i="18" s="1"/>
  <c r="H430" i="7" l="1"/>
  <c r="H429" i="7" s="1"/>
  <c r="H428" i="7"/>
  <c r="H427" i="7" s="1"/>
  <c r="H426" i="7"/>
  <c r="H425" i="7" s="1"/>
  <c r="H415" i="7"/>
  <c r="H414" i="7" s="1"/>
  <c r="H413" i="7" s="1"/>
  <c r="H412" i="7" s="1"/>
  <c r="H473" i="7"/>
  <c r="N165" i="19"/>
  <c r="N164" i="19" s="1"/>
  <c r="N163" i="19" s="1"/>
  <c r="N162" i="19" s="1"/>
  <c r="M165" i="19"/>
  <c r="M164" i="19" s="1"/>
  <c r="M163" i="19" s="1"/>
  <c r="M162" i="19" s="1"/>
  <c r="N109" i="19"/>
  <c r="N108" i="19" s="1"/>
  <c r="N107" i="19" s="1"/>
  <c r="M109" i="19"/>
  <c r="M108" i="19" s="1"/>
  <c r="M107" i="19" s="1"/>
  <c r="N104" i="19"/>
  <c r="M104" i="19"/>
  <c r="L104" i="19" s="1"/>
  <c r="L103" i="19" s="1"/>
  <c r="L102" i="19" s="1"/>
  <c r="L101" i="19" s="1"/>
  <c r="L93" i="19" s="1"/>
  <c r="L92" i="19" s="1"/>
  <c r="L83" i="19" s="1"/>
  <c r="H424" i="7" l="1"/>
  <c r="H420" i="7" s="1"/>
  <c r="N32" i="19" l="1"/>
  <c r="M32" i="19"/>
  <c r="L32" i="19" s="1"/>
  <c r="L30" i="19" s="1"/>
  <c r="L29" i="19" s="1"/>
  <c r="L28" i="19" s="1"/>
  <c r="L27" i="19" s="1"/>
  <c r="L26" i="19" s="1"/>
  <c r="L19" i="19" s="1"/>
  <c r="L18" i="19" s="1"/>
  <c r="M197" i="3"/>
  <c r="M196" i="3" s="1"/>
  <c r="M195" i="3" s="1"/>
  <c r="M187" i="3"/>
  <c r="M189" i="3"/>
  <c r="M191" i="3"/>
  <c r="M201" i="3"/>
  <c r="M200" i="3" s="1"/>
  <c r="M199" i="3" s="1"/>
  <c r="M186" i="3" l="1"/>
  <c r="M194" i="3"/>
  <c r="M193" i="3" s="1"/>
  <c r="M184" i="3" l="1"/>
  <c r="M183" i="3" s="1"/>
  <c r="M185" i="3"/>
  <c r="M182" i="3" l="1"/>
  <c r="M844" i="3"/>
  <c r="H342" i="7"/>
  <c r="D32" i="6" l="1"/>
  <c r="N234" i="19"/>
  <c r="N233" i="19"/>
  <c r="M233" i="19"/>
  <c r="L233" i="19" s="1"/>
  <c r="L232" i="19" s="1"/>
  <c r="L227" i="19" s="1"/>
  <c r="L226" i="19" s="1"/>
  <c r="L221" i="19" s="1"/>
  <c r="L220" i="19" s="1"/>
  <c r="L219" i="19" s="1"/>
  <c r="L218" i="19" s="1"/>
  <c r="I145" i="18" l="1"/>
  <c r="H145" i="18"/>
  <c r="I128" i="18"/>
  <c r="I127" i="18" s="1"/>
  <c r="I126" i="18" s="1"/>
  <c r="H128" i="18"/>
  <c r="H127" i="18" s="1"/>
  <c r="H126" i="18" s="1"/>
  <c r="N471" i="19"/>
  <c r="N470" i="19" s="1"/>
  <c r="N469" i="19" s="1"/>
  <c r="M471" i="19"/>
  <c r="M447" i="19"/>
  <c r="M446" i="19" s="1"/>
  <c r="M445" i="19" s="1"/>
  <c r="M444" i="19" s="1"/>
  <c r="M443" i="19" s="1"/>
  <c r="N453" i="19"/>
  <c r="N452" i="19" s="1"/>
  <c r="N451" i="19" s="1"/>
  <c r="N450" i="19" s="1"/>
  <c r="N449" i="19" s="1"/>
  <c r="M453" i="19"/>
  <c r="M452" i="19" s="1"/>
  <c r="M451" i="19" s="1"/>
  <c r="M450" i="19" s="1"/>
  <c r="M449" i="19" s="1"/>
  <c r="D17" i="9" l="1"/>
  <c r="C17" i="9"/>
  <c r="C27" i="2"/>
  <c r="C16" i="9" l="1"/>
  <c r="D16" i="9" l="1"/>
  <c r="D51" i="16"/>
  <c r="C51" i="16"/>
  <c r="C60" i="2"/>
  <c r="C53" i="2" l="1"/>
  <c r="C52" i="2" l="1"/>
  <c r="D58" i="6"/>
  <c r="E16" i="8"/>
  <c r="D16" i="8"/>
  <c r="C18" i="8"/>
  <c r="C17" i="8" s="1"/>
  <c r="E14" i="5" l="1"/>
  <c r="D14" i="5"/>
  <c r="N161" i="19" l="1"/>
  <c r="M161" i="19"/>
  <c r="M629" i="19" l="1"/>
  <c r="M154" i="19"/>
  <c r="N629" i="19"/>
  <c r="F34" i="6" s="1"/>
  <c r="N154" i="19"/>
  <c r="M673" i="3"/>
  <c r="E34" i="6" l="1"/>
  <c r="M630" i="19"/>
  <c r="H181" i="7" l="1"/>
  <c r="H26" i="7" l="1"/>
  <c r="H45" i="18"/>
  <c r="M270" i="19"/>
  <c r="M269" i="19" s="1"/>
  <c r="M268" i="19" s="1"/>
  <c r="M267" i="19" s="1"/>
  <c r="M266" i="19" s="1"/>
  <c r="H35" i="7" l="1"/>
  <c r="H34" i="7" s="1"/>
  <c r="N260" i="19" l="1"/>
  <c r="N259" i="19" s="1"/>
  <c r="N258" i="19" s="1"/>
  <c r="N257" i="19" s="1"/>
  <c r="M260" i="19"/>
  <c r="M259" i="19" s="1"/>
  <c r="M258" i="19" s="1"/>
  <c r="M257" i="19" s="1"/>
  <c r="M410" i="3"/>
  <c r="H485" i="7" l="1"/>
  <c r="H174" i="7"/>
  <c r="H173" i="7" s="1"/>
  <c r="M669" i="3" l="1"/>
  <c r="M74" i="3"/>
  <c r="M73" i="3" s="1"/>
  <c r="M794" i="3" l="1"/>
  <c r="N383" i="19" l="1"/>
  <c r="M383" i="19"/>
  <c r="M573" i="3" l="1"/>
  <c r="M563" i="3"/>
  <c r="M28" i="3" l="1"/>
  <c r="H24" i="7" l="1"/>
  <c r="M451" i="3"/>
  <c r="M352" i="3"/>
  <c r="M332" i="3"/>
  <c r="M79" i="3"/>
  <c r="M53" i="3"/>
  <c r="M47" i="3"/>
  <c r="M22" i="3"/>
  <c r="H119" i="7" l="1"/>
  <c r="H118" i="7" s="1"/>
  <c r="M594" i="3"/>
  <c r="M58" i="3" l="1"/>
  <c r="M57" i="3" s="1"/>
  <c r="M69" i="3" l="1"/>
  <c r="H419" i="7" l="1"/>
  <c r="H418" i="7" s="1"/>
  <c r="H417" i="7" s="1"/>
  <c r="H416" i="7" s="1"/>
  <c r="H50" i="7" l="1"/>
  <c r="M356" i="3"/>
  <c r="M123" i="3"/>
  <c r="M847" i="3"/>
  <c r="D34" i="6" s="1"/>
  <c r="I84" i="18" l="1"/>
  <c r="I83" i="18" s="1"/>
  <c r="H84" i="18"/>
  <c r="H83" i="18" s="1"/>
  <c r="H99" i="7" l="1"/>
  <c r="H98" i="7" s="1"/>
  <c r="H132" i="7"/>
  <c r="H131" i="7" s="1"/>
  <c r="M548" i="3"/>
  <c r="H531" i="7" l="1"/>
  <c r="H530" i="7" s="1"/>
  <c r="M180" i="3"/>
  <c r="M173" i="3" s="1"/>
  <c r="H310" i="7"/>
  <c r="H309" i="7" s="1"/>
  <c r="H308" i="7" s="1"/>
  <c r="H307" i="7" s="1"/>
  <c r="M132" i="3"/>
  <c r="M131" i="3" s="1"/>
  <c r="M130" i="3" s="1"/>
  <c r="H174" i="18"/>
  <c r="H173" i="18" s="1"/>
  <c r="H172" i="18" s="1"/>
  <c r="M445" i="3" l="1"/>
  <c r="I174" i="18"/>
  <c r="I173" i="18" s="1"/>
  <c r="I172" i="18" s="1"/>
  <c r="N526" i="19" l="1"/>
  <c r="N525" i="19" s="1"/>
  <c r="M526" i="19"/>
  <c r="M525" i="19" s="1"/>
  <c r="H55" i="7"/>
  <c r="H56" i="7"/>
  <c r="H48" i="18"/>
  <c r="I48" i="18"/>
  <c r="I49" i="18"/>
  <c r="H49" i="18"/>
  <c r="M520" i="19" l="1"/>
  <c r="M519" i="19" s="1"/>
  <c r="M518" i="19" s="1"/>
  <c r="M650" i="19" s="1"/>
  <c r="E51" i="6" s="1"/>
  <c r="N520" i="19"/>
  <c r="N519" i="19" s="1"/>
  <c r="N518" i="19" s="1"/>
  <c r="N650" i="19" s="1"/>
  <c r="F51" i="6" s="1"/>
  <c r="H47" i="18"/>
  <c r="I47" i="18"/>
  <c r="H54" i="7"/>
  <c r="M293" i="3" l="1"/>
  <c r="N341" i="19"/>
  <c r="M341" i="19"/>
  <c r="M503" i="3"/>
  <c r="D24" i="16"/>
  <c r="C24" i="16"/>
  <c r="C16" i="8" l="1"/>
  <c r="I111" i="18" l="1"/>
  <c r="I110" i="18" s="1"/>
  <c r="I109" i="18" s="1"/>
  <c r="H111" i="18"/>
  <c r="H110" i="18" s="1"/>
  <c r="H109" i="18" s="1"/>
  <c r="I114" i="18"/>
  <c r="I113" i="18" s="1"/>
  <c r="I112" i="18" s="1"/>
  <c r="H114" i="18"/>
  <c r="H113" i="18" s="1"/>
  <c r="H112" i="18" s="1"/>
  <c r="I117" i="18"/>
  <c r="I116" i="18" s="1"/>
  <c r="I115" i="18" s="1"/>
  <c r="H117" i="18"/>
  <c r="H116" i="18" s="1"/>
  <c r="H115" i="18" s="1"/>
  <c r="N390" i="19"/>
  <c r="N389" i="19" s="1"/>
  <c r="N388" i="19" s="1"/>
  <c r="N387" i="19" s="1"/>
  <c r="M390" i="19"/>
  <c r="M389" i="19" s="1"/>
  <c r="M388" i="19" s="1"/>
  <c r="M387" i="19" s="1"/>
  <c r="H86" i="18"/>
  <c r="I86" i="18"/>
  <c r="H65" i="18"/>
  <c r="I65" i="18"/>
  <c r="I66" i="18"/>
  <c r="H66" i="18"/>
  <c r="N358" i="19"/>
  <c r="M358" i="19"/>
  <c r="H44" i="18"/>
  <c r="I44" i="18"/>
  <c r="I46" i="18"/>
  <c r="H46" i="18"/>
  <c r="N338" i="19"/>
  <c r="M338" i="19"/>
  <c r="N295" i="19"/>
  <c r="N294" i="19" s="1"/>
  <c r="M295" i="19"/>
  <c r="M294" i="19" s="1"/>
  <c r="N298" i="19"/>
  <c r="N297" i="19" s="1"/>
  <c r="M298" i="19"/>
  <c r="M297" i="19" s="1"/>
  <c r="N301" i="19"/>
  <c r="N300" i="19" s="1"/>
  <c r="M301" i="19"/>
  <c r="M300" i="19" s="1"/>
  <c r="I43" i="18" l="1"/>
  <c r="H43" i="18"/>
  <c r="H64" i="18"/>
  <c r="I64" i="18"/>
  <c r="N293" i="19"/>
  <c r="N292" i="19" s="1"/>
  <c r="N291" i="19" s="1"/>
  <c r="N290" i="19" s="1"/>
  <c r="M293" i="19"/>
  <c r="M292" i="19" s="1"/>
  <c r="M291" i="19" s="1"/>
  <c r="M290" i="19" s="1"/>
  <c r="H137" i="7" l="1"/>
  <c r="H136" i="7" s="1"/>
  <c r="H135" i="7" s="1"/>
  <c r="H140" i="7"/>
  <c r="H139" i="7" s="1"/>
  <c r="H138" i="7" s="1"/>
  <c r="H143" i="7"/>
  <c r="H142" i="7" s="1"/>
  <c r="H141" i="7" s="1"/>
  <c r="M444" i="3"/>
  <c r="M448" i="3"/>
  <c r="M447" i="3" s="1"/>
  <c r="M450" i="3"/>
  <c r="H121" i="7"/>
  <c r="H120" i="7" s="1"/>
  <c r="M596" i="3"/>
  <c r="H134" i="7"/>
  <c r="H133" i="7" s="1"/>
  <c r="H130" i="7" l="1"/>
  <c r="M443" i="3"/>
  <c r="M442" i="3" s="1"/>
  <c r="M441" i="3" s="1"/>
  <c r="M440" i="3" s="1"/>
  <c r="M575" i="3"/>
  <c r="M572" i="3" l="1"/>
  <c r="M571" i="3" s="1"/>
  <c r="M570" i="3" s="1"/>
  <c r="M569" i="3" s="1"/>
  <c r="I196" i="18"/>
  <c r="I195" i="18" s="1"/>
  <c r="I194" i="18" s="1"/>
  <c r="H196" i="18"/>
  <c r="H195" i="18" s="1"/>
  <c r="H194" i="18" s="1"/>
  <c r="I191" i="18"/>
  <c r="I190" i="18" s="1"/>
  <c r="H191" i="18"/>
  <c r="H190" i="18" s="1"/>
  <c r="N514" i="19"/>
  <c r="M514" i="19"/>
  <c r="N512" i="19"/>
  <c r="M512" i="19"/>
  <c r="N495" i="19"/>
  <c r="N494" i="19" s="1"/>
  <c r="N493" i="19" s="1"/>
  <c r="N492" i="19" s="1"/>
  <c r="N491" i="19" s="1"/>
  <c r="N490" i="19" s="1"/>
  <c r="M495" i="19"/>
  <c r="M494" i="19" s="1"/>
  <c r="M493" i="19" s="1"/>
  <c r="M492" i="19" s="1"/>
  <c r="M491" i="19" s="1"/>
  <c r="M490" i="19" s="1"/>
  <c r="H245" i="7"/>
  <c r="H244" i="7" s="1"/>
  <c r="H243" i="7" s="1"/>
  <c r="H235" i="7"/>
  <c r="H234" i="7" s="1"/>
  <c r="H233" i="7" s="1"/>
  <c r="I146" i="18" l="1"/>
  <c r="I144" i="18" s="1"/>
  <c r="H146" i="18"/>
  <c r="H144" i="18" s="1"/>
  <c r="I141" i="18"/>
  <c r="N447" i="19"/>
  <c r="I140" i="18" s="1"/>
  <c r="I125" i="18"/>
  <c r="H125" i="18"/>
  <c r="N441" i="19"/>
  <c r="I124" i="18" s="1"/>
  <c r="M441" i="19"/>
  <c r="H124" i="18" s="1"/>
  <c r="I161" i="18"/>
  <c r="I160" i="18" s="1"/>
  <c r="I159" i="18" s="1"/>
  <c r="H161" i="18"/>
  <c r="H160" i="18" s="1"/>
  <c r="H159" i="18" s="1"/>
  <c r="N432" i="19"/>
  <c r="N431" i="19" s="1"/>
  <c r="N430" i="19" s="1"/>
  <c r="M432" i="19"/>
  <c r="M431" i="19" s="1"/>
  <c r="M430" i="19" s="1"/>
  <c r="I381" i="18"/>
  <c r="I380" i="18" s="1"/>
  <c r="I379" i="18" s="1"/>
  <c r="I378" i="18" s="1"/>
  <c r="I377" i="18" s="1"/>
  <c r="H381" i="18"/>
  <c r="H380" i="18" s="1"/>
  <c r="H379" i="18" s="1"/>
  <c r="H378" i="18" s="1"/>
  <c r="H377" i="18" s="1"/>
  <c r="N178" i="19"/>
  <c r="N177" i="19" s="1"/>
  <c r="N176" i="19" s="1"/>
  <c r="N175" i="19" s="1"/>
  <c r="N174" i="19" s="1"/>
  <c r="M178" i="19"/>
  <c r="M177" i="19" s="1"/>
  <c r="M176" i="19" s="1"/>
  <c r="M175" i="19" s="1"/>
  <c r="M174" i="19" s="1"/>
  <c r="I371" i="18"/>
  <c r="I370" i="18" s="1"/>
  <c r="H371" i="18"/>
  <c r="H370" i="18" s="1"/>
  <c r="N140" i="19"/>
  <c r="M140" i="19"/>
  <c r="I361" i="18"/>
  <c r="I360" i="18" s="1"/>
  <c r="I359" i="18" s="1"/>
  <c r="I358" i="18" s="1"/>
  <c r="H361" i="18"/>
  <c r="H360" i="18" s="1"/>
  <c r="H359" i="18" s="1"/>
  <c r="H358" i="18" s="1"/>
  <c r="N131" i="19"/>
  <c r="N130" i="19" s="1"/>
  <c r="N129" i="19" s="1"/>
  <c r="M131" i="19"/>
  <c r="M130" i="19" s="1"/>
  <c r="M129" i="19" s="1"/>
  <c r="I241" i="18"/>
  <c r="I240" i="18" s="1"/>
  <c r="I239" i="18" s="1"/>
  <c r="H241" i="18"/>
  <c r="H240" i="18" s="1"/>
  <c r="H239" i="18" s="1"/>
  <c r="I235" i="18"/>
  <c r="I234" i="18" s="1"/>
  <c r="H235" i="18"/>
  <c r="H234" i="18" s="1"/>
  <c r="N99" i="19"/>
  <c r="N98" i="19" s="1"/>
  <c r="M99" i="19"/>
  <c r="M98" i="19" s="1"/>
  <c r="N96" i="19"/>
  <c r="N95" i="19" s="1"/>
  <c r="M96" i="19"/>
  <c r="M95" i="19" s="1"/>
  <c r="I430" i="18"/>
  <c r="I429" i="18" s="1"/>
  <c r="I428" i="18" s="1"/>
  <c r="H430" i="18"/>
  <c r="H429" i="18" s="1"/>
  <c r="H428" i="18" s="1"/>
  <c r="I433" i="18"/>
  <c r="I432" i="18" s="1"/>
  <c r="I431" i="18" s="1"/>
  <c r="H433" i="18"/>
  <c r="H432" i="18" s="1"/>
  <c r="H431" i="18" s="1"/>
  <c r="I417" i="18"/>
  <c r="H417" i="18"/>
  <c r="H411" i="18"/>
  <c r="I411" i="18"/>
  <c r="I412" i="18"/>
  <c r="H412" i="18"/>
  <c r="I415" i="18"/>
  <c r="I414" i="18" s="1"/>
  <c r="H415" i="18"/>
  <c r="H414" i="18" s="1"/>
  <c r="N81" i="19"/>
  <c r="N80" i="19" s="1"/>
  <c r="M81" i="19"/>
  <c r="M80" i="19" s="1"/>
  <c r="N78" i="19"/>
  <c r="N77" i="19" s="1"/>
  <c r="M78" i="19"/>
  <c r="M77" i="19" s="1"/>
  <c r="N75" i="19"/>
  <c r="I416" i="18" s="1"/>
  <c r="M75" i="19"/>
  <c r="M73" i="19"/>
  <c r="N73" i="19"/>
  <c r="N69" i="19"/>
  <c r="N68" i="19" s="1"/>
  <c r="M69" i="19"/>
  <c r="M68" i="19" s="1"/>
  <c r="N64" i="19"/>
  <c r="N63" i="19" s="1"/>
  <c r="N62" i="19" s="1"/>
  <c r="N61" i="19" s="1"/>
  <c r="M64" i="19"/>
  <c r="M63" i="19" s="1"/>
  <c r="M62" i="19" s="1"/>
  <c r="M61" i="19" s="1"/>
  <c r="I401" i="18"/>
  <c r="H401" i="18"/>
  <c r="N38" i="19"/>
  <c r="M38" i="19"/>
  <c r="M429" i="19" l="1"/>
  <c r="M428" i="19" s="1"/>
  <c r="M427" i="19" s="1"/>
  <c r="N429" i="19"/>
  <c r="N428" i="19" s="1"/>
  <c r="N427" i="19" s="1"/>
  <c r="H141" i="18"/>
  <c r="H140" i="18"/>
  <c r="N446" i="19"/>
  <c r="N445" i="19" s="1"/>
  <c r="N444" i="19" s="1"/>
  <c r="N443" i="19" s="1"/>
  <c r="N94" i="19"/>
  <c r="M94" i="19"/>
  <c r="N72" i="19"/>
  <c r="N67" i="19" s="1"/>
  <c r="N66" i="19" s="1"/>
  <c r="N60" i="19" s="1"/>
  <c r="M72" i="19"/>
  <c r="M67" i="19" s="1"/>
  <c r="M66" i="19" s="1"/>
  <c r="M60" i="19" s="1"/>
  <c r="I413" i="18"/>
  <c r="H416" i="18"/>
  <c r="H413" i="18" s="1"/>
  <c r="H410" i="18"/>
  <c r="I410" i="18"/>
  <c r="M714" i="3"/>
  <c r="M703" i="3"/>
  <c r="M702" i="3" s="1"/>
  <c r="M701" i="3" s="1"/>
  <c r="M700" i="3" s="1"/>
  <c r="M699" i="3" s="1"/>
  <c r="M698" i="3" s="1"/>
  <c r="I139" i="18" l="1"/>
  <c r="H534" i="7"/>
  <c r="H533" i="7" s="1"/>
  <c r="H532" i="7" s="1"/>
  <c r="H537" i="7"/>
  <c r="H536" i="7" s="1"/>
  <c r="H535" i="7" s="1"/>
  <c r="M88" i="3"/>
  <c r="M87" i="3" s="1"/>
  <c r="M91" i="3"/>
  <c r="M90" i="3" s="1"/>
  <c r="H510" i="7"/>
  <c r="H139" i="18" l="1"/>
  <c r="I286" i="18"/>
  <c r="I285" i="18" s="1"/>
  <c r="H286" i="18"/>
  <c r="H285" i="18" s="1"/>
  <c r="I289" i="18"/>
  <c r="I288" i="18" s="1"/>
  <c r="I287" i="18" s="1"/>
  <c r="H289" i="18"/>
  <c r="H288" i="18" s="1"/>
  <c r="H287" i="18" s="1"/>
  <c r="I292" i="18"/>
  <c r="I291" i="18" s="1"/>
  <c r="I290" i="18" s="1"/>
  <c r="H292" i="18"/>
  <c r="H291" i="18" s="1"/>
  <c r="H290" i="18" s="1"/>
  <c r="N242" i="19"/>
  <c r="N241" i="19" s="1"/>
  <c r="M242" i="19"/>
  <c r="M241" i="19" s="1"/>
  <c r="N239" i="19"/>
  <c r="N238" i="19" s="1"/>
  <c r="M239" i="19"/>
  <c r="M238" i="19" s="1"/>
  <c r="N236" i="19"/>
  <c r="M236" i="19"/>
  <c r="M368" i="3"/>
  <c r="H151" i="7" l="1"/>
  <c r="H150" i="7" s="1"/>
  <c r="M633" i="3"/>
  <c r="H196" i="7" l="1"/>
  <c r="H195" i="7" s="1"/>
  <c r="H177" i="7"/>
  <c r="H176" i="7" s="1"/>
  <c r="H175" i="7" s="1"/>
  <c r="I208" i="18"/>
  <c r="H208" i="18"/>
  <c r="H201" i="7"/>
  <c r="H200" i="7" s="1"/>
  <c r="H199" i="7" s="1"/>
  <c r="I217" i="18"/>
  <c r="I216" i="18" s="1"/>
  <c r="I215" i="18" s="1"/>
  <c r="H217" i="18"/>
  <c r="H216" i="18" s="1"/>
  <c r="H215" i="18" s="1"/>
  <c r="I220" i="18"/>
  <c r="I219" i="18" s="1"/>
  <c r="I218" i="18" s="1"/>
  <c r="H220" i="18"/>
  <c r="H219" i="18" s="1"/>
  <c r="H218" i="18" s="1"/>
  <c r="I223" i="18"/>
  <c r="I222" i="18" s="1"/>
  <c r="I221" i="18" s="1"/>
  <c r="H223" i="18"/>
  <c r="H222" i="18" s="1"/>
  <c r="H221" i="18" s="1"/>
  <c r="H264" i="7"/>
  <c r="H263" i="7" s="1"/>
  <c r="H262" i="7" s="1"/>
  <c r="H267" i="7"/>
  <c r="H266" i="7" s="1"/>
  <c r="H265" i="7" s="1"/>
  <c r="H270" i="7"/>
  <c r="H269" i="7" s="1"/>
  <c r="H268" i="7" s="1"/>
  <c r="N556" i="19" l="1"/>
  <c r="M556" i="19"/>
  <c r="N549" i="19"/>
  <c r="N548" i="19" s="1"/>
  <c r="M549" i="19"/>
  <c r="M548" i="19" s="1"/>
  <c r="N546" i="19"/>
  <c r="N545" i="19" s="1"/>
  <c r="M546" i="19"/>
  <c r="M545" i="19" s="1"/>
  <c r="N543" i="19"/>
  <c r="N542" i="19" s="1"/>
  <c r="M543" i="19"/>
  <c r="M542" i="19" s="1"/>
  <c r="M766" i="3"/>
  <c r="M765" i="3" s="1"/>
  <c r="M763" i="3"/>
  <c r="M762" i="3" s="1"/>
  <c r="M760" i="3"/>
  <c r="M759" i="3" s="1"/>
  <c r="N541" i="19" l="1"/>
  <c r="N540" i="19" s="1"/>
  <c r="N539" i="19" s="1"/>
  <c r="N538" i="19" s="1"/>
  <c r="M541" i="19"/>
  <c r="M540" i="19" s="1"/>
  <c r="M539" i="19" s="1"/>
  <c r="M538" i="19" s="1"/>
  <c r="M758" i="3"/>
  <c r="M757" i="3" s="1"/>
  <c r="M756" i="3" s="1"/>
  <c r="M755" i="3" s="1"/>
  <c r="N213" i="19"/>
  <c r="N212" i="19" s="1"/>
  <c r="M213" i="19"/>
  <c r="M212" i="19" s="1"/>
  <c r="M694" i="3"/>
  <c r="M641" i="3" l="1"/>
  <c r="M640" i="3" s="1"/>
  <c r="M639" i="3" s="1"/>
  <c r="M638" i="3" s="1"/>
  <c r="M637" i="3" s="1"/>
  <c r="M621" i="3"/>
  <c r="M620" i="3" s="1"/>
  <c r="M616" i="3" s="1"/>
  <c r="M614" i="3" l="1"/>
  <c r="M613" i="3" s="1"/>
  <c r="M615" i="3"/>
  <c r="I268" i="18" l="1"/>
  <c r="I267" i="18" s="1"/>
  <c r="I266" i="18" s="1"/>
  <c r="H268" i="18"/>
  <c r="H267" i="18" s="1"/>
  <c r="H266" i="18" s="1"/>
  <c r="I265" i="18"/>
  <c r="I264" i="18" s="1"/>
  <c r="I263" i="18" s="1"/>
  <c r="H265" i="18"/>
  <c r="H264" i="18" s="1"/>
  <c r="H263" i="18" s="1"/>
  <c r="N198" i="19"/>
  <c r="N197" i="19" s="1"/>
  <c r="M198" i="19"/>
  <c r="M197" i="19" s="1"/>
  <c r="H331" i="7"/>
  <c r="H330" i="7" s="1"/>
  <c r="H329" i="7" s="1"/>
  <c r="M304" i="3"/>
  <c r="M303" i="3" s="1"/>
  <c r="N195" i="19" l="1"/>
  <c r="N194" i="19" s="1"/>
  <c r="N193" i="19" s="1"/>
  <c r="N192" i="19" s="1"/>
  <c r="N191" i="19" s="1"/>
  <c r="M195" i="19"/>
  <c r="M194" i="19" s="1"/>
  <c r="M193" i="19" s="1"/>
  <c r="M192" i="19" l="1"/>
  <c r="M191" i="19" s="1"/>
  <c r="M647" i="3" l="1"/>
  <c r="M646" i="3" s="1"/>
  <c r="M645" i="3" s="1"/>
  <c r="M644" i="3" s="1"/>
  <c r="M643" i="3" s="1"/>
  <c r="M594" i="19" l="1"/>
  <c r="D26" i="16" l="1"/>
  <c r="D19" i="16" s="1"/>
  <c r="C26" i="16"/>
  <c r="M21" i="3" l="1"/>
  <c r="M20" i="3" s="1"/>
  <c r="M19" i="3" s="1"/>
  <c r="M18" i="3" s="1"/>
  <c r="M34" i="3"/>
  <c r="M36" i="3"/>
  <c r="M41" i="3"/>
  <c r="M46" i="3"/>
  <c r="M52" i="3"/>
  <c r="M51" i="3" s="1"/>
  <c r="M50" i="3" s="1"/>
  <c r="M49" i="3" s="1"/>
  <c r="M829" i="3" s="1"/>
  <c r="M56" i="3"/>
  <c r="M55" i="3" s="1"/>
  <c r="M68" i="3"/>
  <c r="M67" i="3" s="1"/>
  <c r="M66" i="3" s="1"/>
  <c r="M78" i="3"/>
  <c r="M83" i="3"/>
  <c r="M85" i="3"/>
  <c r="M102" i="3"/>
  <c r="M104" i="3"/>
  <c r="M106" i="3"/>
  <c r="M108" i="3"/>
  <c r="M114" i="3"/>
  <c r="M116" i="3"/>
  <c r="M119" i="3"/>
  <c r="M118" i="3" s="1"/>
  <c r="M139" i="3"/>
  <c r="M138" i="3" s="1"/>
  <c r="M142" i="3"/>
  <c r="M141" i="3" s="1"/>
  <c r="M148" i="3"/>
  <c r="M156" i="3"/>
  <c r="M155" i="3" s="1"/>
  <c r="M154" i="3" s="1"/>
  <c r="M160" i="3"/>
  <c r="M159" i="3" s="1"/>
  <c r="M158" i="3" s="1"/>
  <c r="M165" i="3"/>
  <c r="M167" i="3"/>
  <c r="M215" i="3"/>
  <c r="M214" i="3" s="1"/>
  <c r="M213" i="3" s="1"/>
  <c r="M212" i="3" s="1"/>
  <c r="M211" i="3" s="1"/>
  <c r="M221" i="3"/>
  <c r="M220" i="3" s="1"/>
  <c r="M219" i="3" s="1"/>
  <c r="M218" i="3" s="1"/>
  <c r="M217" i="3" s="1"/>
  <c r="M292" i="3"/>
  <c r="M291" i="3" s="1"/>
  <c r="M301" i="3"/>
  <c r="M300" i="3" s="1"/>
  <c r="M299" i="3" s="1"/>
  <c r="M318" i="3"/>
  <c r="M317" i="3" s="1"/>
  <c r="M316" i="3" s="1"/>
  <c r="M315" i="3" s="1"/>
  <c r="M314" i="3" s="1"/>
  <c r="M313" i="3" s="1"/>
  <c r="M336" i="3"/>
  <c r="M331" i="3" s="1"/>
  <c r="M345" i="3"/>
  <c r="M344" i="3" s="1"/>
  <c r="M360" i="3"/>
  <c r="M351" i="3" s="1"/>
  <c r="M365" i="3"/>
  <c r="M364" i="3" s="1"/>
  <c r="M385" i="3"/>
  <c r="M384" i="3" s="1"/>
  <c r="M383" i="3" s="1"/>
  <c r="M394" i="3"/>
  <c r="M393" i="3" s="1"/>
  <c r="M392" i="3" s="1"/>
  <c r="M391" i="3" s="1"/>
  <c r="M390" i="3" s="1"/>
  <c r="M389" i="3" s="1"/>
  <c r="M401" i="3"/>
  <c r="M400" i="3" s="1"/>
  <c r="M408" i="3"/>
  <c r="M416" i="3"/>
  <c r="M415" i="3" s="1"/>
  <c r="M414" i="3" s="1"/>
  <c r="M413" i="3" s="1"/>
  <c r="M412" i="3" s="1"/>
  <c r="M429" i="3"/>
  <c r="M428" i="3" s="1"/>
  <c r="M458" i="3"/>
  <c r="M460" i="3"/>
  <c r="M462" i="3"/>
  <c r="M466" i="3"/>
  <c r="M468" i="3"/>
  <c r="M480" i="3"/>
  <c r="M479" i="3" s="1"/>
  <c r="M506" i="3"/>
  <c r="M555" i="3"/>
  <c r="M565" i="3"/>
  <c r="M631" i="3"/>
  <c r="M635" i="3"/>
  <c r="M654" i="3"/>
  <c r="M656" i="3"/>
  <c r="M658" i="3"/>
  <c r="M718" i="3"/>
  <c r="M720" i="3"/>
  <c r="M722" i="3"/>
  <c r="M724" i="3"/>
  <c r="M742" i="3"/>
  <c r="M741" i="3" s="1"/>
  <c r="M740" i="3" s="1"/>
  <c r="M749" i="3"/>
  <c r="M748" i="3" s="1"/>
  <c r="M747" i="3" s="1"/>
  <c r="M746" i="3" s="1"/>
  <c r="M745" i="3" s="1"/>
  <c r="M870" i="3" s="1"/>
  <c r="M783" i="3"/>
  <c r="M782" i="3" s="1"/>
  <c r="M781" i="3" s="1"/>
  <c r="M780" i="3" s="1"/>
  <c r="M779" i="3" s="1"/>
  <c r="M803" i="3"/>
  <c r="M793" i="3" s="1"/>
  <c r="M24" i="19"/>
  <c r="M23" i="19" s="1"/>
  <c r="M22" i="19" s="1"/>
  <c r="M21" i="19" s="1"/>
  <c r="M20" i="19" s="1"/>
  <c r="M30" i="19"/>
  <c r="M34" i="19"/>
  <c r="M36" i="19"/>
  <c r="M41" i="19"/>
  <c r="M47" i="19"/>
  <c r="M46" i="19" s="1"/>
  <c r="M53" i="19"/>
  <c r="M52" i="19" s="1"/>
  <c r="M51" i="19" s="1"/>
  <c r="M50" i="19" s="1"/>
  <c r="M49" i="19" s="1"/>
  <c r="M612" i="19" s="1"/>
  <c r="E20" i="6" s="1"/>
  <c r="M88" i="19"/>
  <c r="M90" i="19"/>
  <c r="M116" i="19"/>
  <c r="M115" i="19" s="1"/>
  <c r="M119" i="19"/>
  <c r="M118" i="19" s="1"/>
  <c r="M125" i="19"/>
  <c r="M124" i="19" s="1"/>
  <c r="M123" i="19" s="1"/>
  <c r="M122" i="19" s="1"/>
  <c r="M121" i="19" s="1"/>
  <c r="M623" i="19" s="1"/>
  <c r="E29" i="6" s="1"/>
  <c r="M135" i="19"/>
  <c r="M134" i="19" s="1"/>
  <c r="M133" i="19" s="1"/>
  <c r="M128" i="19" s="1"/>
  <c r="M142" i="19"/>
  <c r="M139" i="19" s="1"/>
  <c r="M172" i="19"/>
  <c r="M171" i="19" s="1"/>
  <c r="M170" i="19" s="1"/>
  <c r="M169" i="19" s="1"/>
  <c r="M168" i="19" s="1"/>
  <c r="M167" i="19" s="1"/>
  <c r="M187" i="19"/>
  <c r="M186" i="19" s="1"/>
  <c r="M185" i="19" s="1"/>
  <c r="M184" i="19" s="1"/>
  <c r="M183" i="19" s="1"/>
  <c r="M182" i="19" s="1"/>
  <c r="M205" i="19"/>
  <c r="M204" i="19" s="1"/>
  <c r="M203" i="19" s="1"/>
  <c r="M202" i="19" s="1"/>
  <c r="M201" i="19" s="1"/>
  <c r="M224" i="19"/>
  <c r="M223" i="19" s="1"/>
  <c r="M228" i="19"/>
  <c r="M232" i="19"/>
  <c r="M246" i="19"/>
  <c r="M245" i="19" s="1"/>
  <c r="M244" i="19" s="1"/>
  <c r="M277" i="19"/>
  <c r="M276" i="19" s="1"/>
  <c r="M308" i="19"/>
  <c r="M312" i="19"/>
  <c r="M314" i="19"/>
  <c r="M319" i="19"/>
  <c r="M318" i="19" s="1"/>
  <c r="M317" i="19" s="1"/>
  <c r="M316" i="19" s="1"/>
  <c r="M330" i="19"/>
  <c r="M344" i="19"/>
  <c r="M348" i="19"/>
  <c r="M352" i="19"/>
  <c r="M368" i="19"/>
  <c r="M367" i="19" s="1"/>
  <c r="M385" i="19"/>
  <c r="M394" i="19"/>
  <c r="M393" i="19" s="1"/>
  <c r="M392" i="19" s="1"/>
  <c r="M404" i="19"/>
  <c r="M422" i="19"/>
  <c r="M421" i="19" s="1"/>
  <c r="M420" i="19" s="1"/>
  <c r="M419" i="19" s="1"/>
  <c r="M418" i="19" s="1"/>
  <c r="M417" i="19" s="1"/>
  <c r="M439" i="19"/>
  <c r="M460" i="19"/>
  <c r="M459" i="19" s="1"/>
  <c r="M463" i="19"/>
  <c r="M462" i="19" s="1"/>
  <c r="M474" i="19"/>
  <c r="M480" i="19"/>
  <c r="M484" i="19"/>
  <c r="M502" i="19"/>
  <c r="M501" i="19" s="1"/>
  <c r="M500" i="19" s="1"/>
  <c r="M506" i="19"/>
  <c r="M505" i="19" s="1"/>
  <c r="M532" i="19"/>
  <c r="M531" i="19" s="1"/>
  <c r="M530" i="19" s="1"/>
  <c r="M529" i="19" s="1"/>
  <c r="M528" i="19" s="1"/>
  <c r="M555" i="19"/>
  <c r="M554" i="19" s="1"/>
  <c r="M553" i="19" s="1"/>
  <c r="M552" i="19" s="1"/>
  <c r="M564" i="19"/>
  <c r="M563" i="19" s="1"/>
  <c r="M562" i="19" s="1"/>
  <c r="M561" i="19" s="1"/>
  <c r="M560" i="19" s="1"/>
  <c r="M575" i="19"/>
  <c r="M584" i="19"/>
  <c r="M600" i="19"/>
  <c r="M660" i="19" s="1"/>
  <c r="E59" i="6" s="1"/>
  <c r="E58" i="6" s="1"/>
  <c r="M547" i="3" l="1"/>
  <c r="M546" i="3" s="1"/>
  <c r="M164" i="3"/>
  <c r="M163" i="3" s="1"/>
  <c r="M162" i="3" s="1"/>
  <c r="M147" i="3"/>
  <c r="M146" i="3" s="1"/>
  <c r="M145" i="3" s="1"/>
  <c r="M144" i="3" s="1"/>
  <c r="M840" i="3" s="1"/>
  <c r="M713" i="3"/>
  <c r="M712" i="3" s="1"/>
  <c r="M653" i="3"/>
  <c r="M29" i="19"/>
  <c r="M28" i="19" s="1"/>
  <c r="M27" i="19" s="1"/>
  <c r="M26" i="19" s="1"/>
  <c r="M611" i="19" s="1"/>
  <c r="E19" i="6" s="1"/>
  <c r="M329" i="19"/>
  <c r="M827" i="3"/>
  <c r="M87" i="19"/>
  <c r="M86" i="19" s="1"/>
  <c r="M85" i="19" s="1"/>
  <c r="M84" i="19" s="1"/>
  <c r="M457" i="3"/>
  <c r="M307" i="19"/>
  <c r="M306" i="19" s="1"/>
  <c r="M210" i="3"/>
  <c r="M636" i="19"/>
  <c r="E40" i="6" s="1"/>
  <c r="M407" i="3"/>
  <c r="M406" i="3" s="1"/>
  <c r="M405" i="3" s="1"/>
  <c r="M404" i="3" s="1"/>
  <c r="M403" i="3" s="1"/>
  <c r="M478" i="3"/>
  <c r="M477" i="3" s="1"/>
  <c r="M172" i="3"/>
  <c r="M171" i="3" s="1"/>
  <c r="M651" i="19"/>
  <c r="E52" i="6" s="1"/>
  <c r="M470" i="19"/>
  <c r="M469" i="19" s="1"/>
  <c r="L469" i="19" s="1"/>
  <c r="L457" i="19" s="1"/>
  <c r="L456" i="19" s="1"/>
  <c r="L455" i="19" s="1"/>
  <c r="L426" i="19" s="1"/>
  <c r="L16" i="19" s="1"/>
  <c r="M438" i="19"/>
  <c r="M437" i="19" s="1"/>
  <c r="M436" i="19" s="1"/>
  <c r="M138" i="19"/>
  <c r="M137" i="19" s="1"/>
  <c r="M227" i="19"/>
  <c r="M226" i="19" s="1"/>
  <c r="M862" i="3"/>
  <c r="M831" i="3"/>
  <c r="M630" i="3"/>
  <c r="M298" i="3"/>
  <c r="M297" i="3" s="1"/>
  <c r="M504" i="19"/>
  <c r="M499" i="19" s="1"/>
  <c r="M498" i="19" s="1"/>
  <c r="M649" i="19" s="1"/>
  <c r="M458" i="19"/>
  <c r="M876" i="3"/>
  <c r="M879" i="3" s="1"/>
  <c r="M101" i="3"/>
  <c r="M100" i="3" s="1"/>
  <c r="M99" i="3" s="1"/>
  <c r="M98" i="3" s="1"/>
  <c r="M590" i="19"/>
  <c r="M589" i="19" s="1"/>
  <c r="M588" i="19" s="1"/>
  <c r="M587" i="19" s="1"/>
  <c r="M646" i="19" s="1"/>
  <c r="E48" i="6" s="1"/>
  <c r="M574" i="19"/>
  <c r="M573" i="19" s="1"/>
  <c r="M572" i="19" s="1"/>
  <c r="M571" i="19" s="1"/>
  <c r="M275" i="19"/>
  <c r="M274" i="19" s="1"/>
  <c r="M273" i="19" s="1"/>
  <c r="M272" i="19" s="1"/>
  <c r="M222" i="19"/>
  <c r="M211" i="19"/>
  <c r="M210" i="19" s="1"/>
  <c r="M209" i="19" s="1"/>
  <c r="M208" i="19" s="1"/>
  <c r="M427" i="3"/>
  <c r="M426" i="3" s="1"/>
  <c r="M425" i="3" s="1"/>
  <c r="M424" i="3" s="1"/>
  <c r="M367" i="3"/>
  <c r="M792" i="3"/>
  <c r="M808" i="3"/>
  <c r="M807" i="3" s="1"/>
  <c r="M806" i="3" s="1"/>
  <c r="M608" i="3"/>
  <c r="M607" i="3" s="1"/>
  <c r="M606" i="3" s="1"/>
  <c r="M605" i="3" s="1"/>
  <c r="M604" i="3" s="1"/>
  <c r="M603" i="3" s="1"/>
  <c r="M330" i="3"/>
  <c r="M329" i="3" s="1"/>
  <c r="M328" i="3" s="1"/>
  <c r="M327" i="3" s="1"/>
  <c r="M137" i="3"/>
  <c r="M136" i="3" s="1"/>
  <c r="M135" i="3" s="1"/>
  <c r="M839" i="3" s="1"/>
  <c r="D28" i="6" s="1"/>
  <c r="M113" i="3"/>
  <c r="M112" i="3" s="1"/>
  <c r="M777" i="3"/>
  <c r="M773" i="3"/>
  <c r="M663" i="3"/>
  <c r="M662" i="3" s="1"/>
  <c r="M491" i="3"/>
  <c r="M347" i="3"/>
  <c r="M343" i="3" s="1"/>
  <c r="M739" i="3"/>
  <c r="M869" i="3" s="1"/>
  <c r="M710" i="3"/>
  <c r="M709" i="3" s="1"/>
  <c r="M708" i="3" s="1"/>
  <c r="M686" i="3"/>
  <c r="M682" i="3"/>
  <c r="M681" i="3" s="1"/>
  <c r="M680" i="3" s="1"/>
  <c r="M676" i="3"/>
  <c r="M589" i="3"/>
  <c r="M585" i="3"/>
  <c r="M581" i="3"/>
  <c r="M580" i="3" s="1"/>
  <c r="M579" i="3" s="1"/>
  <c r="M531" i="3"/>
  <c r="M530" i="3" s="1"/>
  <c r="M514" i="3"/>
  <c r="M494" i="3"/>
  <c r="M486" i="3"/>
  <c r="M399" i="3"/>
  <c r="M290" i="3"/>
  <c r="M289" i="3" s="1"/>
  <c r="M228" i="3"/>
  <c r="M227" i="3" s="1"/>
  <c r="M226" i="3" s="1"/>
  <c r="M225" i="3" s="1"/>
  <c r="M224" i="3" s="1"/>
  <c r="M153" i="3"/>
  <c r="M122" i="3"/>
  <c r="M121" i="3" s="1"/>
  <c r="M82" i="3"/>
  <c r="M72" i="3" s="1"/>
  <c r="M38" i="3"/>
  <c r="M27" i="3" s="1"/>
  <c r="M200" i="19"/>
  <c r="M181" i="19" s="1"/>
  <c r="M657" i="19"/>
  <c r="M644" i="19"/>
  <c r="E46" i="6" s="1"/>
  <c r="M551" i="19"/>
  <c r="M537" i="19" s="1"/>
  <c r="M610" i="19"/>
  <c r="E18" i="6" s="1"/>
  <c r="M149" i="19"/>
  <c r="M479" i="19"/>
  <c r="M478" i="19" s="1"/>
  <c r="M477" i="19" s="1"/>
  <c r="M476" i="19" s="1"/>
  <c r="M641" i="19" s="1"/>
  <c r="E44" i="6" s="1"/>
  <c r="M408" i="19"/>
  <c r="M375" i="19"/>
  <c r="M374" i="19" s="1"/>
  <c r="M58" i="19"/>
  <c r="M57" i="19" s="1"/>
  <c r="M56" i="19" s="1"/>
  <c r="M55" i="19" s="1"/>
  <c r="M614" i="19" s="1"/>
  <c r="E22" i="6" s="1"/>
  <c r="M114" i="19"/>
  <c r="M113" i="19" s="1"/>
  <c r="M112" i="19" s="1"/>
  <c r="M103" i="19"/>
  <c r="M102" i="19" s="1"/>
  <c r="M101" i="19" s="1"/>
  <c r="M93" i="19" s="1"/>
  <c r="M584" i="3" l="1"/>
  <c r="M583" i="3" s="1"/>
  <c r="M578" i="3" s="1"/>
  <c r="M577" i="3" s="1"/>
  <c r="M403" i="19"/>
  <c r="M402" i="19" s="1"/>
  <c r="M401" i="19" s="1"/>
  <c r="M400" i="19" s="1"/>
  <c r="M637" i="19" s="1"/>
  <c r="E41" i="6" s="1"/>
  <c r="M485" i="3"/>
  <c r="M484" i="3" s="1"/>
  <c r="M483" i="3" s="1"/>
  <c r="M482" i="3" s="1"/>
  <c r="M707" i="3"/>
  <c r="M706" i="3" s="1"/>
  <c r="M868" i="3" s="1"/>
  <c r="M871" i="3" s="1"/>
  <c r="M457" i="19"/>
  <c r="M456" i="19" s="1"/>
  <c r="M398" i="3"/>
  <c r="M397" i="3" s="1"/>
  <c r="M148" i="19"/>
  <c r="M147" i="19" s="1"/>
  <c r="M146" i="19" s="1"/>
  <c r="M127" i="19" s="1"/>
  <c r="M624" i="19" s="1"/>
  <c r="E30" i="6" s="1"/>
  <c r="M456" i="3"/>
  <c r="M455" i="3" s="1"/>
  <c r="M454" i="3" s="1"/>
  <c r="M850" i="3" s="1"/>
  <c r="M618" i="19"/>
  <c r="E25" i="6" s="1"/>
  <c r="M655" i="19"/>
  <c r="E53" i="6"/>
  <c r="M658" i="19"/>
  <c r="E56" i="6"/>
  <c r="E55" i="6" s="1"/>
  <c r="M328" i="19"/>
  <c r="M327" i="19" s="1"/>
  <c r="M497" i="19"/>
  <c r="M489" i="19" s="1"/>
  <c r="M791" i="3"/>
  <c r="M790" i="3" s="1"/>
  <c r="M111" i="3"/>
  <c r="M373" i="19"/>
  <c r="M372" i="19" s="1"/>
  <c r="M371" i="19" s="1"/>
  <c r="M305" i="19"/>
  <c r="M435" i="19"/>
  <c r="M434" i="19" s="1"/>
  <c r="M92" i="19"/>
  <c r="M83" i="19" s="1"/>
  <c r="M19" i="19"/>
  <c r="M629" i="3"/>
  <c r="M628" i="3" s="1"/>
  <c r="M627" i="3" s="1"/>
  <c r="M626" i="3" s="1"/>
  <c r="M652" i="3"/>
  <c r="M685" i="3"/>
  <c r="M684" i="3" s="1"/>
  <c r="M679" i="3" s="1"/>
  <c r="M678" i="3" s="1"/>
  <c r="M859" i="3" s="1"/>
  <c r="M221" i="19"/>
  <c r="M220" i="19" s="1"/>
  <c r="M615" i="19" s="1"/>
  <c r="E23" i="6" s="1"/>
  <c r="M645" i="19"/>
  <c r="M570" i="19"/>
  <c r="M569" i="19" s="1"/>
  <c r="M613" i="19"/>
  <c r="E21" i="6" s="1"/>
  <c r="M152" i="3"/>
  <c r="M835" i="3"/>
  <c r="M71" i="3"/>
  <c r="M60" i="3" s="1"/>
  <c r="M350" i="3"/>
  <c r="M865" i="3"/>
  <c r="M772" i="3"/>
  <c r="M771" i="3" s="1"/>
  <c r="M770" i="3" s="1"/>
  <c r="M769" i="3" s="1"/>
  <c r="M854" i="3" s="1"/>
  <c r="M873" i="3"/>
  <c r="M874" i="3" s="1"/>
  <c r="M223" i="3"/>
  <c r="M288" i="3"/>
  <c r="M287" i="3" s="1"/>
  <c r="M830" i="3"/>
  <c r="M672" i="3"/>
  <c r="M671" i="3" s="1"/>
  <c r="M26" i="3"/>
  <c r="M25" i="3" s="1"/>
  <c r="M24" i="3" s="1"/>
  <c r="M622" i="19"/>
  <c r="E28" i="6" s="1"/>
  <c r="M841" i="3" l="1"/>
  <c r="D30" i="6" s="1"/>
  <c r="M634" i="19"/>
  <c r="M640" i="19"/>
  <c r="M455" i="19"/>
  <c r="M426" i="19" s="1"/>
  <c r="M17" i="3"/>
  <c r="M845" i="3"/>
  <c r="M848" i="3" s="1"/>
  <c r="M396" i="3"/>
  <c r="M342" i="3"/>
  <c r="M341" i="3" s="1"/>
  <c r="M326" i="19"/>
  <c r="M633" i="19" s="1"/>
  <c r="E37" i="6" s="1"/>
  <c r="M304" i="19"/>
  <c r="M632" i="19" s="1"/>
  <c r="E36" i="6" s="1"/>
  <c r="M652" i="19"/>
  <c r="E50" i="6"/>
  <c r="E49" i="6" s="1"/>
  <c r="M647" i="19"/>
  <c r="E47" i="6"/>
  <c r="E45" i="6" s="1"/>
  <c r="E27" i="6"/>
  <c r="E33" i="6"/>
  <c r="E31" i="6" s="1"/>
  <c r="E17" i="6"/>
  <c r="M864" i="3"/>
  <c r="M866" i="3" s="1"/>
  <c r="M789" i="3"/>
  <c r="M788" i="3" s="1"/>
  <c r="M545" i="3"/>
  <c r="M544" i="3" s="1"/>
  <c r="M852" i="3" s="1"/>
  <c r="M855" i="3"/>
  <c r="M851" i="3"/>
  <c r="E38" i="6"/>
  <c r="M625" i="19"/>
  <c r="M111" i="19"/>
  <c r="M18" i="19" s="1"/>
  <c r="M619" i="19"/>
  <c r="M110" i="3"/>
  <c r="M836" i="3" s="1"/>
  <c r="M837" i="3" s="1"/>
  <c r="M705" i="3"/>
  <c r="M697" i="3" s="1"/>
  <c r="M768" i="3"/>
  <c r="M754" i="3" s="1"/>
  <c r="M651" i="3"/>
  <c r="M650" i="3" s="1"/>
  <c r="M858" i="3" s="1"/>
  <c r="M860" i="3" s="1"/>
  <c r="M219" i="19"/>
  <c r="M218" i="19" s="1"/>
  <c r="M616" i="19"/>
  <c r="M134" i="3"/>
  <c r="M828" i="3"/>
  <c r="M842" i="3" l="1"/>
  <c r="E43" i="6"/>
  <c r="E42" i="6" s="1"/>
  <c r="M642" i="19"/>
  <c r="M832" i="3"/>
  <c r="D23" i="6" s="1"/>
  <c r="M340" i="3"/>
  <c r="M339" i="3" s="1"/>
  <c r="E35" i="6"/>
  <c r="M303" i="19"/>
  <c r="M289" i="19" s="1"/>
  <c r="M16" i="19" s="1"/>
  <c r="M856" i="3"/>
  <c r="M620" i="19"/>
  <c r="E26" i="6"/>
  <c r="M638" i="19"/>
  <c r="M453" i="3"/>
  <c r="M439" i="3" s="1"/>
  <c r="M97" i="3"/>
  <c r="M16" i="3" s="1"/>
  <c r="M649" i="3"/>
  <c r="M612" i="3" s="1"/>
  <c r="M15" i="3" l="1"/>
  <c r="C28" i="8" s="1"/>
  <c r="M833" i="3"/>
  <c r="M880" i="3" s="1"/>
  <c r="D28" i="8"/>
  <c r="D27" i="8" s="1"/>
  <c r="D26" i="8" s="1"/>
  <c r="D25" i="8" s="1"/>
  <c r="H94" i="7"/>
  <c r="H93" i="7" s="1"/>
  <c r="I274" i="18" l="1"/>
  <c r="I273" i="18" s="1"/>
  <c r="I272" i="18" s="1"/>
  <c r="H274" i="18"/>
  <c r="H273" i="18" s="1"/>
  <c r="H272" i="18" s="1"/>
  <c r="N224" i="19"/>
  <c r="N223" i="19" s="1"/>
  <c r="C31" i="2" l="1"/>
  <c r="H75" i="7" l="1"/>
  <c r="H76" i="7"/>
  <c r="H74" i="7" l="1"/>
  <c r="H228" i="7" l="1"/>
  <c r="H227" i="7" s="1"/>
  <c r="H226" i="7" l="1"/>
  <c r="H225" i="7" s="1"/>
  <c r="H497" i="7" l="1"/>
  <c r="H253" i="7" l="1"/>
  <c r="N394" i="19" l="1"/>
  <c r="N393" i="19" s="1"/>
  <c r="N392" i="19" s="1"/>
  <c r="H108" i="18" l="1"/>
  <c r="H107" i="18" s="1"/>
  <c r="H104" i="18" s="1"/>
  <c r="I108" i="18"/>
  <c r="I107" i="18" s="1"/>
  <c r="I104" i="18" s="1"/>
  <c r="H43" i="7" l="1"/>
  <c r="H21" i="7" l="1"/>
  <c r="H20" i="7" s="1"/>
  <c r="H44" i="7"/>
  <c r="H42" i="7" s="1"/>
  <c r="H153" i="7" l="1"/>
  <c r="H152" i="7" s="1"/>
  <c r="C79" i="2" l="1"/>
  <c r="C78" i="2" s="1"/>
  <c r="C39" i="5" s="1"/>
  <c r="F53" i="6" l="1"/>
  <c r="H436" i="7"/>
  <c r="H435" i="7" s="1"/>
  <c r="I26" i="18" l="1"/>
  <c r="I27" i="18"/>
  <c r="I29" i="18"/>
  <c r="I28" i="18" s="1"/>
  <c r="I31" i="18"/>
  <c r="I30" i="18" s="1"/>
  <c r="I36" i="18"/>
  <c r="I39" i="18"/>
  <c r="I51" i="18"/>
  <c r="I52" i="18"/>
  <c r="I53" i="18"/>
  <c r="I59" i="18"/>
  <c r="I60" i="18"/>
  <c r="I85" i="18"/>
  <c r="I90" i="18"/>
  <c r="I91" i="18"/>
  <c r="I92" i="18"/>
  <c r="I95" i="18"/>
  <c r="I96" i="18"/>
  <c r="I97" i="18"/>
  <c r="I101" i="18"/>
  <c r="I103" i="18"/>
  <c r="I131" i="18"/>
  <c r="I130" i="18" s="1"/>
  <c r="I129" i="18" s="1"/>
  <c r="I134" i="18"/>
  <c r="I135" i="18"/>
  <c r="I136" i="18"/>
  <c r="I148" i="18"/>
  <c r="I147" i="18" s="1"/>
  <c r="I143" i="18" s="1"/>
  <c r="I152" i="18"/>
  <c r="I153" i="18"/>
  <c r="I154" i="18"/>
  <c r="I156" i="18"/>
  <c r="I158" i="18"/>
  <c r="I167" i="18"/>
  <c r="I166" i="18" s="1"/>
  <c r="I165" i="18" s="1"/>
  <c r="I164" i="18" s="1"/>
  <c r="I178" i="18"/>
  <c r="I179" i="18"/>
  <c r="I180" i="18"/>
  <c r="I183" i="18"/>
  <c r="I184" i="18"/>
  <c r="I185" i="18"/>
  <c r="I189" i="18"/>
  <c r="I188" i="18" s="1"/>
  <c r="I206" i="18"/>
  <c r="I207" i="18"/>
  <c r="I212" i="18"/>
  <c r="I213" i="18"/>
  <c r="I214" i="18"/>
  <c r="I229" i="18"/>
  <c r="I228" i="18" s="1"/>
  <c r="I231" i="18"/>
  <c r="I230" i="18" s="1"/>
  <c r="I245" i="18"/>
  <c r="I246" i="18"/>
  <c r="I247" i="18"/>
  <c r="I257" i="18"/>
  <c r="I258" i="18"/>
  <c r="I259" i="18"/>
  <c r="I262" i="18"/>
  <c r="I261" i="18" s="1"/>
  <c r="I260" i="18" s="1"/>
  <c r="I278" i="18"/>
  <c r="I279" i="18"/>
  <c r="I280" i="18"/>
  <c r="I282" i="18"/>
  <c r="I283" i="18"/>
  <c r="I284" i="18"/>
  <c r="I298" i="18"/>
  <c r="I299" i="18"/>
  <c r="I301" i="18"/>
  <c r="I302" i="18"/>
  <c r="I304" i="18"/>
  <c r="I305" i="18"/>
  <c r="I307" i="18"/>
  <c r="I308" i="18"/>
  <c r="I311" i="18"/>
  <c r="I310" i="18" s="1"/>
  <c r="I309" i="18" s="1"/>
  <c r="I316" i="18"/>
  <c r="I317" i="18"/>
  <c r="I319" i="18"/>
  <c r="I320" i="18"/>
  <c r="I322" i="18"/>
  <c r="I323" i="18"/>
  <c r="I326" i="18"/>
  <c r="I325" i="18" s="1"/>
  <c r="I324" i="18" s="1"/>
  <c r="I346" i="18"/>
  <c r="I345" i="18" s="1"/>
  <c r="I344" i="18" s="1"/>
  <c r="I349" i="18"/>
  <c r="I348" i="18" s="1"/>
  <c r="I347" i="18" s="1"/>
  <c r="I355" i="18"/>
  <c r="I354" i="18" s="1"/>
  <c r="I353" i="18" s="1"/>
  <c r="I352" i="18" s="1"/>
  <c r="I351" i="18" s="1"/>
  <c r="I365" i="18"/>
  <c r="I364" i="18" s="1"/>
  <c r="I363" i="18" s="1"/>
  <c r="I362" i="18" s="1"/>
  <c r="I357" i="18" s="1"/>
  <c r="I373" i="18"/>
  <c r="I372" i="18" s="1"/>
  <c r="I369" i="18" s="1"/>
  <c r="I387" i="18"/>
  <c r="I386" i="18" s="1"/>
  <c r="I385" i="18" s="1"/>
  <c r="I390" i="18"/>
  <c r="I391" i="18"/>
  <c r="I392" i="18"/>
  <c r="I394" i="18"/>
  <c r="I393" i="18" s="1"/>
  <c r="I396" i="18"/>
  <c r="I395" i="18" s="1"/>
  <c r="I398" i="18"/>
  <c r="I397" i="18" s="1"/>
  <c r="I400" i="18"/>
  <c r="I399" i="18" s="1"/>
  <c r="I403" i="18"/>
  <c r="I402" i="18" s="1"/>
  <c r="I409" i="18"/>
  <c r="I408" i="18" s="1"/>
  <c r="I407" i="18" s="1"/>
  <c r="I420" i="18"/>
  <c r="I421" i="18"/>
  <c r="I424" i="18"/>
  <c r="I425" i="18"/>
  <c r="I444" i="18"/>
  <c r="I445" i="18"/>
  <c r="I446" i="18"/>
  <c r="I451" i="18"/>
  <c r="I450" i="18" s="1"/>
  <c r="H103" i="18"/>
  <c r="H102" i="18" s="1"/>
  <c r="H101" i="18"/>
  <c r="H97" i="18"/>
  <c r="H96" i="18"/>
  <c r="H95" i="18"/>
  <c r="H92" i="18"/>
  <c r="H91" i="18"/>
  <c r="H90" i="18"/>
  <c r="H85" i="18"/>
  <c r="H60" i="18"/>
  <c r="H59" i="18"/>
  <c r="H57" i="18"/>
  <c r="H56" i="18"/>
  <c r="H55" i="18"/>
  <c r="H53" i="18"/>
  <c r="H52" i="18"/>
  <c r="H51" i="18"/>
  <c r="H39" i="18"/>
  <c r="H36" i="18"/>
  <c r="H31" i="18"/>
  <c r="H29" i="18"/>
  <c r="H27" i="18"/>
  <c r="H26" i="18"/>
  <c r="N422" i="19"/>
  <c r="N421" i="19" s="1"/>
  <c r="N420" i="19" s="1"/>
  <c r="N419" i="19" s="1"/>
  <c r="N418" i="19" s="1"/>
  <c r="N417" i="19" s="1"/>
  <c r="N404" i="19"/>
  <c r="N385" i="19"/>
  <c r="I79" i="18"/>
  <c r="I78" i="18"/>
  <c r="I77" i="18"/>
  <c r="I76" i="18"/>
  <c r="N368" i="19"/>
  <c r="N367" i="19" s="1"/>
  <c r="N352" i="19"/>
  <c r="I57" i="18"/>
  <c r="I56" i="18"/>
  <c r="I55" i="18"/>
  <c r="N344" i="19"/>
  <c r="I38" i="18"/>
  <c r="I37" i="18"/>
  <c r="N319" i="19"/>
  <c r="N318" i="19" s="1"/>
  <c r="N317" i="19" s="1"/>
  <c r="N316" i="19" s="1"/>
  <c r="N314" i="19"/>
  <c r="N312" i="19"/>
  <c r="I20" i="18"/>
  <c r="I19" i="18" s="1"/>
  <c r="I227" i="18" l="1"/>
  <c r="I226" i="18" s="1"/>
  <c r="I419" i="18"/>
  <c r="I418" i="18" s="1"/>
  <c r="I142" i="18"/>
  <c r="I368" i="18"/>
  <c r="I367" i="18" s="1"/>
  <c r="I205" i="18"/>
  <c r="I204" i="18" s="1"/>
  <c r="I203" i="18" s="1"/>
  <c r="I443" i="18"/>
  <c r="I442" i="18" s="1"/>
  <c r="I271" i="18"/>
  <c r="I449" i="18"/>
  <c r="I448" i="18" s="1"/>
  <c r="H37" i="18"/>
  <c r="H76" i="18"/>
  <c r="H77" i="18"/>
  <c r="H78" i="18"/>
  <c r="H79" i="18"/>
  <c r="H94" i="18"/>
  <c r="H93" i="18" s="1"/>
  <c r="H20" i="18"/>
  <c r="H38" i="18"/>
  <c r="N308" i="19"/>
  <c r="N307" i="19" s="1"/>
  <c r="N330" i="19"/>
  <c r="I236" i="18"/>
  <c r="I233" i="18" s="1"/>
  <c r="I297" i="18"/>
  <c r="I423" i="18"/>
  <c r="I422" i="18" s="1"/>
  <c r="I318" i="18"/>
  <c r="I300" i="18"/>
  <c r="I89" i="18"/>
  <c r="I244" i="18"/>
  <c r="I243" i="18" s="1"/>
  <c r="I242" i="18" s="1"/>
  <c r="I277" i="18"/>
  <c r="I177" i="18"/>
  <c r="I176" i="18" s="1"/>
  <c r="I256" i="18"/>
  <c r="I255" i="18" s="1"/>
  <c r="I211" i="18"/>
  <c r="I210" i="18" s="1"/>
  <c r="I209" i="18" s="1"/>
  <c r="I133" i="18"/>
  <c r="I132" i="18" s="1"/>
  <c r="I100" i="18"/>
  <c r="I50" i="18"/>
  <c r="I35" i="18"/>
  <c r="I25" i="18"/>
  <c r="I18" i="18" s="1"/>
  <c r="I321" i="18"/>
  <c r="I315" i="18"/>
  <c r="I102" i="18"/>
  <c r="I58" i="18"/>
  <c r="I389" i="18"/>
  <c r="I388" i="18" s="1"/>
  <c r="I281" i="18"/>
  <c r="I182" i="18"/>
  <c r="I181" i="18" s="1"/>
  <c r="I54" i="18"/>
  <c r="I303" i="18"/>
  <c r="I306" i="18"/>
  <c r="I151" i="18"/>
  <c r="I75" i="18"/>
  <c r="I74" i="18" s="1"/>
  <c r="I343" i="18"/>
  <c r="I342" i="18" s="1"/>
  <c r="H236" i="18"/>
  <c r="H233" i="18" s="1"/>
  <c r="N348" i="19"/>
  <c r="N375" i="19"/>
  <c r="N374" i="19" s="1"/>
  <c r="I94" i="18"/>
  <c r="I93" i="18" s="1"/>
  <c r="I88" i="18" l="1"/>
  <c r="I87" i="18" s="1"/>
  <c r="I34" i="18"/>
  <c r="I17" i="18" s="1"/>
  <c r="N329" i="19"/>
  <c r="N328" i="19" s="1"/>
  <c r="I296" i="18"/>
  <c r="I73" i="18"/>
  <c r="H232" i="18"/>
  <c r="N306" i="19"/>
  <c r="N305" i="19" s="1"/>
  <c r="I175" i="18"/>
  <c r="I163" i="18" s="1"/>
  <c r="I232" i="18"/>
  <c r="I225" i="18" s="1"/>
  <c r="I276" i="18"/>
  <c r="I275" i="18" s="1"/>
  <c r="I270" i="18" s="1"/>
  <c r="I254" i="18"/>
  <c r="I253" i="18" s="1"/>
  <c r="I314" i="18"/>
  <c r="I202" i="18"/>
  <c r="N408" i="19"/>
  <c r="N403" i="19" l="1"/>
  <c r="N402" i="19" s="1"/>
  <c r="N401" i="19" s="1"/>
  <c r="N400" i="19" s="1"/>
  <c r="N304" i="19"/>
  <c r="N632" i="19" s="1"/>
  <c r="F36" i="6" s="1"/>
  <c r="I384" i="18"/>
  <c r="I383" i="18" s="1"/>
  <c r="N373" i="19"/>
  <c r="N372" i="19" s="1"/>
  <c r="N371" i="19" s="1"/>
  <c r="N327" i="19"/>
  <c r="I295" i="18"/>
  <c r="I294" i="18" s="1"/>
  <c r="I16" i="18"/>
  <c r="H547" i="7"/>
  <c r="H129" i="7"/>
  <c r="H127" i="7" s="1"/>
  <c r="H125" i="7"/>
  <c r="H124" i="7" s="1"/>
  <c r="H116" i="7"/>
  <c r="H106" i="7"/>
  <c r="H101" i="7"/>
  <c r="H100" i="7" s="1"/>
  <c r="H92" i="7"/>
  <c r="H91" i="7"/>
  <c r="H67" i="7"/>
  <c r="H66" i="7"/>
  <c r="H64" i="7"/>
  <c r="H63" i="7"/>
  <c r="H62" i="7"/>
  <c r="H60" i="7"/>
  <c r="H59" i="7"/>
  <c r="H58" i="7"/>
  <c r="H38" i="7"/>
  <c r="H33" i="7"/>
  <c r="H31" i="7"/>
  <c r="H29" i="7"/>
  <c r="H28" i="7"/>
  <c r="H112" i="7"/>
  <c r="H86" i="7"/>
  <c r="H85" i="7"/>
  <c r="H47" i="7"/>
  <c r="H46" i="7"/>
  <c r="H40" i="7"/>
  <c r="H39" i="7"/>
  <c r="H90" i="7" l="1"/>
  <c r="N326" i="19"/>
  <c r="N633" i="19" s="1"/>
  <c r="F37" i="6" s="1"/>
  <c r="H87" i="7"/>
  <c r="H111" i="7"/>
  <c r="H117" i="7"/>
  <c r="H41" i="7"/>
  <c r="H37" i="7" s="1"/>
  <c r="H84" i="7"/>
  <c r="H115" i="7"/>
  <c r="H19" i="7"/>
  <c r="H23" i="7"/>
  <c r="H49" i="7"/>
  <c r="H114" i="7"/>
  <c r="H110" i="7"/>
  <c r="N303" i="19" l="1"/>
  <c r="N289" i="19" s="1"/>
  <c r="H451" i="18"/>
  <c r="H446" i="18"/>
  <c r="H445" i="18"/>
  <c r="H444" i="18"/>
  <c r="H425" i="18"/>
  <c r="H424" i="18"/>
  <c r="H421" i="18"/>
  <c r="H420" i="18"/>
  <c r="H409" i="18"/>
  <c r="H408" i="18" s="1"/>
  <c r="H407" i="18" s="1"/>
  <c r="H403" i="18"/>
  <c r="H400" i="18"/>
  <c r="H399" i="18" s="1"/>
  <c r="H398" i="18"/>
  <c r="H396" i="18"/>
  <c r="H394" i="18"/>
  <c r="H392" i="18"/>
  <c r="H391" i="18"/>
  <c r="H390" i="18"/>
  <c r="H387" i="18"/>
  <c r="H373" i="18"/>
  <c r="H372" i="18" s="1"/>
  <c r="H369" i="18" s="1"/>
  <c r="H365" i="18"/>
  <c r="H364" i="18" s="1"/>
  <c r="H363" i="18" s="1"/>
  <c r="H362" i="18" s="1"/>
  <c r="H357" i="18" s="1"/>
  <c r="H355" i="18"/>
  <c r="H349" i="18"/>
  <c r="H346" i="18"/>
  <c r="H326" i="18"/>
  <c r="H325" i="18" s="1"/>
  <c r="H324" i="18" s="1"/>
  <c r="H323" i="18"/>
  <c r="H322" i="18"/>
  <c r="H320" i="18"/>
  <c r="H319" i="18"/>
  <c r="H317" i="18"/>
  <c r="H316" i="18"/>
  <c r="H311" i="18"/>
  <c r="H308" i="18"/>
  <c r="H307" i="18"/>
  <c r="H305" i="18"/>
  <c r="H304" i="18"/>
  <c r="H302" i="18"/>
  <c r="H301" i="18"/>
  <c r="H299" i="18"/>
  <c r="H298" i="18"/>
  <c r="H284" i="18"/>
  <c r="H283" i="18"/>
  <c r="H282" i="18"/>
  <c r="H280" i="18"/>
  <c r="H279" i="18"/>
  <c r="H278" i="18"/>
  <c r="H419" i="18" l="1"/>
  <c r="H368" i="18"/>
  <c r="H367" i="18" s="1"/>
  <c r="H443" i="18"/>
  <c r="H442" i="18" s="1"/>
  <c r="H271" i="18"/>
  <c r="D36" i="6"/>
  <c r="H389" i="18"/>
  <c r="H277" i="18"/>
  <c r="H262" i="18"/>
  <c r="H259" i="18"/>
  <c r="H258" i="18"/>
  <c r="H257" i="18"/>
  <c r="H247" i="18"/>
  <c r="H246" i="18"/>
  <c r="H245" i="18"/>
  <c r="H231" i="18"/>
  <c r="H230" i="18" s="1"/>
  <c r="H229" i="18"/>
  <c r="H228" i="18" s="1"/>
  <c r="H214" i="18"/>
  <c r="H213" i="18"/>
  <c r="H212" i="18"/>
  <c r="H207" i="18"/>
  <c r="H206" i="18"/>
  <c r="H189" i="18"/>
  <c r="H188" i="18" s="1"/>
  <c r="H185" i="18"/>
  <c r="H184" i="18"/>
  <c r="H183" i="18"/>
  <c r="H180" i="18"/>
  <c r="H179" i="18"/>
  <c r="H178" i="18"/>
  <c r="H167" i="18"/>
  <c r="H166" i="18" s="1"/>
  <c r="H165" i="18" s="1"/>
  <c r="H164" i="18" s="1"/>
  <c r="H158" i="18"/>
  <c r="H157" i="18"/>
  <c r="H156" i="18"/>
  <c r="H154" i="18"/>
  <c r="H153" i="18"/>
  <c r="H152" i="18"/>
  <c r="H148" i="18"/>
  <c r="H147" i="18" s="1"/>
  <c r="H143" i="18" s="1"/>
  <c r="H136" i="18"/>
  <c r="H135" i="18"/>
  <c r="H134" i="18"/>
  <c r="H131" i="18"/>
  <c r="H123" i="18"/>
  <c r="H133" i="18" l="1"/>
  <c r="H132" i="18" s="1"/>
  <c r="H227" i="18"/>
  <c r="H142" i="18"/>
  <c r="H205" i="18"/>
  <c r="H244" i="18"/>
  <c r="H155" i="18"/>
  <c r="H151" i="18"/>
  <c r="H609" i="7" l="1"/>
  <c r="H556" i="7"/>
  <c r="H554" i="7"/>
  <c r="H553" i="7"/>
  <c r="H552" i="7"/>
  <c r="H526" i="7"/>
  <c r="H525" i="7"/>
  <c r="H522" i="7"/>
  <c r="H519" i="7"/>
  <c r="H518" i="7"/>
  <c r="H515" i="7"/>
  <c r="H513" i="7"/>
  <c r="H509" i="7"/>
  <c r="H508" i="7" s="1"/>
  <c r="H505" i="7"/>
  <c r="H499" i="7"/>
  <c r="H494" i="7"/>
  <c r="H492" i="7"/>
  <c r="H490" i="7"/>
  <c r="H484" i="7"/>
  <c r="H483" i="7"/>
  <c r="H482" i="7"/>
  <c r="H479" i="7"/>
  <c r="H463" i="7"/>
  <c r="H457" i="7"/>
  <c r="H453" i="7"/>
  <c r="H445" i="7"/>
  <c r="H439" i="7"/>
  <c r="H411" i="7"/>
  <c r="H405" i="7"/>
  <c r="H399" i="7"/>
  <c r="H398" i="7"/>
  <c r="H396" i="7"/>
  <c r="H395" i="7"/>
  <c r="H392" i="7"/>
  <c r="H390" i="7" s="1"/>
  <c r="H388" i="7"/>
  <c r="H387" i="7"/>
  <c r="H385" i="7"/>
  <c r="H384" i="7"/>
  <c r="H382" i="7"/>
  <c r="H381" i="7"/>
  <c r="H379" i="7"/>
  <c r="H378" i="7"/>
  <c r="H364" i="7"/>
  <c r="H361" i="7"/>
  <c r="H360" i="7" s="1"/>
  <c r="H359" i="7" s="1"/>
  <c r="H356" i="7"/>
  <c r="H352" i="7"/>
  <c r="H351" i="7"/>
  <c r="H350" i="7"/>
  <c r="H348" i="7"/>
  <c r="H347" i="7"/>
  <c r="H346" i="7"/>
  <c r="H341" i="7"/>
  <c r="H339" i="7"/>
  <c r="H328" i="7"/>
  <c r="H323" i="7"/>
  <c r="H318" i="7"/>
  <c r="H317" i="7"/>
  <c r="H316" i="7"/>
  <c r="H303" i="7"/>
  <c r="H301" i="7"/>
  <c r="H297" i="7"/>
  <c r="H291" i="7"/>
  <c r="H282" i="7"/>
  <c r="H280" i="7"/>
  <c r="H278" i="7"/>
  <c r="H276" i="7"/>
  <c r="H261" i="7"/>
  <c r="H260" i="7"/>
  <c r="H259" i="7"/>
  <c r="H255" i="7"/>
  <c r="H254" i="7" s="1"/>
  <c r="H252" i="7"/>
  <c r="H251" i="7"/>
  <c r="H230" i="7"/>
  <c r="H229" i="7" s="1"/>
  <c r="H224" i="7"/>
  <c r="H223" i="7"/>
  <c r="H222" i="7"/>
  <c r="H219" i="7"/>
  <c r="H218" i="7"/>
  <c r="H217" i="7"/>
  <c r="H213" i="7"/>
  <c r="H212" i="7" s="1"/>
  <c r="H210" i="7"/>
  <c r="H194" i="7"/>
  <c r="H193" i="7"/>
  <c r="H192" i="7"/>
  <c r="H189" i="7"/>
  <c r="H190" i="7"/>
  <c r="H188" i="7"/>
  <c r="H184" i="7"/>
  <c r="H183" i="7" s="1"/>
  <c r="H170" i="7"/>
  <c r="H169" i="7"/>
  <c r="H168" i="7"/>
  <c r="H163" i="7"/>
  <c r="H162" i="7" s="1"/>
  <c r="H159" i="7"/>
  <c r="H156" i="7"/>
  <c r="H149" i="7"/>
  <c r="H524" i="7" l="1"/>
  <c r="H517" i="7"/>
  <c r="H221" i="7"/>
  <c r="H220" i="7" s="1"/>
  <c r="H363" i="7"/>
  <c r="H362" i="7" s="1"/>
  <c r="H551" i="7"/>
  <c r="H250" i="7"/>
  <c r="B17" i="9"/>
  <c r="B16" i="9" s="1"/>
  <c r="I123" i="18" l="1"/>
  <c r="I122" i="18" s="1"/>
  <c r="D17" i="16"/>
  <c r="D16" i="16" s="1"/>
  <c r="E36" i="5" s="1"/>
  <c r="D55" i="16"/>
  <c r="D44" i="16" s="1"/>
  <c r="D61" i="16"/>
  <c r="D65" i="16"/>
  <c r="C65" i="16"/>
  <c r="C61" i="16"/>
  <c r="C55" i="16"/>
  <c r="C44" i="16" s="1"/>
  <c r="C31" i="16"/>
  <c r="C19" i="16" s="1"/>
  <c r="C17" i="16"/>
  <c r="C16" i="16" s="1"/>
  <c r="C72" i="2"/>
  <c r="C39" i="2"/>
  <c r="C23" i="2"/>
  <c r="C22" i="2" l="1"/>
  <c r="C37" i="5" s="1"/>
  <c r="D36" i="5"/>
  <c r="E37" i="5"/>
  <c r="D37" i="5"/>
  <c r="I121" i="18"/>
  <c r="I120" i="18" s="1"/>
  <c r="D43" i="16"/>
  <c r="D42" i="16" s="1"/>
  <c r="C43" i="16"/>
  <c r="C42" i="16" s="1"/>
  <c r="C15" i="16" s="1"/>
  <c r="C70" i="2"/>
  <c r="C51" i="2" s="1"/>
  <c r="C18" i="2"/>
  <c r="C17" i="2" s="1"/>
  <c r="C16" i="2" l="1"/>
  <c r="D15" i="16"/>
  <c r="D14" i="16" s="1"/>
  <c r="E38" i="5"/>
  <c r="E35" i="5" s="1"/>
  <c r="E34" i="5" s="1"/>
  <c r="D38" i="5"/>
  <c r="D35" i="5" s="1"/>
  <c r="D34" i="5" s="1"/>
  <c r="C36" i="5"/>
  <c r="D42" i="5" l="1"/>
  <c r="D24" i="8" s="1"/>
  <c r="D23" i="8" s="1"/>
  <c r="D22" i="8" s="1"/>
  <c r="D21" i="8" s="1"/>
  <c r="D20" i="8" s="1"/>
  <c r="D15" i="8" s="1"/>
  <c r="E42" i="5"/>
  <c r="E24" i="8" s="1"/>
  <c r="E23" i="8" s="1"/>
  <c r="E22" i="8" s="1"/>
  <c r="E21" i="8" s="1"/>
  <c r="C14" i="16"/>
  <c r="M608" i="19" s="1"/>
  <c r="N277" i="19"/>
  <c r="N276" i="19" s="1"/>
  <c r="N246" i="19"/>
  <c r="N245" i="19" s="1"/>
  <c r="N244" i="19" s="1"/>
  <c r="N232" i="19"/>
  <c r="N228" i="19"/>
  <c r="C38" i="5" l="1"/>
  <c r="N227" i="19"/>
  <c r="N226" i="19" s="1"/>
  <c r="N222" i="19"/>
  <c r="F33" i="6"/>
  <c r="F31" i="6" s="1"/>
  <c r="H337" i="7"/>
  <c r="N275" i="19"/>
  <c r="N274" i="19" s="1"/>
  <c r="N273" i="19" s="1"/>
  <c r="I157" i="18"/>
  <c r="I155" i="18" s="1"/>
  <c r="I150" i="18" s="1"/>
  <c r="N480" i="19"/>
  <c r="N463" i="19"/>
  <c r="N462" i="19" s="1"/>
  <c r="N460" i="19"/>
  <c r="N459" i="19" s="1"/>
  <c r="N439" i="19"/>
  <c r="C35" i="5" l="1"/>
  <c r="C34" i="5" s="1"/>
  <c r="N438" i="19"/>
  <c r="N437" i="19" s="1"/>
  <c r="N436" i="19" s="1"/>
  <c r="I149" i="18"/>
  <c r="I119" i="18" s="1"/>
  <c r="N221" i="19"/>
  <c r="N220" i="19" s="1"/>
  <c r="N615" i="19" s="1"/>
  <c r="F23" i="6" s="1"/>
  <c r="N272" i="19"/>
  <c r="N484" i="19"/>
  <c r="N479" i="19" s="1"/>
  <c r="N478" i="19" s="1"/>
  <c r="N477" i="19" s="1"/>
  <c r="N476" i="19" s="1"/>
  <c r="N641" i="19" s="1"/>
  <c r="F44" i="6" s="1"/>
  <c r="H161" i="7"/>
  <c r="H182" i="7"/>
  <c r="H180" i="7" s="1"/>
  <c r="N458" i="19"/>
  <c r="D44" i="6"/>
  <c r="C42" i="5" l="1"/>
  <c r="C24" i="8" s="1"/>
  <c r="N457" i="19"/>
  <c r="N456" i="19" s="1"/>
  <c r="I465" i="18"/>
  <c r="N435" i="19"/>
  <c r="N634" i="19" s="1"/>
  <c r="N219" i="19"/>
  <c r="N218" i="19" s="1"/>
  <c r="D33" i="6"/>
  <c r="D31" i="6" s="1"/>
  <c r="D38" i="6"/>
  <c r="N172" i="19"/>
  <c r="N171" i="19" s="1"/>
  <c r="N170" i="19" s="1"/>
  <c r="N169" i="19" s="1"/>
  <c r="N168" i="19" s="1"/>
  <c r="N167" i="19" s="1"/>
  <c r="N149" i="19"/>
  <c r="N142" i="19"/>
  <c r="N139" i="19" s="1"/>
  <c r="N135" i="19"/>
  <c r="N134" i="19" s="1"/>
  <c r="N133" i="19" s="1"/>
  <c r="N128" i="19" s="1"/>
  <c r="N125" i="19"/>
  <c r="N124" i="19" s="1"/>
  <c r="N123" i="19" s="1"/>
  <c r="N122" i="19" s="1"/>
  <c r="N121" i="19" s="1"/>
  <c r="N623" i="19" s="1"/>
  <c r="F29" i="6" s="1"/>
  <c r="N119" i="19"/>
  <c r="N118" i="19" s="1"/>
  <c r="N116" i="19"/>
  <c r="N115" i="19" s="1"/>
  <c r="N103" i="19"/>
  <c r="N102" i="19" s="1"/>
  <c r="N101" i="19" s="1"/>
  <c r="N93" i="19" s="1"/>
  <c r="N90" i="19"/>
  <c r="N88" i="19"/>
  <c r="N58" i="19"/>
  <c r="N53" i="19"/>
  <c r="N52" i="19" s="1"/>
  <c r="N51" i="19" s="1"/>
  <c r="N50" i="19" s="1"/>
  <c r="N49" i="19" s="1"/>
  <c r="N612" i="19" s="1"/>
  <c r="F20" i="6" s="1"/>
  <c r="N47" i="19"/>
  <c r="N46" i="19" s="1"/>
  <c r="N41" i="19"/>
  <c r="N36" i="19"/>
  <c r="N34" i="19"/>
  <c r="N30" i="19"/>
  <c r="N24" i="19"/>
  <c r="N23" i="19" s="1"/>
  <c r="N22" i="19" s="1"/>
  <c r="N21" i="19" s="1"/>
  <c r="N20" i="19" s="1"/>
  <c r="D29" i="6"/>
  <c r="D27" i="6" s="1"/>
  <c r="D20" i="6"/>
  <c r="D18" i="6"/>
  <c r="N640" i="19" l="1"/>
  <c r="F43" i="6" s="1"/>
  <c r="F42" i="6" s="1"/>
  <c r="N455" i="19"/>
  <c r="N29" i="19"/>
  <c r="N28" i="19" s="1"/>
  <c r="N27" i="19" s="1"/>
  <c r="N26" i="19" s="1"/>
  <c r="N87" i="19"/>
  <c r="N86" i="19" s="1"/>
  <c r="N85" i="19" s="1"/>
  <c r="N84" i="19" s="1"/>
  <c r="N148" i="19"/>
  <c r="N147" i="19" s="1"/>
  <c r="N146" i="19" s="1"/>
  <c r="F38" i="6"/>
  <c r="N434" i="19"/>
  <c r="N138" i="19"/>
  <c r="N137" i="19" s="1"/>
  <c r="N92" i="19"/>
  <c r="N619" i="19" s="1"/>
  <c r="F26" i="6" s="1"/>
  <c r="N610" i="19"/>
  <c r="F18" i="6" s="1"/>
  <c r="N57" i="19"/>
  <c r="N56" i="19" s="1"/>
  <c r="N55" i="19" s="1"/>
  <c r="N614" i="19" s="1"/>
  <c r="F22" i="6" s="1"/>
  <c r="D22" i="6"/>
  <c r="D46" i="6"/>
  <c r="N644" i="19"/>
  <c r="F46" i="6" s="1"/>
  <c r="H302" i="7"/>
  <c r="H465" i="7"/>
  <c r="N114" i="19"/>
  <c r="N113" i="19" s="1"/>
  <c r="N112" i="19" s="1"/>
  <c r="N622" i="19" s="1"/>
  <c r="F28" i="6" s="1"/>
  <c r="N426" i="19" l="1"/>
  <c r="N127" i="19"/>
  <c r="N624" i="19" s="1"/>
  <c r="F30" i="6" s="1"/>
  <c r="F27" i="6" s="1"/>
  <c r="N19" i="19"/>
  <c r="D25" i="6"/>
  <c r="D54" i="6"/>
  <c r="D43" i="6"/>
  <c r="D42" i="6" s="1"/>
  <c r="N83" i="19"/>
  <c r="N618" i="19"/>
  <c r="F25" i="6" s="1"/>
  <c r="F24" i="6" s="1"/>
  <c r="N611" i="19"/>
  <c r="F19" i="6" s="1"/>
  <c r="N111" i="19" l="1"/>
  <c r="N18" i="19" s="1"/>
  <c r="E24" i="6"/>
  <c r="E15" i="6" s="1"/>
  <c r="N205" i="19"/>
  <c r="N204" i="19" s="1"/>
  <c r="N203" i="19" s="1"/>
  <c r="N202" i="19" s="1"/>
  <c r="N201" i="19" s="1"/>
  <c r="N187" i="19"/>
  <c r="N186" i="19" s="1"/>
  <c r="N185" i="19" s="1"/>
  <c r="N184" i="19" s="1"/>
  <c r="N183" i="19" s="1"/>
  <c r="N182" i="19" s="1"/>
  <c r="D26" i="6" l="1"/>
  <c r="N200" i="19"/>
  <c r="N657" i="19"/>
  <c r="F56" i="6" s="1"/>
  <c r="F55" i="6" s="1"/>
  <c r="I441" i="18"/>
  <c r="N181" i="19" l="1"/>
  <c r="N211" i="19"/>
  <c r="N210" i="19" s="1"/>
  <c r="N209" i="19" s="1"/>
  <c r="N208" i="19" s="1"/>
  <c r="N532" i="19"/>
  <c r="N531" i="19" s="1"/>
  <c r="N530" i="19" s="1"/>
  <c r="N529" i="19" s="1"/>
  <c r="N528" i="19" s="1"/>
  <c r="N506" i="19"/>
  <c r="N505" i="19" s="1"/>
  <c r="N502" i="19"/>
  <c r="N501" i="19" s="1"/>
  <c r="N500" i="19" s="1"/>
  <c r="N651" i="19" l="1"/>
  <c r="F52" i="6" s="1"/>
  <c r="N613" i="19"/>
  <c r="F21" i="6" s="1"/>
  <c r="F17" i="6" s="1"/>
  <c r="N504" i="19"/>
  <c r="N499" i="19" s="1"/>
  <c r="N498" i="19" s="1"/>
  <c r="N649" i="19" s="1"/>
  <c r="N497" i="19" l="1"/>
  <c r="N489" i="19" s="1"/>
  <c r="F50" i="6"/>
  <c r="F49" i="6" s="1"/>
  <c r="N564" i="19"/>
  <c r="N563" i="19" s="1"/>
  <c r="N562" i="19" s="1"/>
  <c r="N561" i="19" s="1"/>
  <c r="N560" i="19" s="1"/>
  <c r="N637" i="19" s="1"/>
  <c r="N555" i="19"/>
  <c r="N554" i="19" s="1"/>
  <c r="N553" i="19" s="1"/>
  <c r="N552" i="19" s="1"/>
  <c r="N636" i="19" s="1"/>
  <c r="F41" i="6" l="1"/>
  <c r="N551" i="19"/>
  <c r="N537" i="19" s="1"/>
  <c r="N594" i="19"/>
  <c r="N584" i="19"/>
  <c r="N575" i="19"/>
  <c r="F40" i="6" l="1"/>
  <c r="F35" i="6" s="1"/>
  <c r="N574" i="19"/>
  <c r="N573" i="19" s="1"/>
  <c r="N572" i="19" s="1"/>
  <c r="N571" i="19" s="1"/>
  <c r="N590" i="19"/>
  <c r="N589" i="19" s="1"/>
  <c r="N588" i="19" s="1"/>
  <c r="N587" i="19" s="1"/>
  <c r="H15" i="6" l="1"/>
  <c r="N646" i="19"/>
  <c r="F48" i="6" s="1"/>
  <c r="N645" i="19"/>
  <c r="F47" i="6" s="1"/>
  <c r="N570" i="19"/>
  <c r="N569" i="19" s="1"/>
  <c r="F45" i="6" l="1"/>
  <c r="D48" i="6"/>
  <c r="D52" i="6" l="1"/>
  <c r="D41" i="6" l="1"/>
  <c r="D51" i="6"/>
  <c r="D47" i="6"/>
  <c r="D45" i="6" s="1"/>
  <c r="D50" i="6" l="1"/>
  <c r="D49" i="6" s="1"/>
  <c r="D56" i="6" l="1"/>
  <c r="D55" i="6" s="1"/>
  <c r="D40" i="6"/>
  <c r="H521" i="7"/>
  <c r="H520" i="7" s="1"/>
  <c r="H546" i="7"/>
  <c r="H545" i="7" s="1"/>
  <c r="H544" i="7" s="1"/>
  <c r="H543" i="7" s="1"/>
  <c r="D21" i="6" l="1"/>
  <c r="H423" i="18"/>
  <c r="H422" i="18" s="1"/>
  <c r="H410" i="7"/>
  <c r="H409" i="7" s="1"/>
  <c r="D53" i="6" l="1"/>
  <c r="H464" i="7" l="1"/>
  <c r="H393" i="18" l="1"/>
  <c r="H489" i="7" l="1"/>
  <c r="H22" i="7" l="1"/>
  <c r="H523" i="7" l="1"/>
  <c r="H100" i="18" l="1"/>
  <c r="H402" i="18"/>
  <c r="H389" i="7" l="1"/>
  <c r="H105" i="7"/>
  <c r="H104" i="7" s="1"/>
  <c r="H167" i="7" l="1"/>
  <c r="H166" i="7" s="1"/>
  <c r="H498" i="7" l="1"/>
  <c r="N655" i="19" l="1"/>
  <c r="H338" i="7" l="1"/>
  <c r="H355" i="7"/>
  <c r="H408" i="7" l="1"/>
  <c r="H407" i="7" s="1"/>
  <c r="I454" i="18" l="1"/>
  <c r="I453" i="18" s="1"/>
  <c r="I15" i="18" s="1"/>
  <c r="H454" i="18"/>
  <c r="H453" i="18" s="1"/>
  <c r="H472" i="18" s="1"/>
  <c r="H310" i="18"/>
  <c r="H309" i="18" s="1"/>
  <c r="H281" i="18"/>
  <c r="H276" i="18" s="1"/>
  <c r="H275" i="18" s="1"/>
  <c r="H256" i="18"/>
  <c r="I472" i="18" l="1"/>
  <c r="H177" i="18"/>
  <c r="H204" i="18" l="1"/>
  <c r="H58" i="18"/>
  <c r="H50" i="18"/>
  <c r="H30" i="18"/>
  <c r="H28" i="18"/>
  <c r="H19" i="18"/>
  <c r="H450" i="18"/>
  <c r="H418" i="18"/>
  <c r="H397" i="18"/>
  <c r="H395" i="18"/>
  <c r="H386" i="18"/>
  <c r="H385" i="18" s="1"/>
  <c r="H354" i="18"/>
  <c r="H353" i="18" s="1"/>
  <c r="H352" i="18" s="1"/>
  <c r="H351" i="18" s="1"/>
  <c r="H348" i="18"/>
  <c r="H347" i="18" s="1"/>
  <c r="H345" i="18"/>
  <c r="H344" i="18" s="1"/>
  <c r="H321" i="18"/>
  <c r="H318" i="18"/>
  <c r="H315" i="18"/>
  <c r="H306" i="18"/>
  <c r="H303" i="18"/>
  <c r="H300" i="18"/>
  <c r="H297" i="18"/>
  <c r="H261" i="18"/>
  <c r="H260" i="18" s="1"/>
  <c r="H255" i="18"/>
  <c r="H243" i="18"/>
  <c r="H242" i="18" s="1"/>
  <c r="H211" i="18"/>
  <c r="H210" i="18" s="1"/>
  <c r="H209" i="18" s="1"/>
  <c r="H182" i="18"/>
  <c r="H181" i="18" s="1"/>
  <c r="H176" i="18"/>
  <c r="H130" i="18"/>
  <c r="H129" i="18" s="1"/>
  <c r="H122" i="18"/>
  <c r="H121" i="18" s="1"/>
  <c r="H388" i="18" l="1"/>
  <c r="H384" i="18" s="1"/>
  <c r="H296" i="18"/>
  <c r="H120" i="18"/>
  <c r="H175" i="18"/>
  <c r="H163" i="18" s="1"/>
  <c r="H254" i="18"/>
  <c r="H449" i="18"/>
  <c r="H448" i="18" s="1"/>
  <c r="H226" i="18"/>
  <c r="H225" i="18" s="1"/>
  <c r="H75" i="18"/>
  <c r="H74" i="18" s="1"/>
  <c r="H35" i="18"/>
  <c r="I469" i="18"/>
  <c r="H441" i="18"/>
  <c r="H150" i="18"/>
  <c r="H149" i="18" s="1"/>
  <c r="H203" i="18"/>
  <c r="H202" i="18" s="1"/>
  <c r="H54" i="18"/>
  <c r="H89" i="18"/>
  <c r="H88" i="18" s="1"/>
  <c r="H25" i="18"/>
  <c r="H18" i="18" s="1"/>
  <c r="H343" i="18"/>
  <c r="H342" i="18" s="1"/>
  <c r="H270" i="18"/>
  <c r="H314" i="18"/>
  <c r="H34" i="18" l="1"/>
  <c r="H17" i="18" s="1"/>
  <c r="H119" i="18"/>
  <c r="H73" i="18"/>
  <c r="H469" i="18"/>
  <c r="H295" i="18"/>
  <c r="H294" i="18" s="1"/>
  <c r="H253" i="18"/>
  <c r="H87" i="18"/>
  <c r="H383" i="18"/>
  <c r="H16" i="18" l="1"/>
  <c r="H15" i="18" s="1"/>
  <c r="K15" i="18" s="1"/>
  <c r="H465" i="18" l="1"/>
  <c r="H474" i="18" s="1"/>
  <c r="I474" i="18"/>
  <c r="H327" i="7"/>
  <c r="H326" i="7" s="1"/>
  <c r="I467" i="18" l="1"/>
  <c r="I473" i="18"/>
  <c r="I470" i="18"/>
  <c r="H473" i="18"/>
  <c r="H470" i="18"/>
  <c r="H467" i="18"/>
  <c r="N600" i="19" l="1"/>
  <c r="N16" i="19" s="1"/>
  <c r="L15" i="18" s="1"/>
  <c r="E28" i="8" l="1"/>
  <c r="E27" i="8" s="1"/>
  <c r="E26" i="8" s="1"/>
  <c r="E25" i="8" s="1"/>
  <c r="E20" i="8" s="1"/>
  <c r="E15" i="8" s="1"/>
  <c r="N660" i="19"/>
  <c r="F59" i="6" s="1"/>
  <c r="F58" i="6" s="1"/>
  <c r="F15" i="6" s="1"/>
  <c r="I15" i="6" s="1"/>
  <c r="N647" i="19" l="1"/>
  <c r="N658" i="19"/>
  <c r="N620" i="19"/>
  <c r="N630" i="19"/>
  <c r="N625" i="19" l="1"/>
  <c r="N642" i="19"/>
  <c r="N638" i="19"/>
  <c r="N652" i="19"/>
  <c r="N616" i="19"/>
  <c r="H608" i="7" l="1"/>
  <c r="H607" i="7" s="1"/>
  <c r="H606" i="7" s="1"/>
  <c r="H18" i="7" l="1"/>
  <c r="H340" i="7" l="1"/>
  <c r="H434" i="7" l="1"/>
  <c r="H279" i="7"/>
  <c r="H290" i="7"/>
  <c r="H284" i="7" s="1"/>
  <c r="H281" i="7"/>
  <c r="H514" i="7" l="1"/>
  <c r="H512" i="7"/>
  <c r="H504" i="7"/>
  <c r="H503" i="7" s="1"/>
  <c r="H491" i="7"/>
  <c r="H511" i="7" l="1"/>
  <c r="H555" i="7"/>
  <c r="H550" i="7" s="1"/>
  <c r="H404" i="7"/>
  <c r="H403" i="7" s="1"/>
  <c r="H472" i="7" l="1"/>
  <c r="H471" i="7" s="1"/>
  <c r="H470" i="7" s="1"/>
  <c r="H469" i="7" s="1"/>
  <c r="H462" i="7"/>
  <c r="H461" i="7" s="1"/>
  <c r="H456" i="7"/>
  <c r="H455" i="7" s="1"/>
  <c r="H454" i="7" s="1"/>
  <c r="H452" i="7"/>
  <c r="H444" i="7"/>
  <c r="H443" i="7" s="1"/>
  <c r="H438" i="7"/>
  <c r="H437" i="7" s="1"/>
  <c r="H386" i="7"/>
  <c r="H383" i="7"/>
  <c r="H380" i="7"/>
  <c r="H377" i="7"/>
  <c r="H376" i="7" l="1"/>
  <c r="H460" i="7"/>
  <c r="H459" i="7" s="1"/>
  <c r="H442" i="7"/>
  <c r="H397" i="7"/>
  <c r="H400" i="7"/>
  <c r="H394" i="7"/>
  <c r="H451" i="7"/>
  <c r="H450" i="7" s="1"/>
  <c r="H336" i="7"/>
  <c r="H335" i="7" s="1"/>
  <c r="H296" i="7"/>
  <c r="H209" i="7"/>
  <c r="H334" i="7" l="1"/>
  <c r="H216" i="7"/>
  <c r="H215" i="7" s="1"/>
  <c r="H191" i="7"/>
  <c r="H258" i="7"/>
  <c r="H257" i="7" s="1"/>
  <c r="H256" i="7" s="1"/>
  <c r="H300" i="7"/>
  <c r="H299" i="7" s="1"/>
  <c r="H298" i="7" s="1"/>
  <c r="H187" i="7"/>
  <c r="H393" i="7"/>
  <c r="H375" i="7" s="1"/>
  <c r="H315" i="7"/>
  <c r="H314" i="7" s="1"/>
  <c r="H160" i="7"/>
  <c r="H155" i="7"/>
  <c r="H154" i="7" s="1"/>
  <c r="H148" i="7"/>
  <c r="H147" i="7" s="1"/>
  <c r="H83" i="7"/>
  <c r="H82" i="7" s="1"/>
  <c r="H65" i="7"/>
  <c r="H57" i="7"/>
  <c r="H45" i="7"/>
  <c r="H32" i="7"/>
  <c r="H30" i="7"/>
  <c r="H275" i="7"/>
  <c r="H186" i="7" l="1"/>
  <c r="H185" i="7" s="1"/>
  <c r="H81" i="7"/>
  <c r="H179" i="7"/>
  <c r="H158" i="7"/>
  <c r="H157" i="7" s="1"/>
  <c r="H146" i="7" s="1"/>
  <c r="H27" i="7"/>
  <c r="H17" i="7" s="1"/>
  <c r="H109" i="7"/>
  <c r="H178" i="7" l="1"/>
  <c r="H145" i="7" s="1"/>
  <c r="H516" i="7" l="1"/>
  <c r="H345" i="7"/>
  <c r="H349" i="7"/>
  <c r="H344" i="7" l="1"/>
  <c r="H343" i="7" s="1"/>
  <c r="H333" i="7" s="1"/>
  <c r="H214" i="7"/>
  <c r="H61" i="7" l="1"/>
  <c r="H113" i="7" l="1"/>
  <c r="H108" i="7" s="1"/>
  <c r="H107" i="7" l="1"/>
  <c r="H493" i="7"/>
  <c r="H277" i="7"/>
  <c r="H274" i="7" s="1"/>
  <c r="H273" i="7" s="1"/>
  <c r="H481" i="7"/>
  <c r="H549" i="7" l="1"/>
  <c r="H626" i="7" s="1"/>
  <c r="D24" i="6"/>
  <c r="H449" i="7"/>
  <c r="H441" i="7"/>
  <c r="H433" i="7"/>
  <c r="H432" i="7" s="1"/>
  <c r="H322" i="7"/>
  <c r="H321" i="7" s="1"/>
  <c r="H313" i="7" s="1"/>
  <c r="H295" i="7"/>
  <c r="H283" i="7" s="1"/>
  <c r="H249" i="7"/>
  <c r="H248" i="7" s="1"/>
  <c r="H211" i="7"/>
  <c r="H208" i="7"/>
  <c r="H374" i="7" l="1"/>
  <c r="H272" i="7"/>
  <c r="H207" i="7"/>
  <c r="H206" i="7" s="1"/>
  <c r="H312" i="7" l="1"/>
  <c r="H247" i="7" l="1"/>
  <c r="H478" i="7" l="1"/>
  <c r="H477" i="7" s="1"/>
  <c r="N608" i="19" l="1"/>
  <c r="C15" i="2" l="1"/>
  <c r="H496" i="7" l="1"/>
  <c r="C23" i="8" l="1"/>
  <c r="C22" i="8" s="1"/>
  <c r="C21" i="8" s="1"/>
  <c r="H495" i="7"/>
  <c r="H480" i="7" s="1"/>
  <c r="H476" i="7" s="1"/>
  <c r="D19" i="6"/>
  <c r="D17" i="6" s="1"/>
  <c r="H475" i="7" l="1"/>
  <c r="H51" i="7"/>
  <c r="H48" i="7" s="1"/>
  <c r="H36" i="7" s="1"/>
  <c r="H16" i="7" l="1"/>
  <c r="H15" i="7" s="1"/>
  <c r="H14" i="7" s="1"/>
  <c r="D37" i="6" l="1"/>
  <c r="D35" i="6" s="1"/>
  <c r="C27" i="8"/>
  <c r="C26" i="8" s="1"/>
  <c r="C25" i="8" s="1"/>
  <c r="C20" i="8" s="1"/>
  <c r="C15" i="8" s="1"/>
  <c r="H622" i="7"/>
  <c r="H628" i="7" s="1"/>
  <c r="H627" i="7" s="1"/>
  <c r="D15" i="6" l="1"/>
  <c r="G15" i="6" s="1"/>
  <c r="H624" i="7"/>
  <c r="J14" i="7"/>
</calcChain>
</file>

<file path=xl/sharedStrings.xml><?xml version="1.0" encoding="utf-8"?>
<sst xmlns="http://schemas.openxmlformats.org/spreadsheetml/2006/main" count="16810" uniqueCount="720">
  <si>
    <t>Администрация муниципального образования Апшеронский район</t>
  </si>
  <si>
    <t>902</t>
  </si>
  <si>
    <t>Финансовое управление администрации муниципального образования Апшеронский район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</si>
  <si>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</si>
  <si>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</si>
  <si>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</si>
  <si>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</si>
  <si>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Управление образования администрации муниципального образования Апшеронский район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</si>
  <si>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</si>
  <si>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</si>
  <si>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</si>
  <si>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</si>
  <si>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</si>
  <si>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</si>
  <si>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</si>
  <si>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</si>
  <si>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</si>
  <si>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</si>
  <si>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</si>
  <si>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</si>
  <si>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</si>
  <si>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</si>
  <si>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</si>
  <si>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</si>
  <si>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</si>
  <si>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</si>
  <si>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</si>
  <si>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</si>
  <si>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</si>
  <si>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</si>
  <si>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</si>
  <si>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</si>
  <si>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</si>
  <si>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</si>
  <si>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</si>
  <si>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</si>
  <si>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</si>
  <si>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</si>
  <si>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</si>
  <si>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</si>
  <si>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</si>
  <si>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</si>
  <si>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</si>
  <si>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</si>
  <si>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</si>
  <si>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</si>
  <si>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</si>
  <si>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</si>
  <si>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</si>
  <si>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</si>
  <si>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</si>
  <si>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</si>
  <si>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</si>
  <si>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</si>
  <si>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</si>
  <si>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</si>
  <si>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</si>
  <si>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</si>
  <si>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</si>
  <si>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</si>
  <si>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</si>
  <si>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</si>
  <si>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</si>
  <si>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</si>
  <si>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</si>
  <si>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</si>
  <si>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</si>
  <si>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</si>
  <si>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</si>
  <si>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</si>
  <si>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</si>
  <si>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</si>
  <si>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</si>
  <si>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</si>
  <si>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</si>
  <si>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</si>
  <si>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</si>
  <si>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</si>
  <si>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</si>
  <si>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</si>
  <si>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</si>
  <si>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</si>
  <si>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</si>
  <si>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</si>
  <si>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</si>
  <si>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</si>
  <si>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</si>
  <si>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</si>
  <si>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</si>
  <si>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</si>
  <si>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</si>
  <si>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</si>
  <si>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</si>
  <si>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</si>
  <si>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</si>
  <si>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</si>
  <si>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</si>
  <si>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</si>
  <si>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</si>
  <si>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</si>
  <si>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</si>
  <si>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</si>
  <si>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</si>
  <si>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</si>
  <si>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</si>
  <si>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</si>
  <si>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</si>
  <si>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</si>
  <si>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</si>
  <si>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</si>
  <si>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</si>
  <si>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</si>
  <si>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</si>
  <si>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</si>
  <si>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</si>
  <si>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</si>
  <si>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</si>
  <si>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</si>
  <si>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</si>
  <si>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</si>
  <si>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</si>
  <si>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</si>
  <si>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</si>
  <si>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</si>
  <si>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</si>
  <si>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</si>
  <si>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</si>
  <si>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</si>
  <si>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</si>
  <si>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</si>
  <si>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</si>
  <si>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</si>
  <si>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</si>
  <si>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</si>
  <si>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</si>
  <si>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</si>
  <si>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</si>
  <si>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</si>
  <si>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</si>
  <si>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</si>
  <si>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</si>
  <si>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</si>
  <si>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</si>
  <si>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</si>
  <si>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</si>
  <si>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</si>
  <si>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</si>
  <si>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</si>
  <si>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</si>
  <si>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</si>
  <si>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</si>
  <si>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</si>
  <si>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</si>
  <si>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</si>
  <si>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</si>
  <si>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</si>
  <si>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</si>
  <si>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</si>
  <si>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</si>
  <si>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</si>
  <si>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</si>
  <si>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</si>
  <si>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</si>
  <si>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</si>
  <si>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</si>
  <si>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</si>
  <si>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</si>
  <si>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</si>
  <si>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</si>
  <si>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</si>
  <si>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</si>
  <si>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</si>
  <si>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</si>
  <si>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</si>
  <si>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</si>
  <si>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</si>
  <si>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</si>
  <si>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</si>
  <si>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</si>
  <si>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</si>
  <si>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</si>
  <si>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</si>
  <si>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</si>
  <si>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</si>
  <si>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</si>
  <si>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</si>
  <si>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</si>
  <si>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</si>
  <si>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</si>
  <si>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</si>
  <si>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</si>
  <si>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</si>
  <si>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</si>
  <si>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</si>
  <si>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</si>
  <si>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</si>
  <si>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</si>
  <si>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</si>
  <si>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</si>
  <si>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</si>
  <si>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</si>
  <si>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</si>
  <si>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</si>
  <si>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</si>
  <si>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</si>
  <si>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</si>
  <si>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</si>
  <si>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</si>
  <si>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</si>
  <si>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</si>
  <si>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</si>
  <si>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</si>
  <si>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</si>
  <si>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</si>
  <si>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</si>
  <si>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</si>
  <si>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</si>
  <si>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</si>
  <si>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</si>
  <si>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</si>
  <si>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</si>
  <si>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</si>
  <si>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</si>
  <si>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</si>
  <si>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</si>
  <si>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</si>
  <si>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</si>
  <si>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</si>
  <si>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</si>
  <si>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</si>
  <si>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</si>
  <si>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</si>
  <si>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</si>
  <si>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</si>
  <si>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</si>
  <si>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</si>
  <si>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</si>
  <si>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</si>
  <si>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</si>
  <si>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</si>
  <si>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</si>
  <si>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</si>
  <si>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</si>
  <si>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</si>
  <si>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</si>
  <si>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</si>
  <si>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</si>
  <si>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</si>
  <si>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</si>
  <si>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</si>
  <si>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</si>
  <si>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</si>
  <si>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</si>
  <si>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</si>
  <si>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</si>
  <si>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</si>
  <si>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</si>
  <si>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</si>
  <si>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</si>
  <si>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</si>
  <si>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</si>
  <si>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</si>
  <si>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</si>
  <si>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</si>
  <si>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</si>
  <si>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</si>
  <si>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</si>
  <si>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</si>
  <si>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</si>
  <si>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</si>
  <si>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</si>
  <si>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</si>
  <si>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</si>
  <si>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</si>
  <si>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</si>
  <si>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</si>
  <si>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</si>
  <si>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</si>
  <si>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</si>
  <si>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</si>
  <si>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</si>
  <si>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</si>
  <si>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</si>
  <si>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</si>
  <si>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</si>
  <si>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</si>
  <si>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</si>
  <si>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</si>
  <si>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</si>
  <si>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</si>
  <si>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</si>
  <si>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</si>
  <si>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</si>
  <si>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</si>
  <si>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</si>
  <si>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</si>
  <si>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953</t>
  </si>
  <si>
    <t>Муниципальная программа муниципального образования Апшеронский район "Социальная поддержка граждан"</t>
  </si>
  <si>
    <t>Другие вопросы в области социальной политики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</si>
  <si>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</si>
  <si>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</si>
  <si>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</si>
  <si>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</si>
  <si>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</si>
  <si>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</si>
  <si>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</si>
  <si>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</si>
  <si>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</si>
  <si>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</si>
  <si>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</si>
  <si>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</si>
  <si>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1 11 05075 05 0000 120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</si>
  <si>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</si>
  <si>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</si>
  <si>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</si>
  <si>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</si>
  <si>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</si>
  <si>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</si>
  <si>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</si>
  <si>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</si>
  <si>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</si>
  <si>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</si>
  <si>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</si>
  <si>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</si>
  <si>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</si>
  <si>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</si>
  <si>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</si>
  <si>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</si>
  <si>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</si>
  <si>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</si>
  <si>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</si>
  <si>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</si>
  <si>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</si>
  <si>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</si>
  <si>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</si>
  <si>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</si>
  <si>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</si>
  <si>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</si>
  <si>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</si>
  <si>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</si>
  <si>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</si>
  <si>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</si>
  <si>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</si>
  <si>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</si>
  <si>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</si>
  <si>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</si>
  <si>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</si>
  <si>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</si>
  <si>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</si>
  <si>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</si>
  <si>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</si>
  <si>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</si>
  <si>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</si>
  <si>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</si>
  <si>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1 11 09045 05 0000 120</t>
  </si>
  <si>
    <t>0703</t>
  </si>
  <si>
    <t>Дополнительное образование детей</t>
  </si>
  <si>
    <t xml:space="preserve">Молодежная политика 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</si>
  <si>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</si>
  <si>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</si>
  <si>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</si>
  <si>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</si>
  <si>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</si>
  <si>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</si>
  <si>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</si>
  <si>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</si>
  <si>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</si>
  <si>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</si>
  <si>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</si>
  <si>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</si>
  <si>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</si>
  <si>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</si>
  <si>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</si>
  <si>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</si>
  <si>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</si>
  <si>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</si>
  <si>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</si>
  <si>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</si>
  <si>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</si>
  <si>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</si>
  <si>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</si>
  <si>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</si>
  <si>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</si>
  <si>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</si>
  <si>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</si>
  <si>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</si>
  <si>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</si>
  <si>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</si>
  <si>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</si>
  <si>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</si>
  <si>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</si>
  <si>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</si>
  <si>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</si>
  <si>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</si>
  <si>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</si>
  <si>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</si>
  <si>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</si>
  <si>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</si>
  <si>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</si>
  <si>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</si>
  <si>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</si>
  <si>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</si>
  <si>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</si>
  <si>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</si>
  <si>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</si>
  <si>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</si>
  <si>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1 13 00000 00 0000 000</t>
  </si>
  <si>
    <t>О.В.Чуйко</t>
  </si>
  <si>
    <t>0105</t>
  </si>
  <si>
    <t>60740</t>
  </si>
  <si>
    <t>2 02 29999 05 0000 150</t>
  </si>
  <si>
    <t>2 02 30024 05 0000 150</t>
  </si>
  <si>
    <t>2 02 35120 05 0000 150</t>
  </si>
  <si>
    <t>2 02 15001 05 0000 150</t>
  </si>
  <si>
    <t>2 02 40014 05 0000 150</t>
  </si>
  <si>
    <t>2 02 30029 05 0000 150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</si>
  <si>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</si>
  <si>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</si>
  <si>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</si>
  <si>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</si>
  <si>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</si>
  <si>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</si>
  <si>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2 02 30029 00 0000 150</t>
  </si>
  <si>
    <t>2 02 35120 00 0000 150</t>
  </si>
  <si>
    <t>Доходы от оказания платных услуг и компенсации затрат государства*</t>
  </si>
  <si>
    <t>10700</t>
  </si>
  <si>
    <t>2 02 40000 00 0000 150</t>
  </si>
  <si>
    <t>2022 год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</si>
  <si>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</si>
  <si>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</si>
  <si>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</si>
  <si>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</si>
  <si>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</si>
  <si>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</si>
  <si>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</si>
  <si>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</si>
  <si>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</si>
  <si>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</si>
  <si>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</si>
  <si>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</si>
  <si>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</si>
  <si>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</si>
  <si>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</si>
  <si>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</si>
  <si>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</si>
  <si>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 xml:space="preserve"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 </t>
  </si>
  <si>
    <t>муниципальные дошкольные образовательные организации, общеобразовательные организации, организации дополнительного   образования (в области образования)</t>
  </si>
  <si>
    <t xml:space="preserve">субсидии на участие в профилактике терроризма в части обеспечения инженерно-технической защищенности муниципальных образовательных организаций
</t>
  </si>
  <si>
    <t>925</t>
  </si>
  <si>
    <t>1 06 02000 02 0000 110</t>
  </si>
  <si>
    <t>Налог на имущество организаций*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</si>
  <si>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</si>
  <si>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Профилактика терроризма</t>
  </si>
  <si>
    <t>S0460</t>
  </si>
  <si>
    <t>Иные межбюджетные трансферты бюджетам бюджетной системы Российской Федерации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</si>
  <si>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</si>
  <si>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</si>
  <si>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</si>
  <si>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</si>
  <si>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</si>
  <si>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</si>
  <si>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Муниципальная программа муниципального образования Апшеронский район «Развитие образования»</t>
  </si>
  <si>
    <t>Обеспечение условий для развития физической культуры и массового спорта в части оплаты труда инструкторов по спорту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</si>
  <si>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</si>
  <si>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</si>
  <si>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</si>
  <si>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</si>
  <si>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</si>
  <si>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</si>
  <si>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</si>
  <si>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</si>
  <si>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</si>
  <si>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</si>
  <si>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</si>
  <si>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</si>
  <si>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</si>
  <si>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</si>
  <si>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</si>
  <si>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</si>
  <si>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</si>
  <si>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</si>
  <si>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</si>
  <si>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</si>
  <si>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Обслуживание государственного (муниципального) внутреннего долга</t>
  </si>
  <si>
    <t>2023 год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</si>
  <si>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</si>
  <si>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</si>
  <si>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</si>
  <si>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</si>
  <si>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организацию газоснабжения населения (поселений) (строительство подводящих газопроводов, 
распределительных газопроводов)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</si>
  <si>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</si>
  <si>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</si>
  <si>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</si>
  <si>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</si>
  <si>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</si>
  <si>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</si>
  <si>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</si>
  <si>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</si>
  <si>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</si>
  <si>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</si>
  <si>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</si>
  <si>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</si>
  <si>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</si>
  <si>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</si>
  <si>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</si>
  <si>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</si>
  <si>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</si>
  <si>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</si>
  <si>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</si>
  <si>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</si>
  <si>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</si>
  <si>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</si>
  <si>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</si>
  <si>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</si>
  <si>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</si>
  <si>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</si>
  <si>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</si>
  <si>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</si>
  <si>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Переселение граждан из аварийного жилищного фонда</t>
  </si>
  <si>
    <t>8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</si>
  <si>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</si>
  <si>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</si>
  <si>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</si>
  <si>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</si>
  <si>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</si>
  <si>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</si>
  <si>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</si>
  <si>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</si>
  <si>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</si>
  <si>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</si>
  <si>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</si>
  <si>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</si>
  <si>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</si>
  <si>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</si>
  <si>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</si>
  <si>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</si>
  <si>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</si>
  <si>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</si>
  <si>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</si>
  <si>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</si>
  <si>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</si>
  <si>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</si>
  <si>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</si>
  <si>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</si>
  <si>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</si>
  <si>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</si>
  <si>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Организация газоснабжения населения (поселений) (строительство подводящих газопроводов, распределительных газопроводов)</t>
  </si>
  <si>
    <t>субсидии на защиту населения и территории муниципального образования от чрезвычайных ситуаций природного характера на объектах туристского показа, находящихся в муниципальной собственности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</si>
  <si>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а также по созданию условий для развития местного традиционного народного художественного творчества, участию в сохранении, возрождении и развитии народных художественных промыслов в поселении, городском округе либо по созданию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</si>
  <si>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S0470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</si>
  <si>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</si>
  <si>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11190</t>
  </si>
  <si>
    <t>Обеспечение прочих мероприятий по благоустройству</t>
  </si>
  <si>
    <t xml:space="preserve">Прочие мероприятия по благоустройству </t>
  </si>
  <si>
    <t>Объем поступлений доходов в районный бюджет по кодам видов (подвидов) доходов на 2022 год и плановый период 2023 и 2024 годов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</si>
  <si>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2022 год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</si>
  <si>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год и плановый период 2023 и 2024 годов</t>
  </si>
  <si>
    <t>2024 год</t>
  </si>
  <si>
    <t>классификации расходов бюджетов на 2022 год и плановый период 2023 и 2024 годов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</si>
  <si>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</si>
  <si>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2 02 35303 00 0000 150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</si>
  <si>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</si>
  <si>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</si>
  <si>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</si>
  <si>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Объем межбюджетных трансфертов, предоставляемых другим бюджетам бюджетной системы Российской Федерации, на 2022 год и плановый период 2023 и 2024 годов</t>
  </si>
  <si>
    <t>субсидии на участие в профилактике терроризма в части обеспечения инженерно-технической защищенности муниципальных образовательных организаций</t>
  </si>
  <si>
    <t>Ведомственная структура расходов районного бюджета на 2022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</si>
  <si>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и 2024 годы</t>
  </si>
  <si>
    <t>Ведомственная структура расходов районного бюджета на 2023 и 2024 годы</t>
  </si>
  <si>
    <t xml:space="preserve">                                Приложение 1 к решению Совета муниципального образования</t>
  </si>
  <si>
    <t xml:space="preserve">                                Приложение 2 к решению Совета муниципального образования</t>
  </si>
  <si>
    <t xml:space="preserve">                                Приложение 3 к решению Совета муниципального образования</t>
  </si>
  <si>
    <t xml:space="preserve">                                Приложение 4 к решению Совета муниципального образования</t>
  </si>
  <si>
    <t xml:space="preserve">                                Приложение 6 к решению Совета муниципального образования</t>
  </si>
  <si>
    <t xml:space="preserve">                                Приложение 7 к решению Совета муниципального образования</t>
  </si>
  <si>
    <t xml:space="preserve">                                Приложение 8 к решению Совета муниципального образования</t>
  </si>
  <si>
    <t xml:space="preserve">                                Приложение 9 к решению Совета муниципального образования</t>
  </si>
  <si>
    <t xml:space="preserve">                                Приложение 10 к решению Совета муниципального образования</t>
  </si>
  <si>
    <t xml:space="preserve">                                Приложение 11 к решению Совета муниципального образования</t>
  </si>
  <si>
    <t xml:space="preserve">                                Приложение 12 к решению Совета муниципального образования</t>
  </si>
  <si>
    <t>6748S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</si>
  <si>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</si>
  <si>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</si>
  <si>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0501</t>
  </si>
  <si>
    <t>Мероприятия по профилактике детского дорожно-транспортного травматизма в муниципальных образовательных учреждениях</t>
  </si>
  <si>
    <t>10220</t>
  </si>
  <si>
    <t>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</si>
  <si>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</si>
  <si>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________________________</t>
  </si>
  <si>
    <t>S3350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</si>
  <si>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</si>
  <si>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Защита населения и территории муниципальных образований от чрезвычайных ситуаций природного характера на объектах туристского показа, находящихся в муниципальной собственности</t>
  </si>
  <si>
    <t>10830</t>
  </si>
  <si>
    <t>Внесение вкладов в имущество</t>
  </si>
  <si>
    <t>Внесение вкладов в имущество ООО "Тепловые сети Апшеронского района"</t>
  </si>
  <si>
    <t>до изменений (скрыть)</t>
  </si>
  <si>
    <t>10230</t>
  </si>
  <si>
    <t>Обеспечение функционирования системы персонифицированного финансирования дополнительного образования детей</t>
  </si>
  <si>
    <t>0705</t>
  </si>
  <si>
    <t>Профессиональная подготовка, переподготовка и повышение квалификации</t>
  </si>
  <si>
    <t>10240</t>
  </si>
  <si>
    <t>Мероприятия по переподготовке и повышению квалификации кадров</t>
  </si>
  <si>
    <t>субсидии на строительство, реконструкцию (в том числе реконструкцию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</si>
  <si>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</si>
  <si>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</si>
  <si>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S0640</t>
  </si>
  <si>
    <t>субсидии на 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</si>
  <si>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</si>
  <si>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субсидии на подготовку изменений в генеральные планы муниципальных образований Краснодарского края</t>
  </si>
  <si>
    <t>S2560</t>
  </si>
  <si>
    <t>Подготовка изменений в генеральные планы муниципальных образований Краснодарского края</t>
  </si>
  <si>
    <t>69200</t>
  </si>
  <si>
    <t>69180</t>
  </si>
  <si>
    <t>69190</t>
  </si>
  <si>
    <t>69100</t>
  </si>
  <si>
    <t>69130</t>
  </si>
  <si>
    <t>69110</t>
  </si>
  <si>
    <t>69140</t>
  </si>
  <si>
    <t>69170</t>
  </si>
  <si>
    <t>S3550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</si>
  <si>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</si>
  <si>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субвенции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</si>
  <si>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63540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</si>
  <si>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</si>
  <si>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</si>
  <si>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S3410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</si>
  <si>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</si>
  <si>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</si>
  <si>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</si>
  <si>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</si>
  <si>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</si>
  <si>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Апшеронский район от 23.12.2021 № 89</t>
  </si>
  <si>
    <t>Единая субвенция местным бюджетам из бюджета субъекта Российской Федерации</t>
  </si>
  <si>
    <t>2 02 36900 00 0000 150</t>
  </si>
  <si>
    <t>2 02 36900 05 0000 150</t>
  </si>
  <si>
    <t>Единая субвенция бюджетам муниципальных районов из бюджета субъекта Российской Федерации</t>
  </si>
  <si>
    <t xml:space="preserve">                                Приложение 5 к решению Совета муниципального образования</t>
  </si>
  <si>
    <t>изменения</t>
  </si>
  <si>
    <t>с учетом изменений</t>
  </si>
  <si>
    <t>Реализация мероприятий по газификации населенных пунктов поселений муниципального образования Апшеронский район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</si>
  <si>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</si>
  <si>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</si>
  <si>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</si>
  <si>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Содействие развитию физической культуры и спорта</t>
  </si>
  <si>
    <t>Реализация мероприятий в области строительства, архитектуры и градостроительства</t>
  </si>
  <si>
    <t>11420</t>
  </si>
  <si>
    <t>12200</t>
  </si>
  <si>
    <t>Реализация мероприятий по переселению граждан из аварийного жилищного фонда</t>
  </si>
  <si>
    <t xml:space="preserve">Реализация мероприятий муниципальной программы "Развитие топливно-энергетического комплекса и жилищно-коммунального хозяйства" </t>
  </si>
  <si>
    <t>Прочие межбюджетные трансферты общего характера</t>
  </si>
  <si>
    <t>98</t>
  </si>
  <si>
    <t>90020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</si>
  <si>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(неотложных расходов)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</si>
  <si>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не относящиеся к публичным нормативным обязательствам</t>
  </si>
  <si>
    <t>Проектно-изыскательские работы по объекту: «Строительство подводящего водопровода к станице Нижегородской Апшеронского района Краснодарского края»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</si>
  <si>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</t>
  </si>
  <si>
    <t>Проектно-изыскательские работы по объекту: «Строительство подводящего водопровода к хутору Гуамка Апшеронского района Краснодарского края»</t>
  </si>
  <si>
    <t>Текущий ремонт пешеходного моста (подвесного) ст. Нижегородской по ул. Заречной</t>
  </si>
  <si>
    <t>Текущий ремонт (устранение дефектов и устройство ремонтного слоя) покрытия автомобильной дороги Подольское шоссе (от улицы Первомайской дома № 27 до кладбища и вдоль кладбища хутора Подольский) Нефтегорского городского поселения Апшеронского района</t>
  </si>
  <si>
    <t>Формирование земельного участка с постановкой на государственный кадастровый учет и выполнение технического плана по объекту сооружений дорожного транспорта, расположенного по адресу: Краснодарский край, Апшеронский район, поселок Отдаленный, ул. Коммунаров, ул. Буденного, ул. Клубная</t>
  </si>
  <si>
    <t>Формирование земельного участка, расположенного по адресу: Краснодарский край, Апшеронский район, село Тубы, ул. Клубная, 25</t>
  </si>
  <si>
    <t>Формирование земельного участка, расположенного по адресу: Краснодарский край, Апшеронский район, поселок Новый Режет, ул. Железнодорожная, 1</t>
  </si>
  <si>
    <t>Озеленение территории городского парка культуры и отдыха «Юность» в г. Апшеронске</t>
  </si>
  <si>
    <t>L5190</t>
  </si>
  <si>
    <t>Государственная поддержка отрасли культуры</t>
  </si>
  <si>
    <t>2 02 25519 05 0000 150</t>
  </si>
  <si>
    <t>2 02 25519 00 0000 150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</si>
  <si>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</si>
  <si>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</si>
  <si>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</t>
  </si>
  <si>
    <t>Построение и развитие АПК "Безопасный город" и системы "112"</t>
  </si>
  <si>
    <t>Иные межбюджетные трансферты на поддержку мер по обеспечению сбалансированности бюджетов поселений</t>
  </si>
  <si>
    <t>10720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</si>
  <si>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</si>
  <si>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</si>
  <si>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</si>
  <si>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S3570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</si>
  <si>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 сирот и детей, оставшихся без попечения родителей, лиц из числа детей сирот и детей, оставшихся без попечения родителей, лиц, относившихся к категории детей сирот и детей, оставшихся без попечения родителей, подлежащих обеспечению жилыми помещениями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</si>
  <si>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</si>
  <si>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</si>
  <si>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</si>
  <si>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</si>
  <si>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</si>
  <si>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62980</t>
  </si>
  <si>
    <t>Дополнительная помощь местным бюджетам для решения социально значимых вопросов местного значения</t>
  </si>
  <si>
    <t>Устройство бетонного основания для спортивной игровой площадки в пос. Новые Поляны по ул. Кирова</t>
  </si>
  <si>
    <t>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«Независимая энергосбытовая компания Краснодарского края»</t>
  </si>
  <si>
    <t>Текущий ремонт автомобильной дороги по ул. К. Маркса от ул. Ленина до ул. Комсомольской в г. Хадыженске</t>
  </si>
  <si>
    <t>Проектно-изыскательские работы по объекту «Реконструкция автомобильного моста х. Травалев, ул. Чкалова (через р. Хадажка)»</t>
  </si>
  <si>
    <t>27000</t>
  </si>
  <si>
    <t>Организация подвоза обучающихся, проживающих на территории Туапсинского района</t>
  </si>
  <si>
    <t>2 02 29900 00 0000 150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</si>
  <si>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</si>
  <si>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2 02 29900 05 0000 150</t>
  </si>
  <si>
    <t>Субсидии бюджетам муниципальных районов из местных бюджетов</t>
  </si>
  <si>
    <t>11860</t>
  </si>
  <si>
    <t>Содержание муниципального архива</t>
  </si>
  <si>
    <t>Безвозмездные поступления от других бюджетов бюджетной системы Российской Федерации в 2022 году</t>
  </si>
  <si>
    <t>Безвозмездные поступления от других бюджетов бюджетной системы Российской Федерации в 2023 и 2024 годах</t>
  </si>
  <si>
    <t>субсидии бюджету муниципального образования Апшеронский район в целях финансирования расходных обязательств,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обратно, в соответствии с заключенными соглашениями</t>
  </si>
  <si>
    <t>Обустройство пожарного водоема в ст. Лесогорской Тверского сельского поселения Апшеронского района</t>
  </si>
  <si>
    <t>Капитальный ремонт кровли здания Сельский дом культуры, поселок Отдаленный, ул. Клубная, 13</t>
  </si>
  <si>
    <t>Приобретение покрытия из резиновой крошки в качестве основания для спортивно-досуговой площадки с учетом его монтажа в пос. Новые Поляны по ул. Кирова</t>
  </si>
  <si>
    <t>Формирование земельного участка, в том числе выполнение схемы расположения земельного участка, установление границ, подготовку межевого плана для формирования зоны особо охраняемой природной территории местного значения «Припшехский лес» в границах Апшеронского городского поселения</t>
  </si>
  <si>
    <t>18</t>
  </si>
  <si>
    <t>Поддержка местных инициатив по итогам краевого конкурса</t>
  </si>
  <si>
    <t>62950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</si>
  <si>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</si>
  <si>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</si>
  <si>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</si>
  <si>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</si>
  <si>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S2440</t>
  </si>
  <si>
    <t>субсидии на создание условий для массового отдыха и организации обустройства мест массового отдыха в границах туристского кластера "Курджипский"</t>
  </si>
  <si>
    <t>субсидии на капитальный ремонт и ремонт автомобильных дорог общего пользования местного значения</t>
  </si>
  <si>
    <t>S3590</t>
  </si>
  <si>
    <t>Создание условий для массового отдыха и организации обустройства мест массового отдыха в границах туристского кластера "Курджипский"</t>
  </si>
  <si>
    <t>Капитальный ремонт и ремонт автомобильных дорог общего пользования местного значения</t>
  </si>
  <si>
    <t>муниципальные дошкольные образовательные организации, общеобразовательные организации, организации дополнительного образования (в области образования)</t>
  </si>
  <si>
    <t xml:space="preserve">Создание условий для массового отдыха и организации обустройства мест массового отдыха в границах туристского кластера "Курджипский" </t>
  </si>
  <si>
    <t>Апшеронский район от 28.07.2022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</si>
</sst>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0.00000"/>
    <numFmt numFmtId="169" formatCode="0.0_ ;[Red]\-0.0\ "/>
    <numFmt numFmtId="170" formatCode="#,##0.00000"/>
    <numFmt numFmtId="171" formatCode="0.000000"/>
    <numFmt numFmtId="172" formatCode="0.00000_ ;[Red]\-0.00000\ "/>
    <numFmt numFmtId="173" formatCode="_-* #,##0.00000_р_._-;\-* #,##0.00000_р_._-;_-* &quot;-&quot;?????_р_._-;_-@_-"/>
    <numFmt numFmtId="174" formatCode="0.000"/>
    <numFmt numFmtId="175" formatCode="#,##0.0_ ;\-#,##0.0\ "/>
    <numFmt numFmtId="176" formatCode="#,##0.0_ ;[Red]\-#,##0.0\ "/>
    <numFmt numFmtId="177" formatCode="0.0000"/>
  </numFmts>
  <fonts count="3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2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</font>
    <font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8A0000"/>
      <name val="Times New Roman"/>
      <family val="1"/>
    </font>
    <font>
      <sz val="14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4"/>
      <color rgb="FF8A0000"/>
      <name val="Calibri"/>
      <family val="2"/>
      <scheme val="minor"/>
    </font>
    <font>
      <sz val="14"/>
      <color theme="1"/>
      <name val="Times New Roman"/>
      <family val="1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/>
    <xf numFmtId="0" fontId="9" fillId="0" borderId="0"/>
    <xf numFmtId="164" fontId="17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17" fillId="0" borderId="0"/>
    <xf numFmtId="0" fontId="7" fillId="0" borderId="0"/>
    <xf numFmtId="43" fontId="17" fillId="0" borderId="0" applyFont="0" applyFill="0" applyBorder="0" applyAlignment="0" applyProtection="0"/>
  </cellStyleXfs>
  <cellXfs count="735">
    <xf numFmtId="0" fontId="0" fillId="0" borderId="0" xfId="0"/>
    <xf numFmtId="0" fontId="16" fillId="2" borderId="0" xfId="0" applyFont="1" applyFill="1"/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/>
    </xf>
    <xf numFmtId="168" fontId="16" fillId="2" borderId="0" xfId="0" applyNumberFormat="1" applyFont="1" applyFill="1" applyBorder="1" applyAlignment="1"/>
    <xf numFmtId="168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6" fontId="16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19" fillId="2" borderId="0" xfId="0" applyFont="1" applyFill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/>
    </xf>
    <xf numFmtId="49" fontId="10" fillId="2" borderId="0" xfId="7" applyNumberFormat="1" applyFont="1" applyFill="1" applyBorder="1" applyAlignment="1">
      <alignment vertical="top" wrapText="1"/>
    </xf>
    <xf numFmtId="49" fontId="11" fillId="2" borderId="0" xfId="7" applyNumberFormat="1" applyFont="1" applyFill="1" applyBorder="1" applyAlignment="1">
      <alignment horizontal="center"/>
    </xf>
    <xf numFmtId="166" fontId="4" fillId="2" borderId="0" xfId="7" applyNumberFormat="1" applyFont="1" applyFill="1" applyBorder="1" applyAlignment="1"/>
    <xf numFmtId="168" fontId="11" fillId="2" borderId="0" xfId="7" applyNumberFormat="1" applyFont="1" applyFill="1"/>
    <xf numFmtId="0" fontId="11" fillId="2" borderId="0" xfId="7" applyFont="1" applyFill="1"/>
    <xf numFmtId="0" fontId="3" fillId="2" borderId="0" xfId="7" applyFont="1" applyFill="1" applyAlignment="1">
      <alignment horizontal="left"/>
    </xf>
    <xf numFmtId="168" fontId="3" fillId="2" borderId="0" xfId="7" applyNumberFormat="1" applyFont="1" applyFill="1" applyAlignment="1">
      <alignment horizontal="right"/>
    </xf>
    <xf numFmtId="0" fontId="6" fillId="2" borderId="0" xfId="0" applyFont="1" applyFill="1"/>
    <xf numFmtId="166" fontId="4" fillId="2" borderId="0" xfId="0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center" vertical="top"/>
    </xf>
    <xf numFmtId="0" fontId="3" fillId="2" borderId="0" xfId="1" applyFont="1" applyFill="1"/>
    <xf numFmtId="49" fontId="3" fillId="2" borderId="0" xfId="5" applyNumberFormat="1" applyFont="1" applyFill="1" applyBorder="1" applyAlignment="1">
      <alignment horizontal="center" vertical="top" wrapText="1"/>
    </xf>
    <xf numFmtId="0" fontId="3" fillId="2" borderId="0" xfId="5" applyNumberFormat="1" applyFont="1" applyFill="1" applyBorder="1" applyAlignment="1">
      <alignment horizontal="left" wrapText="1"/>
    </xf>
    <xf numFmtId="166" fontId="3" fillId="2" borderId="0" xfId="5" applyNumberFormat="1" applyFont="1" applyFill="1" applyBorder="1" applyAlignment="1">
      <alignment horizontal="right" wrapText="1"/>
    </xf>
    <xf numFmtId="49" fontId="24" fillId="2" borderId="0" xfId="7" applyNumberFormat="1" applyFont="1" applyFill="1" applyBorder="1" applyAlignment="1">
      <alignment horizontal="center"/>
    </xf>
    <xf numFmtId="166" fontId="3" fillId="2" borderId="0" xfId="0" applyNumberFormat="1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 vertical="top"/>
    </xf>
    <xf numFmtId="0" fontId="3" fillId="2" borderId="0" xfId="7" applyFont="1" applyFill="1" applyAlignment="1">
      <alignment horizontal="left" vertical="top"/>
    </xf>
    <xf numFmtId="166" fontId="3" fillId="2" borderId="1" xfId="0" applyNumberFormat="1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horizontal="right" vertical="top"/>
    </xf>
    <xf numFmtId="166" fontId="3" fillId="2" borderId="1" xfId="1" applyNumberFormat="1" applyFont="1" applyFill="1" applyBorder="1" applyAlignment="1">
      <alignment vertical="top"/>
    </xf>
    <xf numFmtId="0" fontId="21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6" fontId="19" fillId="2" borderId="0" xfId="0" applyNumberFormat="1" applyFont="1" applyFill="1" applyBorder="1"/>
    <xf numFmtId="0" fontId="16" fillId="2" borderId="0" xfId="0" applyFont="1" applyFill="1" applyBorder="1"/>
    <xf numFmtId="166" fontId="3" fillId="2" borderId="0" xfId="0" applyNumberFormat="1" applyFont="1" applyFill="1" applyBorder="1"/>
    <xf numFmtId="166" fontId="16" fillId="2" borderId="0" xfId="0" applyNumberFormat="1" applyFont="1" applyFill="1" applyBorder="1"/>
    <xf numFmtId="0" fontId="8" fillId="2" borderId="0" xfId="7" applyFont="1" applyFill="1"/>
    <xf numFmtId="166" fontId="8" fillId="2" borderId="0" xfId="7" applyNumberFormat="1" applyFont="1" applyFill="1"/>
    <xf numFmtId="49" fontId="14" fillId="2" borderId="0" xfId="7" applyNumberFormat="1" applyFont="1" applyFill="1" applyBorder="1" applyAlignment="1">
      <alignment vertical="top" wrapText="1"/>
    </xf>
    <xf numFmtId="49" fontId="8" fillId="2" borderId="0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6" fontId="2" fillId="2" borderId="0" xfId="7" applyNumberFormat="1" applyFont="1" applyFill="1" applyBorder="1" applyAlignment="1"/>
    <xf numFmtId="168" fontId="1" fillId="2" borderId="0" xfId="7" applyNumberFormat="1" applyFont="1" applyFill="1" applyAlignment="1">
      <alignment horizontal="right"/>
    </xf>
    <xf numFmtId="166" fontId="2" fillId="2" borderId="1" xfId="0" applyNumberFormat="1" applyFont="1" applyFill="1" applyBorder="1" applyAlignment="1">
      <alignment horizontal="right" vertical="top"/>
    </xf>
    <xf numFmtId="0" fontId="3" fillId="2" borderId="0" xfId="5" applyFont="1" applyFill="1" applyBorder="1" applyAlignment="1">
      <alignment horizontal="left" vertical="top" wrapText="1"/>
    </xf>
    <xf numFmtId="166" fontId="3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4" fillId="2" borderId="0" xfId="0" applyFont="1" applyFill="1"/>
    <xf numFmtId="168" fontId="16" fillId="2" borderId="0" xfId="0" applyNumberFormat="1" applyFont="1" applyFill="1"/>
    <xf numFmtId="168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23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6" fontId="2" fillId="2" borderId="16" xfId="16" applyNumberFormat="1" applyFont="1" applyFill="1" applyBorder="1" applyAlignment="1">
      <alignment horizontal="right"/>
    </xf>
    <xf numFmtId="0" fontId="14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6" fontId="1" fillId="2" borderId="16" xfId="16" applyNumberFormat="1" applyFont="1" applyFill="1" applyBorder="1" applyAlignment="1">
      <alignment horizontal="right"/>
    </xf>
    <xf numFmtId="0" fontId="8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8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4" fillId="2" borderId="0" xfId="5" applyFont="1" applyFill="1"/>
    <xf numFmtId="166" fontId="10" fillId="2" borderId="0" xfId="0" applyNumberFormat="1" applyFont="1" applyFill="1"/>
    <xf numFmtId="166" fontId="11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168" fontId="8" fillId="2" borderId="0" xfId="7" applyNumberFormat="1" applyFont="1" applyFill="1"/>
    <xf numFmtId="0" fontId="18" fillId="2" borderId="0" xfId="0" applyFont="1" applyFill="1"/>
    <xf numFmtId="168" fontId="18" fillId="2" borderId="0" xfId="0" applyNumberFormat="1" applyFont="1" applyFill="1"/>
    <xf numFmtId="166" fontId="11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8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2" fontId="8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2" fontId="8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6" fontId="1" fillId="2" borderId="21" xfId="14" applyNumberFormat="1" applyFont="1" applyFill="1" applyBorder="1" applyAlignment="1">
      <alignment horizontal="right"/>
    </xf>
    <xf numFmtId="172" fontId="8" fillId="2" borderId="0" xfId="14" applyNumberFormat="1" applyFont="1" applyFill="1"/>
    <xf numFmtId="0" fontId="8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6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6" fontId="1" fillId="2" borderId="16" xfId="5" applyNumberFormat="1" applyFont="1" applyFill="1" applyBorder="1" applyAlignment="1">
      <alignment horizontal="right"/>
    </xf>
    <xf numFmtId="169" fontId="10" fillId="2" borderId="0" xfId="0" applyNumberFormat="1" applyFont="1" applyFill="1"/>
    <xf numFmtId="169" fontId="14" fillId="2" borderId="0" xfId="0" applyNumberFormat="1" applyFont="1" applyFill="1"/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0" fontId="23" fillId="2" borderId="0" xfId="0" applyFont="1" applyFill="1" applyBorder="1"/>
    <xf numFmtId="166" fontId="11" fillId="2" borderId="0" xfId="0" applyNumberFormat="1" applyFont="1" applyFill="1" applyBorder="1"/>
    <xf numFmtId="166" fontId="10" fillId="2" borderId="0" xfId="0" applyNumberFormat="1" applyFont="1" applyFill="1" applyBorder="1"/>
    <xf numFmtId="170" fontId="1" fillId="2" borderId="0" xfId="1" applyNumberFormat="1" applyFont="1" applyFill="1" applyAlignment="1">
      <alignment horizontal="right"/>
    </xf>
    <xf numFmtId="170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/>
    <xf numFmtId="167" fontId="2" fillId="2" borderId="1" xfId="10" applyNumberFormat="1" applyFont="1" applyFill="1" applyBorder="1" applyAlignment="1">
      <alignment vertical="top"/>
    </xf>
    <xf numFmtId="170" fontId="1" fillId="2" borderId="0" xfId="1" applyNumberFormat="1" applyFont="1" applyFill="1"/>
    <xf numFmtId="170" fontId="1" fillId="2" borderId="0" xfId="7" applyNumberFormat="1" applyFont="1" applyFill="1" applyBorder="1"/>
    <xf numFmtId="0" fontId="1" fillId="2" borderId="0" xfId="1" applyFont="1" applyFill="1"/>
    <xf numFmtId="167" fontId="1" fillId="2" borderId="1" xfId="1" applyNumberFormat="1" applyFont="1" applyFill="1" applyBorder="1" applyAlignment="1">
      <alignment horizontal="right" vertical="top"/>
    </xf>
    <xf numFmtId="49" fontId="26" fillId="2" borderId="0" xfId="7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6" fontId="1" fillId="2" borderId="23" xfId="16" applyNumberFormat="1" applyFont="1" applyFill="1" applyBorder="1" applyAlignment="1">
      <alignment horizontal="right"/>
    </xf>
    <xf numFmtId="166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6" fontId="3" fillId="2" borderId="1" xfId="3" applyNumberFormat="1" applyFont="1" applyFill="1" applyBorder="1" applyAlignment="1">
      <alignment horizontal="right" wrapText="1"/>
    </xf>
    <xf numFmtId="0" fontId="13" fillId="2" borderId="0" xfId="3" applyFont="1" applyFill="1"/>
    <xf numFmtId="2" fontId="16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6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0" fontId="3" fillId="2" borderId="1" xfId="5" applyFont="1" applyFill="1" applyBorder="1" applyAlignment="1">
      <alignment horizontal="left" vertical="top" wrapText="1"/>
    </xf>
    <xf numFmtId="49" fontId="1" fillId="2" borderId="3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vertical="top" wrapText="1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2" fillId="2" borderId="0" xfId="1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0" xfId="3" applyFont="1" applyFill="1"/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6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6" fontId="2" fillId="2" borderId="1" xfId="3" applyNumberFormat="1" applyFont="1" applyFill="1" applyBorder="1" applyAlignment="1"/>
    <xf numFmtId="0" fontId="13" fillId="2" borderId="1" xfId="3" applyFont="1" applyFill="1" applyBorder="1" applyAlignment="1">
      <alignment vertical="top"/>
    </xf>
    <xf numFmtId="166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70" fontId="1" fillId="2" borderId="0" xfId="7" applyNumberFormat="1" applyFont="1" applyFill="1" applyBorder="1" applyAlignment="1">
      <alignment horizontal="right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175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center" vertical="top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5" fontId="1" fillId="2" borderId="0" xfId="3" applyNumberFormat="1" applyFont="1" applyFill="1" applyBorder="1" applyAlignment="1"/>
    <xf numFmtId="166" fontId="4" fillId="2" borderId="1" xfId="7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74" fontId="19" fillId="2" borderId="0" xfId="0" applyNumberFormat="1" applyFont="1" applyFill="1"/>
    <xf numFmtId="166" fontId="19" fillId="2" borderId="0" xfId="0" applyNumberFormat="1" applyFont="1" applyFill="1"/>
    <xf numFmtId="166" fontId="2" fillId="2" borderId="1" xfId="19" applyNumberFormat="1" applyFont="1" applyFill="1" applyBorder="1" applyAlignment="1">
      <alignment horizontal="right" vertical="top"/>
    </xf>
    <xf numFmtId="166" fontId="1" fillId="2" borderId="1" xfId="19" applyNumberFormat="1" applyFont="1" applyFill="1" applyBorder="1" applyAlignment="1">
      <alignment horizontal="right"/>
    </xf>
    <xf numFmtId="166" fontId="1" fillId="2" borderId="23" xfId="14" applyNumberFormat="1" applyFont="1" applyFill="1" applyBorder="1" applyAlignment="1">
      <alignment horizontal="right"/>
    </xf>
    <xf numFmtId="166" fontId="1" fillId="2" borderId="1" xfId="16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66" fontId="1" fillId="2" borderId="21" xfId="16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1" xfId="0" applyFont="1" applyFill="1" applyBorder="1" applyAlignment="1">
      <alignment vertical="top"/>
    </xf>
    <xf numFmtId="166" fontId="4" fillId="2" borderId="1" xfId="0" applyNumberFormat="1" applyFont="1" applyFill="1" applyBorder="1" applyAlignment="1">
      <alignment vertical="top"/>
    </xf>
    <xf numFmtId="0" fontId="1" fillId="2" borderId="1" xfId="1" applyFont="1" applyFill="1" applyBorder="1" applyAlignment="1">
      <alignment wrapText="1"/>
    </xf>
    <xf numFmtId="166" fontId="3" fillId="2" borderId="0" xfId="19" applyNumberFormat="1" applyFont="1" applyFill="1" applyAlignment="1">
      <alignment horizontal="right"/>
    </xf>
    <xf numFmtId="166" fontId="1" fillId="2" borderId="0" xfId="7" applyNumberFormat="1" applyFont="1" applyFill="1" applyAlignment="1">
      <alignment horizontal="right"/>
    </xf>
    <xf numFmtId="166" fontId="20" fillId="2" borderId="1" xfId="0" applyNumberFormat="1" applyFont="1" applyFill="1" applyBorder="1"/>
    <xf numFmtId="2" fontId="11" fillId="2" borderId="1" xfId="0" applyNumberFormat="1" applyFont="1" applyFill="1" applyBorder="1"/>
    <xf numFmtId="177" fontId="11" fillId="2" borderId="1" xfId="0" applyNumberFormat="1" applyFont="1" applyFill="1" applyBorder="1"/>
    <xf numFmtId="0" fontId="1" fillId="2" borderId="0" xfId="7" applyFont="1" applyFill="1"/>
    <xf numFmtId="166" fontId="1" fillId="2" borderId="19" xfId="16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21" xfId="16" applyFont="1" applyFill="1" applyBorder="1" applyAlignment="1">
      <alignment horizontal="center" vertical="top"/>
    </xf>
    <xf numFmtId="49" fontId="1" fillId="2" borderId="32" xfId="16" applyNumberFormat="1" applyFont="1" applyFill="1" applyBorder="1" applyAlignment="1">
      <alignment horizontal="center"/>
    </xf>
    <xf numFmtId="49" fontId="1" fillId="2" borderId="23" xfId="11" applyNumberFormat="1" applyFont="1" applyFill="1" applyBorder="1" applyAlignment="1">
      <alignment horizontal="center"/>
    </xf>
    <xf numFmtId="49" fontId="1" fillId="2" borderId="22" xfId="16" applyNumberFormat="1" applyFont="1" applyFill="1" applyBorder="1" applyAlignment="1">
      <alignment wrapText="1"/>
    </xf>
    <xf numFmtId="49" fontId="1" fillId="2" borderId="21" xfId="12" applyNumberFormat="1" applyFont="1" applyFill="1" applyBorder="1" applyAlignment="1">
      <alignment horizontal="center" wrapText="1"/>
    </xf>
    <xf numFmtId="49" fontId="1" fillId="2" borderId="21" xfId="12" applyNumberFormat="1" applyFont="1" applyFill="1" applyBorder="1" applyAlignment="1">
      <alignment horizontal="center"/>
    </xf>
    <xf numFmtId="49" fontId="1" fillId="2" borderId="31" xfId="12" applyNumberFormat="1" applyFont="1" applyFill="1" applyBorder="1" applyAlignment="1">
      <alignment horizontal="center"/>
    </xf>
    <xf numFmtId="49" fontId="1" fillId="2" borderId="34" xfId="12" applyNumberFormat="1" applyFont="1" applyFill="1" applyBorder="1" applyAlignment="1">
      <alignment horizontal="center"/>
    </xf>
    <xf numFmtId="49" fontId="1" fillId="2" borderId="22" xfId="12" applyNumberFormat="1" applyFont="1" applyFill="1" applyBorder="1" applyAlignment="1">
      <alignment horizontal="center"/>
    </xf>
    <xf numFmtId="49" fontId="1" fillId="2" borderId="1" xfId="16" applyNumberFormat="1" applyFont="1" applyFill="1" applyBorder="1" applyAlignment="1">
      <alignment wrapText="1"/>
    </xf>
    <xf numFmtId="166" fontId="1" fillId="2" borderId="33" xfId="16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3" fillId="2" borderId="0" xfId="3" applyFont="1" applyFill="1"/>
    <xf numFmtId="168" fontId="3" fillId="2" borderId="0" xfId="3" applyNumberFormat="1" applyFont="1" applyFill="1"/>
    <xf numFmtId="170" fontId="3" fillId="2" borderId="0" xfId="1" applyNumberFormat="1" applyFont="1" applyFill="1" applyAlignment="1">
      <alignment horizontal="right"/>
    </xf>
    <xf numFmtId="0" fontId="3" fillId="2" borderId="1" xfId="3" applyFont="1" applyFill="1" applyBorder="1"/>
    <xf numFmtId="0" fontId="4" fillId="2" borderId="1" xfId="3" applyFont="1" applyFill="1" applyBorder="1" applyAlignment="1"/>
    <xf numFmtId="166" fontId="4" fillId="2" borderId="1" xfId="10" applyNumberFormat="1" applyFont="1" applyFill="1" applyBorder="1" applyAlignment="1">
      <alignment horizontal="right" wrapText="1"/>
    </xf>
    <xf numFmtId="166" fontId="3" fillId="2" borderId="0" xfId="3" applyNumberFormat="1" applyFont="1" applyFill="1"/>
    <xf numFmtId="0" fontId="3" fillId="2" borderId="1" xfId="3" applyFont="1" applyFill="1" applyBorder="1" applyAlignment="1">
      <alignment horizontal="left"/>
    </xf>
    <xf numFmtId="49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0" fontId="4" fillId="2" borderId="0" xfId="3" applyFont="1" applyFill="1"/>
    <xf numFmtId="0" fontId="4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/>
    <xf numFmtId="49" fontId="4" fillId="2" borderId="1" xfId="7" applyNumberFormat="1" applyFont="1" applyFill="1" applyBorder="1" applyAlignment="1">
      <alignment horizontal="left" wrapText="1"/>
    </xf>
    <xf numFmtId="166" fontId="4" fillId="2" borderId="1" xfId="3" applyNumberFormat="1" applyFont="1" applyFill="1" applyBorder="1" applyAlignment="1"/>
    <xf numFmtId="0" fontId="3" fillId="2" borderId="1" xfId="3" applyFont="1" applyFill="1" applyBorder="1" applyAlignment="1">
      <alignment vertical="top"/>
    </xf>
    <xf numFmtId="166" fontId="3" fillId="2" borderId="1" xfId="3" applyNumberFormat="1" applyFont="1" applyFill="1" applyBorder="1" applyAlignment="1"/>
    <xf numFmtId="0" fontId="25" fillId="2" borderId="1" xfId="3" applyFont="1" applyFill="1" applyBorder="1"/>
    <xf numFmtId="49" fontId="4" fillId="2" borderId="0" xfId="7" applyNumberFormat="1" applyFont="1" applyFill="1" applyBorder="1" applyAlignment="1">
      <alignment vertical="top" wrapText="1"/>
    </xf>
    <xf numFmtId="49" fontId="3" fillId="2" borderId="0" xfId="7" applyNumberFormat="1" applyFont="1" applyFill="1" applyBorder="1" applyAlignment="1">
      <alignment horizontal="center"/>
    </xf>
    <xf numFmtId="168" fontId="3" fillId="2" borderId="0" xfId="7" applyNumberFormat="1" applyFont="1" applyFill="1"/>
    <xf numFmtId="0" fontId="3" fillId="2" borderId="0" xfId="7" applyFont="1" applyFill="1"/>
    <xf numFmtId="0" fontId="3" fillId="2" borderId="1" xfId="3" applyFont="1" applyFill="1" applyBorder="1" applyAlignment="1">
      <alignment horizontal="center"/>
    </xf>
    <xf numFmtId="49" fontId="2" fillId="2" borderId="0" xfId="7" applyNumberFormat="1" applyFont="1" applyFill="1" applyBorder="1" applyAlignment="1">
      <alignment vertical="top" wrapText="1"/>
    </xf>
    <xf numFmtId="175" fontId="3" fillId="2" borderId="15" xfId="0" applyNumberFormat="1" applyFont="1" applyFill="1" applyBorder="1"/>
    <xf numFmtId="175" fontId="3" fillId="2" borderId="15" xfId="0" applyNumberFormat="1" applyFont="1" applyFill="1" applyBorder="1" applyAlignment="1">
      <alignment vertical="top"/>
    </xf>
    <xf numFmtId="175" fontId="3" fillId="2" borderId="14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 vertical="top"/>
    </xf>
    <xf numFmtId="167" fontId="1" fillId="2" borderId="1" xfId="0" applyNumberFormat="1" applyFont="1" applyFill="1" applyBorder="1" applyAlignment="1">
      <alignment horizontal="right" vertical="top"/>
    </xf>
    <xf numFmtId="0" fontId="11" fillId="2" borderId="0" xfId="7" applyFont="1" applyFill="1" applyAlignment="1">
      <alignment wrapText="1"/>
    </xf>
    <xf numFmtId="0" fontId="11" fillId="2" borderId="0" xfId="7" applyFont="1" applyFill="1" applyAlignment="1"/>
    <xf numFmtId="175" fontId="1" fillId="2" borderId="12" xfId="19" applyNumberFormat="1" applyFont="1" applyFill="1" applyBorder="1" applyAlignment="1">
      <alignment vertical="top"/>
    </xf>
    <xf numFmtId="175" fontId="3" fillId="2" borderId="12" xfId="0" applyNumberFormat="1" applyFont="1" applyFill="1" applyBorder="1"/>
    <xf numFmtId="175" fontId="3" fillId="2" borderId="12" xfId="0" applyNumberFormat="1" applyFont="1" applyFill="1" applyBorder="1" applyAlignment="1">
      <alignment vertical="top"/>
    </xf>
    <xf numFmtId="175" fontId="3" fillId="2" borderId="13" xfId="0" applyNumberFormat="1" applyFont="1" applyFill="1" applyBorder="1" applyAlignment="1">
      <alignment vertical="top"/>
    </xf>
    <xf numFmtId="0" fontId="4" fillId="2" borderId="6" xfId="3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 wrapText="1"/>
    </xf>
    <xf numFmtId="175" fontId="4" fillId="2" borderId="12" xfId="13" applyNumberFormat="1" applyFont="1" applyFill="1" applyBorder="1" applyAlignment="1">
      <alignment horizontal="right" vertical="center"/>
    </xf>
    <xf numFmtId="175" fontId="3" fillId="2" borderId="12" xfId="13" applyNumberFormat="1" applyFont="1" applyFill="1" applyBorder="1" applyAlignment="1">
      <alignment horizontal="right" vertical="center"/>
    </xf>
    <xf numFmtId="175" fontId="3" fillId="2" borderId="13" xfId="13" applyNumberFormat="1" applyFont="1" applyFill="1" applyBorder="1" applyAlignment="1">
      <alignment horizontal="right" vertical="center"/>
    </xf>
    <xf numFmtId="175" fontId="4" fillId="2" borderId="8" xfId="13" applyNumberFormat="1" applyFont="1" applyFill="1" applyBorder="1" applyAlignment="1">
      <alignment horizontal="right" vertical="center"/>
    </xf>
    <xf numFmtId="175" fontId="4" fillId="2" borderId="11" xfId="13" applyNumberFormat="1" applyFont="1" applyFill="1" applyBorder="1" applyAlignment="1">
      <alignment horizontal="right" vertical="center"/>
    </xf>
    <xf numFmtId="175" fontId="3" fillId="2" borderId="11" xfId="13" applyNumberFormat="1" applyFont="1" applyFill="1" applyBorder="1" applyAlignment="1">
      <alignment horizontal="right" vertical="center"/>
    </xf>
    <xf numFmtId="175" fontId="3" fillId="2" borderId="10" xfId="13" applyNumberFormat="1" applyFont="1" applyFill="1" applyBorder="1" applyAlignment="1">
      <alignment horizontal="right" vertical="center"/>
    </xf>
    <xf numFmtId="175" fontId="3" fillId="2" borderId="11" xfId="0" applyNumberFormat="1" applyFont="1" applyFill="1" applyBorder="1"/>
    <xf numFmtId="175" fontId="3" fillId="2" borderId="11" xfId="0" applyNumberFormat="1" applyFont="1" applyFill="1" applyBorder="1" applyAlignment="1">
      <alignment vertical="top"/>
    </xf>
    <xf numFmtId="175" fontId="1" fillId="2" borderId="11" xfId="19" applyNumberFormat="1" applyFont="1" applyFill="1" applyBorder="1" applyAlignment="1">
      <alignment vertical="top"/>
    </xf>
    <xf numFmtId="175" fontId="3" fillId="2" borderId="10" xfId="0" applyNumberFormat="1" applyFont="1" applyFill="1" applyBorder="1" applyAlignment="1">
      <alignment vertical="top"/>
    </xf>
    <xf numFmtId="0" fontId="1" fillId="2" borderId="7" xfId="1" applyFont="1" applyFill="1" applyBorder="1" applyAlignment="1">
      <alignment vertical="top"/>
    </xf>
    <xf numFmtId="0" fontId="2" fillId="2" borderId="7" xfId="7" applyFont="1" applyFill="1" applyBorder="1" applyAlignment="1">
      <alignment vertical="top" wrapText="1"/>
    </xf>
    <xf numFmtId="167" fontId="2" fillId="2" borderId="7" xfId="10" applyNumberFormat="1" applyFont="1" applyFill="1" applyBorder="1" applyAlignment="1">
      <alignment vertical="top"/>
    </xf>
    <xf numFmtId="166" fontId="6" fillId="2" borderId="1" xfId="1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5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3" xfId="8" applyNumberFormat="1" applyFont="1" applyFill="1" applyBorder="1" applyAlignment="1">
      <alignment wrapText="1"/>
    </xf>
    <xf numFmtId="49" fontId="1" fillId="2" borderId="19" xfId="4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/>
    <xf numFmtId="49" fontId="1" fillId="2" borderId="18" xfId="5" applyNumberFormat="1" applyFont="1" applyFill="1" applyBorder="1" applyAlignment="1">
      <alignment wrapText="1"/>
    </xf>
    <xf numFmtId="49" fontId="1" fillId="2" borderId="1" xfId="11" applyNumberFormat="1" applyFont="1" applyFill="1" applyBorder="1" applyAlignment="1">
      <alignment horizontal="center" wrapText="1"/>
    </xf>
    <xf numFmtId="49" fontId="1" fillId="2" borderId="1" xfId="11" applyNumberFormat="1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166" fontId="11" fillId="2" borderId="0" xfId="7" applyNumberFormat="1" applyFont="1" applyFill="1"/>
    <xf numFmtId="0" fontId="11" fillId="2" borderId="0" xfId="7" applyFont="1" applyFill="1" applyBorder="1" applyAlignment="1">
      <alignment horizontal="center" vertical="top"/>
    </xf>
    <xf numFmtId="168" fontId="3" fillId="2" borderId="0" xfId="7" applyNumberFormat="1" applyFont="1" applyFill="1" applyBorder="1" applyAlignment="1">
      <alignment horizontal="right"/>
    </xf>
    <xf numFmtId="168" fontId="3" fillId="2" borderId="1" xfId="3" applyNumberFormat="1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top" wrapText="1"/>
    </xf>
    <xf numFmtId="0" fontId="3" fillId="2" borderId="1" xfId="7" applyFont="1" applyFill="1" applyBorder="1" applyAlignment="1">
      <alignment horizontal="center" vertical="top"/>
    </xf>
    <xf numFmtId="49" fontId="4" fillId="2" borderId="1" xfId="7" applyNumberFormat="1" applyFont="1" applyFill="1" applyBorder="1" applyAlignment="1">
      <alignment horizontal="left" vertical="top" wrapText="1"/>
    </xf>
    <xf numFmtId="49" fontId="3" fillId="2" borderId="9" xfId="7" applyNumberFormat="1" applyFont="1" applyFill="1" applyBorder="1" applyAlignment="1">
      <alignment horizontal="center" vertical="top"/>
    </xf>
    <xf numFmtId="49" fontId="3" fillId="2" borderId="1" xfId="7" applyNumberFormat="1" applyFont="1" applyFill="1" applyBorder="1" applyAlignment="1">
      <alignment horizontal="center" vertical="top"/>
    </xf>
    <xf numFmtId="166" fontId="4" fillId="2" borderId="1" xfId="7" applyNumberFormat="1" applyFont="1" applyFill="1" applyBorder="1" applyAlignment="1">
      <alignment horizontal="right" vertical="top"/>
    </xf>
    <xf numFmtId="172" fontId="27" fillId="2" borderId="0" xfId="7" applyNumberFormat="1" applyFont="1" applyFill="1"/>
    <xf numFmtId="0" fontId="4" fillId="2" borderId="1" xfId="5" applyFont="1" applyFill="1" applyBorder="1" applyAlignment="1">
      <alignment horizontal="center" vertical="top"/>
    </xf>
    <xf numFmtId="49" fontId="4" fillId="2" borderId="4" xfId="7" applyNumberFormat="1" applyFont="1" applyFill="1" applyBorder="1" applyAlignment="1">
      <alignment horizontal="center"/>
    </xf>
    <xf numFmtId="49" fontId="4" fillId="2" borderId="10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horizontal="center"/>
    </xf>
    <xf numFmtId="0" fontId="10" fillId="2" borderId="0" xfId="7" applyFont="1" applyFill="1"/>
    <xf numFmtId="49" fontId="3" fillId="2" borderId="1" xfId="0" applyNumberFormat="1" applyFont="1" applyFill="1" applyBorder="1" applyAlignment="1">
      <alignment wrapText="1"/>
    </xf>
    <xf numFmtId="49" fontId="3" fillId="2" borderId="17" xfId="11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horizontal="center"/>
    </xf>
    <xf numFmtId="49" fontId="3" fillId="2" borderId="19" xfId="16" applyNumberFormat="1" applyFont="1" applyFill="1" applyBorder="1" applyAlignment="1">
      <alignment horizontal="center" wrapText="1"/>
    </xf>
    <xf numFmtId="49" fontId="3" fillId="2" borderId="16" xfId="16" applyNumberFormat="1" applyFont="1" applyFill="1" applyBorder="1" applyAlignment="1">
      <alignment horizontal="center"/>
    </xf>
    <xf numFmtId="49" fontId="3" fillId="2" borderId="19" xfId="11" applyNumberFormat="1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wrapText="1"/>
    </xf>
    <xf numFmtId="0" fontId="4" fillId="2" borderId="1" xfId="7" applyFont="1" applyFill="1" applyBorder="1" applyAlignment="1">
      <alignment horizontal="center" vertical="top"/>
    </xf>
    <xf numFmtId="49" fontId="4" fillId="2" borderId="9" xfId="7" applyNumberFormat="1" applyFont="1" applyFill="1" applyBorder="1" applyAlignment="1">
      <alignment horizontal="center"/>
    </xf>
    <xf numFmtId="49" fontId="4" fillId="2" borderId="3" xfId="7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3" xfId="5" applyNumberFormat="1" applyFont="1" applyFill="1" applyBorder="1" applyAlignment="1">
      <alignment horizontal="left" wrapText="1"/>
    </xf>
    <xf numFmtId="49" fontId="3" fillId="2" borderId="2" xfId="6" applyNumberFormat="1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3" xfId="6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center"/>
    </xf>
    <xf numFmtId="49" fontId="3" fillId="2" borderId="4" xfId="7" applyNumberFormat="1" applyFont="1" applyFill="1" applyBorder="1" applyAlignment="1">
      <alignment horizontal="center"/>
    </xf>
    <xf numFmtId="49" fontId="3" fillId="2" borderId="11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wrapText="1"/>
    </xf>
    <xf numFmtId="49" fontId="3" fillId="2" borderId="16" xfId="6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2" borderId="10" xfId="7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left" wrapText="1"/>
    </xf>
    <xf numFmtId="49" fontId="3" fillId="2" borderId="3" xfId="4" applyNumberFormat="1" applyFont="1" applyFill="1" applyBorder="1" applyAlignment="1" applyProtection="1">
      <alignment horizontal="left" wrapText="1"/>
      <protection hidden="1"/>
    </xf>
    <xf numFmtId="49" fontId="3" fillId="2" borderId="3" xfId="6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 applyProtection="1">
      <alignment horizontal="left" wrapText="1"/>
      <protection hidden="1"/>
    </xf>
    <xf numFmtId="49" fontId="3" fillId="2" borderId="30" xfId="14" applyNumberFormat="1" applyFont="1" applyFill="1" applyBorder="1" applyAlignment="1">
      <alignment wrapText="1"/>
    </xf>
    <xf numFmtId="49" fontId="3" fillId="2" borderId="13" xfId="14" applyNumberFormat="1" applyFont="1" applyFill="1" applyBorder="1" applyAlignment="1">
      <alignment wrapText="1"/>
    </xf>
    <xf numFmtId="49" fontId="3" fillId="2" borderId="1" xfId="14" applyNumberFormat="1" applyFont="1" applyFill="1" applyBorder="1" applyAlignment="1">
      <alignment wrapText="1"/>
    </xf>
    <xf numFmtId="49" fontId="3" fillId="2" borderId="19" xfId="1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 vertical="top"/>
    </xf>
    <xf numFmtId="49" fontId="3" fillId="2" borderId="9" xfId="5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>
      <alignment horizontal="left" wrapText="1"/>
    </xf>
    <xf numFmtId="49" fontId="4" fillId="2" borderId="9" xfId="6" applyNumberFormat="1" applyFont="1" applyFill="1" applyBorder="1" applyAlignment="1">
      <alignment horizontal="center"/>
    </xf>
    <xf numFmtId="168" fontId="4" fillId="2" borderId="1" xfId="7" applyNumberFormat="1" applyFont="1" applyFill="1" applyBorder="1" applyAlignment="1">
      <alignment horizontal="center"/>
    </xf>
    <xf numFmtId="49" fontId="3" fillId="2" borderId="25" xfId="11" applyNumberFormat="1" applyFont="1" applyFill="1" applyBorder="1" applyAlignment="1">
      <alignment horizontal="center"/>
    </xf>
    <xf numFmtId="49" fontId="3" fillId="2" borderId="20" xfId="16" applyNumberFormat="1" applyFont="1" applyFill="1" applyBorder="1" applyAlignment="1">
      <alignment horizontal="center"/>
    </xf>
    <xf numFmtId="49" fontId="3" fillId="2" borderId="26" xfId="16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wrapText="1"/>
    </xf>
    <xf numFmtId="49" fontId="3" fillId="2" borderId="3" xfId="5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49" fontId="3" fillId="2" borderId="6" xfId="6" applyNumberFormat="1" applyFont="1" applyFill="1" applyBorder="1" applyAlignment="1">
      <alignment horizontal="center"/>
    </xf>
    <xf numFmtId="49" fontId="3" fillId="2" borderId="7" xfId="5" applyNumberFormat="1" applyFont="1" applyFill="1" applyBorder="1" applyAlignment="1">
      <alignment horizontal="center"/>
    </xf>
    <xf numFmtId="49" fontId="3" fillId="2" borderId="8" xfId="5" applyNumberFormat="1" applyFont="1" applyFill="1" applyBorder="1" applyAlignment="1">
      <alignment horizontal="center"/>
    </xf>
    <xf numFmtId="49" fontId="3" fillId="2" borderId="17" xfId="6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wrapText="1"/>
    </xf>
    <xf numFmtId="49" fontId="3" fillId="2" borderId="0" xfId="16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wrapText="1"/>
    </xf>
    <xf numFmtId="49" fontId="3" fillId="2" borderId="18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horizontal="center"/>
    </xf>
    <xf numFmtId="49" fontId="3" fillId="2" borderId="29" xfId="14" applyNumberFormat="1" applyFont="1" applyFill="1" applyBorder="1" applyAlignment="1">
      <alignment wrapText="1"/>
    </xf>
    <xf numFmtId="49" fontId="3" fillId="2" borderId="18" xfId="6" applyNumberFormat="1" applyFont="1" applyFill="1" applyBorder="1" applyAlignment="1">
      <alignment horizontal="center"/>
    </xf>
    <xf numFmtId="49" fontId="3" fillId="2" borderId="16" xfId="14" applyNumberFormat="1" applyFont="1" applyFill="1" applyBorder="1" applyAlignment="1">
      <alignment horizontal="center"/>
    </xf>
    <xf numFmtId="49" fontId="3" fillId="2" borderId="29" xfId="16" applyNumberFormat="1" applyFont="1" applyFill="1" applyBorder="1" applyAlignment="1">
      <alignment wrapText="1"/>
    </xf>
    <xf numFmtId="49" fontId="3" fillId="2" borderId="20" xfId="14" applyNumberFormat="1" applyFont="1" applyFill="1" applyBorder="1" applyAlignment="1">
      <alignment horizontal="center"/>
    </xf>
    <xf numFmtId="49" fontId="3" fillId="2" borderId="26" xfId="14" applyNumberFormat="1" applyFont="1" applyFill="1" applyBorder="1" applyAlignment="1">
      <alignment horizontal="center"/>
    </xf>
    <xf numFmtId="49" fontId="3" fillId="2" borderId="23" xfId="14" applyNumberFormat="1" applyFont="1" applyFill="1" applyBorder="1" applyAlignment="1">
      <alignment horizontal="center"/>
    </xf>
    <xf numFmtId="49" fontId="3" fillId="2" borderId="16" xfId="16" applyNumberFormat="1" applyFont="1" applyFill="1" applyBorder="1" applyAlignment="1">
      <alignment wrapText="1"/>
    </xf>
    <xf numFmtId="49" fontId="3" fillId="2" borderId="20" xfId="6" applyNumberFormat="1" applyFont="1" applyFill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 wrapText="1"/>
    </xf>
    <xf numFmtId="49" fontId="3" fillId="2" borderId="17" xfId="5" applyNumberFormat="1" applyFont="1" applyFill="1" applyBorder="1" applyAlignment="1">
      <alignment horizontal="center"/>
    </xf>
    <xf numFmtId="49" fontId="3" fillId="2" borderId="18" xfId="5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horizontal="center"/>
    </xf>
    <xf numFmtId="49" fontId="3" fillId="2" borderId="16" xfId="5" applyNumberFormat="1" applyFont="1" applyFill="1" applyBorder="1" applyAlignment="1">
      <alignment horizontal="center"/>
    </xf>
    <xf numFmtId="49" fontId="4" fillId="2" borderId="19" xfId="8" applyNumberFormat="1" applyFont="1" applyFill="1" applyBorder="1" applyAlignment="1">
      <alignment wrapText="1"/>
    </xf>
    <xf numFmtId="49" fontId="4" fillId="2" borderId="17" xfId="11" applyNumberFormat="1" applyFont="1" applyFill="1" applyBorder="1" applyAlignment="1">
      <alignment horizontal="center"/>
    </xf>
    <xf numFmtId="49" fontId="4" fillId="2" borderId="18" xfId="16" applyNumberFormat="1" applyFont="1" applyFill="1" applyBorder="1" applyAlignment="1">
      <alignment horizontal="center"/>
    </xf>
    <xf numFmtId="49" fontId="4" fillId="2" borderId="19" xfId="16" applyNumberFormat="1" applyFont="1" applyFill="1" applyBorder="1" applyAlignment="1">
      <alignment horizontal="center" wrapText="1"/>
    </xf>
    <xf numFmtId="49" fontId="4" fillId="2" borderId="16" xfId="16" applyNumberFormat="1" applyFont="1" applyFill="1" applyBorder="1" applyAlignment="1">
      <alignment horizontal="center"/>
    </xf>
    <xf numFmtId="49" fontId="4" fillId="2" borderId="1" xfId="6" applyNumberFormat="1" applyFont="1" applyFill="1" applyBorder="1" applyAlignment="1">
      <alignment horizontal="center"/>
    </xf>
    <xf numFmtId="11" fontId="3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 applyProtection="1">
      <alignment horizontal="left" wrapText="1"/>
      <protection hidden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6" fontId="3" fillId="2" borderId="1" xfId="7" applyNumberFormat="1" applyFont="1" applyFill="1" applyBorder="1"/>
    <xf numFmtId="49" fontId="3" fillId="2" borderId="0" xfId="0" applyNumberFormat="1" applyFont="1" applyFill="1" applyBorder="1" applyAlignment="1">
      <alignment horizontal="left" vertical="top" wrapText="1"/>
    </xf>
    <xf numFmtId="166" fontId="3" fillId="2" borderId="0" xfId="7" applyNumberFormat="1" applyFont="1" applyFill="1" applyBorder="1"/>
    <xf numFmtId="166" fontId="11" fillId="2" borderId="0" xfId="7" applyNumberFormat="1" applyFont="1" applyFill="1" applyAlignment="1">
      <alignment horizontal="center"/>
    </xf>
    <xf numFmtId="49" fontId="11" fillId="2" borderId="0" xfId="7" applyNumberFormat="1" applyFont="1" applyFill="1" applyAlignment="1">
      <alignment vertical="top" wrapText="1"/>
    </xf>
    <xf numFmtId="49" fontId="11" fillId="2" borderId="0" xfId="7" applyNumberFormat="1" applyFont="1" applyFill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6" fontId="3" fillId="2" borderId="4" xfId="7" applyNumberFormat="1" applyFont="1" applyFill="1" applyBorder="1" applyAlignment="1">
      <alignment horizontal="right"/>
    </xf>
    <xf numFmtId="166" fontId="3" fillId="2" borderId="1" xfId="7" applyNumberFormat="1" applyFont="1" applyFill="1" applyBorder="1" applyAlignment="1">
      <alignment horizontal="center" vertical="center"/>
    </xf>
    <xf numFmtId="176" fontId="27" fillId="2" borderId="0" xfId="7" applyNumberFormat="1" applyFont="1" applyFill="1"/>
    <xf numFmtId="0" fontId="11" fillId="2" borderId="1" xfId="7" applyFont="1" applyFill="1" applyBorder="1" applyAlignment="1">
      <alignment horizontal="center" vertical="top"/>
    </xf>
    <xf numFmtId="166" fontId="3" fillId="2" borderId="1" xfId="7" applyNumberFormat="1" applyFont="1" applyFill="1" applyBorder="1" applyAlignment="1"/>
    <xf numFmtId="49" fontId="3" fillId="2" borderId="26" xfId="16" applyNumberFormat="1" applyFont="1" applyFill="1" applyBorder="1" applyAlignment="1">
      <alignment wrapText="1"/>
    </xf>
    <xf numFmtId="49" fontId="3" fillId="2" borderId="19" xfId="12" applyNumberFormat="1" applyFont="1" applyFill="1" applyBorder="1" applyAlignment="1">
      <alignment horizontal="center"/>
    </xf>
    <xf numFmtId="49" fontId="3" fillId="2" borderId="23" xfId="12" applyNumberFormat="1" applyFont="1" applyFill="1" applyBorder="1" applyAlignment="1">
      <alignment horizontal="center"/>
    </xf>
    <xf numFmtId="49" fontId="3" fillId="2" borderId="28" xfId="12" applyNumberFormat="1" applyFont="1" applyFill="1" applyBorder="1" applyAlignment="1">
      <alignment horizontal="center"/>
    </xf>
    <xf numFmtId="49" fontId="3" fillId="2" borderId="1" xfId="12" applyNumberFormat="1" applyFont="1" applyFill="1" applyBorder="1" applyAlignment="1">
      <alignment horizontal="center"/>
    </xf>
    <xf numFmtId="49" fontId="3" fillId="2" borderId="6" xfId="11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wrapText="1"/>
    </xf>
    <xf numFmtId="49" fontId="3" fillId="2" borderId="31" xfId="6" applyNumberFormat="1" applyFont="1" applyFill="1" applyBorder="1" applyAlignment="1">
      <alignment horizontal="center"/>
    </xf>
    <xf numFmtId="49" fontId="3" fillId="2" borderId="34" xfId="14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horizontal="center"/>
    </xf>
    <xf numFmtId="166" fontId="3" fillId="2" borderId="13" xfId="7" applyNumberFormat="1" applyFont="1" applyFill="1" applyBorder="1" applyAlignment="1">
      <alignment horizontal="right"/>
    </xf>
    <xf numFmtId="49" fontId="3" fillId="2" borderId="16" xfId="14" applyNumberFormat="1" applyFont="1" applyFill="1" applyBorder="1" applyAlignment="1">
      <alignment wrapText="1"/>
    </xf>
    <xf numFmtId="49" fontId="3" fillId="2" borderId="17" xfId="5" applyNumberFormat="1" applyFont="1" applyFill="1" applyBorder="1" applyAlignment="1">
      <alignment wrapText="1"/>
    </xf>
    <xf numFmtId="49" fontId="3" fillId="2" borderId="24" xfId="6" applyNumberFormat="1" applyFont="1" applyFill="1" applyBorder="1" applyAlignment="1">
      <alignment horizontal="center"/>
    </xf>
    <xf numFmtId="49" fontId="3" fillId="2" borderId="9" xfId="14" applyNumberFormat="1" applyFont="1" applyFill="1" applyBorder="1" applyAlignment="1">
      <alignment horizontal="center"/>
    </xf>
    <xf numFmtId="49" fontId="3" fillId="2" borderId="3" xfId="14" applyNumberFormat="1" applyFont="1" applyFill="1" applyBorder="1" applyAlignment="1">
      <alignment horizontal="center"/>
    </xf>
    <xf numFmtId="49" fontId="3" fillId="2" borderId="1" xfId="14" applyNumberFormat="1" applyFont="1" applyFill="1" applyBorder="1" applyAlignment="1">
      <alignment horizontal="center"/>
    </xf>
    <xf numFmtId="49" fontId="3" fillId="2" borderId="7" xfId="14" applyNumberFormat="1" applyFont="1" applyFill="1" applyBorder="1" applyAlignment="1">
      <alignment horizontal="center"/>
    </xf>
    <xf numFmtId="49" fontId="3" fillId="2" borderId="8" xfId="14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wrapText="1"/>
    </xf>
    <xf numFmtId="49" fontId="3" fillId="2" borderId="35" xfId="11" applyNumberFormat="1" applyFont="1" applyFill="1" applyBorder="1" applyAlignment="1">
      <alignment horizontal="center"/>
    </xf>
    <xf numFmtId="49" fontId="3" fillId="2" borderId="36" xfId="16" applyNumberFormat="1" applyFont="1" applyFill="1" applyBorder="1" applyAlignment="1">
      <alignment horizontal="center"/>
    </xf>
    <xf numFmtId="49" fontId="3" fillId="2" borderId="37" xfId="16" applyNumberFormat="1" applyFont="1" applyFill="1" applyBorder="1" applyAlignment="1">
      <alignment horizontal="center" wrapText="1"/>
    </xf>
    <xf numFmtId="49" fontId="3" fillId="2" borderId="21" xfId="16" applyNumberFormat="1" applyFont="1" applyFill="1" applyBorder="1" applyAlignment="1">
      <alignment horizontal="center"/>
    </xf>
    <xf numFmtId="0" fontId="4" fillId="2" borderId="5" xfId="7" applyFont="1" applyFill="1" applyBorder="1" applyAlignment="1">
      <alignment horizontal="center" vertical="top"/>
    </xf>
    <xf numFmtId="49" fontId="3" fillId="2" borderId="26" xfId="5" applyNumberFormat="1" applyFont="1" applyFill="1" applyBorder="1" applyAlignment="1">
      <alignment wrapText="1"/>
    </xf>
    <xf numFmtId="49" fontId="3" fillId="2" borderId="26" xfId="16" applyNumberFormat="1" applyFont="1" applyFill="1" applyBorder="1" applyAlignment="1">
      <alignment horizontal="center" wrapText="1"/>
    </xf>
    <xf numFmtId="49" fontId="3" fillId="2" borderId="23" xfId="16" applyNumberFormat="1" applyFont="1" applyFill="1" applyBorder="1" applyAlignment="1">
      <alignment horizontal="center"/>
    </xf>
    <xf numFmtId="166" fontId="3" fillId="2" borderId="5" xfId="7" applyNumberFormat="1" applyFont="1" applyFill="1" applyBorder="1" applyAlignment="1">
      <alignment horizontal="right"/>
    </xf>
    <xf numFmtId="49" fontId="3" fillId="2" borderId="1" xfId="16" applyNumberFormat="1" applyFont="1" applyFill="1" applyBorder="1" applyAlignment="1">
      <alignment horizontal="center"/>
    </xf>
    <xf numFmtId="49" fontId="3" fillId="2" borderId="1" xfId="16" applyNumberFormat="1" applyFont="1" applyFill="1" applyBorder="1" applyAlignment="1">
      <alignment wrapText="1"/>
    </xf>
    <xf numFmtId="49" fontId="3" fillId="2" borderId="3" xfId="8" applyNumberFormat="1" applyFont="1" applyFill="1" applyBorder="1" applyAlignment="1">
      <alignment wrapText="1"/>
    </xf>
    <xf numFmtId="49" fontId="4" fillId="2" borderId="1" xfId="4" applyNumberFormat="1" applyFont="1" applyFill="1" applyBorder="1" applyAlignment="1" applyProtection="1">
      <alignment horizontal="left" vertical="top" wrapText="1"/>
      <protection hidden="1"/>
    </xf>
    <xf numFmtId="0" fontId="3" fillId="2" borderId="0" xfId="7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wrapText="1"/>
    </xf>
    <xf numFmtId="166" fontId="3" fillId="2" borderId="0" xfId="7" applyNumberFormat="1" applyFont="1" applyFill="1" applyBorder="1" applyAlignment="1">
      <alignment horizontal="right"/>
    </xf>
    <xf numFmtId="49" fontId="1" fillId="2" borderId="16" xfId="6" applyNumberFormat="1" applyFont="1" applyFill="1" applyBorder="1" applyAlignment="1">
      <alignment horizontal="center"/>
    </xf>
    <xf numFmtId="166" fontId="1" fillId="2" borderId="1" xfId="14" applyNumberFormat="1" applyFont="1" applyFill="1" applyBorder="1" applyAlignment="1">
      <alignment horizontal="right"/>
    </xf>
    <xf numFmtId="166" fontId="1" fillId="2" borderId="17" xfId="16" applyNumberFormat="1" applyFont="1" applyFill="1" applyBorder="1" applyAlignment="1">
      <alignment horizontal="right"/>
    </xf>
    <xf numFmtId="166" fontId="1" fillId="2" borderId="1" xfId="14" applyNumberFormat="1" applyFont="1" applyFill="1" applyBorder="1"/>
    <xf numFmtId="166" fontId="3" fillId="2" borderId="1" xfId="5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49" fontId="3" fillId="2" borderId="16" xfId="5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171" fontId="27" fillId="2" borderId="0" xfId="7" applyNumberFormat="1" applyFont="1" applyFill="1"/>
    <xf numFmtId="166" fontId="1" fillId="2" borderId="31" xfId="16" applyNumberFormat="1" applyFont="1" applyFill="1" applyBorder="1" applyAlignment="1">
      <alignment horizontal="right"/>
    </xf>
    <xf numFmtId="166" fontId="1" fillId="2" borderId="13" xfId="16" applyNumberFormat="1" applyFont="1" applyFill="1" applyBorder="1" applyAlignment="1">
      <alignment horizontal="right"/>
    </xf>
    <xf numFmtId="166" fontId="1" fillId="2" borderId="38" xfId="16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2" borderId="1" xfId="19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wrapText="1"/>
    </xf>
    <xf numFmtId="49" fontId="1" fillId="2" borderId="17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center"/>
    </xf>
    <xf numFmtId="166" fontId="1" fillId="2" borderId="5" xfId="0" applyNumberFormat="1" applyFont="1" applyFill="1" applyBorder="1" applyAlignment="1">
      <alignment horizontal="right"/>
    </xf>
    <xf numFmtId="166" fontId="1" fillId="2" borderId="26" xfId="16" applyNumberFormat="1" applyFont="1" applyFill="1" applyBorder="1" applyAlignment="1">
      <alignment horizontal="right"/>
    </xf>
    <xf numFmtId="166" fontId="1" fillId="2" borderId="22" xfId="16" applyNumberFormat="1" applyFont="1" applyFill="1" applyBorder="1" applyAlignment="1">
      <alignment horizontal="right"/>
    </xf>
    <xf numFmtId="0" fontId="25" fillId="2" borderId="0" xfId="3" applyFont="1" applyFill="1"/>
    <xf numFmtId="0" fontId="4" fillId="2" borderId="0" xfId="0" applyFont="1" applyFill="1" applyAlignment="1">
      <alignment horizontal="center" wrapText="1"/>
    </xf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73" fontId="1" fillId="2" borderId="0" xfId="3" applyNumberFormat="1" applyFont="1" applyFill="1"/>
    <xf numFmtId="10" fontId="1" fillId="2" borderId="0" xfId="3" applyNumberFormat="1" applyFont="1" applyFill="1"/>
    <xf numFmtId="171" fontId="2" fillId="2" borderId="0" xfId="3" applyNumberFormat="1" applyFont="1" applyFill="1"/>
    <xf numFmtId="173" fontId="2" fillId="2" borderId="0" xfId="3" applyNumberFormat="1" applyFont="1" applyFill="1"/>
    <xf numFmtId="168" fontId="2" fillId="2" borderId="0" xfId="3" applyNumberFormat="1" applyFont="1" applyFill="1" applyAlignment="1">
      <alignment shrinkToFit="1"/>
    </xf>
    <xf numFmtId="0" fontId="2" fillId="2" borderId="0" xfId="3" applyFont="1" applyFill="1"/>
    <xf numFmtId="168" fontId="1" fillId="2" borderId="0" xfId="7" applyNumberFormat="1" applyFont="1" applyFill="1"/>
    <xf numFmtId="171" fontId="10" fillId="2" borderId="0" xfId="7" applyNumberFormat="1" applyFont="1" applyFill="1"/>
    <xf numFmtId="175" fontId="4" fillId="2" borderId="6" xfId="13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>
      <alignment horizontal="right" vertical="top"/>
    </xf>
    <xf numFmtId="0" fontId="6" fillId="5" borderId="1" xfId="0" applyFont="1" applyFill="1" applyBorder="1" applyAlignment="1">
      <alignment vertical="top" wrapText="1"/>
    </xf>
    <xf numFmtId="166" fontId="6" fillId="5" borderId="1" xfId="0" applyNumberFormat="1" applyFont="1" applyFill="1" applyBorder="1" applyAlignment="1">
      <alignment horizontal="right" vertical="top"/>
    </xf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49" fontId="1" fillId="2" borderId="22" xfId="5" applyNumberFormat="1" applyFont="1" applyFill="1" applyBorder="1" applyAlignment="1">
      <alignment wrapText="1"/>
    </xf>
    <xf numFmtId="49" fontId="1" fillId="2" borderId="4" xfId="5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/>
    </xf>
    <xf numFmtId="0" fontId="33" fillId="2" borderId="0" xfId="7" applyFont="1" applyFill="1"/>
    <xf numFmtId="0" fontId="33" fillId="2" borderId="0" xfId="7" applyFont="1" applyFill="1" applyAlignment="1">
      <alignment horizontal="center"/>
    </xf>
    <xf numFmtId="49" fontId="33" fillId="2" borderId="0" xfId="7" applyNumberFormat="1" applyFont="1" applyFill="1" applyAlignment="1">
      <alignment vertical="top" wrapText="1"/>
    </xf>
    <xf numFmtId="49" fontId="33" fillId="2" borderId="0" xfId="7" applyNumberFormat="1" applyFont="1" applyFill="1" applyAlignment="1">
      <alignment horizontal="center"/>
    </xf>
    <xf numFmtId="166" fontId="33" fillId="2" borderId="0" xfId="7" applyNumberFormat="1" applyFont="1" applyFill="1" applyAlignment="1">
      <alignment horizontal="center"/>
    </xf>
    <xf numFmtId="166" fontId="33" fillId="2" borderId="0" xfId="7" applyNumberFormat="1" applyFont="1" applyFill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32" fillId="2" borderId="3" xfId="0" applyNumberFormat="1" applyFont="1" applyFill="1" applyBorder="1" applyAlignment="1">
      <alignment wrapText="1"/>
    </xf>
    <xf numFmtId="49" fontId="32" fillId="2" borderId="2" xfId="0" applyNumberFormat="1" applyFont="1" applyFill="1" applyBorder="1" applyAlignment="1">
      <alignment horizontal="center"/>
    </xf>
    <xf numFmtId="49" fontId="32" fillId="2" borderId="9" xfId="0" applyNumberFormat="1" applyFont="1" applyFill="1" applyBorder="1" applyAlignment="1">
      <alignment horizontal="center"/>
    </xf>
    <xf numFmtId="49" fontId="32" fillId="2" borderId="3" xfId="0" applyNumberFormat="1" applyFont="1" applyFill="1" applyBorder="1" applyAlignment="1">
      <alignment horizontal="center"/>
    </xf>
    <xf numFmtId="0" fontId="32" fillId="2" borderId="1" xfId="0" applyFont="1" applyFill="1" applyBorder="1"/>
    <xf numFmtId="166" fontId="1" fillId="2" borderId="1" xfId="7" applyNumberFormat="1" applyFont="1" applyFill="1" applyBorder="1" applyAlignment="1">
      <alignment horizontal="right"/>
    </xf>
    <xf numFmtId="49" fontId="1" fillId="2" borderId="39" xfId="16" applyNumberFormat="1" applyFont="1" applyFill="1" applyBorder="1" applyAlignment="1">
      <alignment horizontal="center"/>
    </xf>
    <xf numFmtId="49" fontId="1" fillId="2" borderId="21" xfId="16" applyNumberFormat="1" applyFont="1" applyFill="1" applyBorder="1" applyAlignment="1">
      <alignment horizontal="center"/>
    </xf>
    <xf numFmtId="49" fontId="1" fillId="2" borderId="33" xfId="11" applyNumberFormat="1" applyFont="1" applyFill="1" applyBorder="1" applyAlignment="1">
      <alignment horizontal="center" wrapText="1"/>
    </xf>
    <xf numFmtId="49" fontId="1" fillId="2" borderId="33" xfId="11" applyNumberFormat="1" applyFont="1" applyFill="1" applyBorder="1" applyAlignment="1">
      <alignment horizontal="center"/>
    </xf>
    <xf numFmtId="170" fontId="1" fillId="2" borderId="2" xfId="1" applyNumberFormat="1" applyFont="1" applyFill="1" applyBorder="1" applyAlignment="1">
      <alignment horizontal="center" vertical="center" wrapText="1"/>
    </xf>
    <xf numFmtId="170" fontId="1" fillId="2" borderId="9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6" fontId="3" fillId="2" borderId="2" xfId="1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8" fontId="3" fillId="2" borderId="2" xfId="3" applyNumberFormat="1" applyFont="1" applyFill="1" applyBorder="1" applyAlignment="1">
      <alignment horizontal="center" vertical="center"/>
    </xf>
    <xf numFmtId="168" fontId="3" fillId="2" borderId="9" xfId="3" applyNumberFormat="1" applyFont="1" applyFill="1" applyBorder="1" applyAlignment="1">
      <alignment horizontal="center" vertical="center"/>
    </xf>
    <xf numFmtId="168" fontId="3" fillId="2" borderId="3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wrapText="1"/>
    </xf>
    <xf numFmtId="49" fontId="3" fillId="2" borderId="6" xfId="7" applyNumberFormat="1" applyFont="1" applyFill="1" applyBorder="1" applyAlignment="1">
      <alignment horizontal="center" vertical="center"/>
    </xf>
    <xf numFmtId="49" fontId="3" fillId="2" borderId="7" xfId="7" applyNumberFormat="1" applyFont="1" applyFill="1" applyBorder="1" applyAlignment="1">
      <alignment horizontal="center" vertical="center"/>
    </xf>
    <xf numFmtId="49" fontId="3" fillId="2" borderId="8" xfId="7" applyNumberFormat="1" applyFont="1" applyFill="1" applyBorder="1" applyAlignment="1">
      <alignment horizontal="center" vertic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29" fillId="2" borderId="5" xfId="0" applyNumberFormat="1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169" fontId="15" fillId="2" borderId="1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169" fontId="3" fillId="2" borderId="8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0" fillId="2" borderId="0" xfId="0" applyFill="1" applyAlignment="1"/>
    <xf numFmtId="0" fontId="3" fillId="2" borderId="2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540000"/>
      <color rgb="FFFFFFCC"/>
      <color rgb="FFF6FED8"/>
      <color rgb="FFCCECFF"/>
      <color rgb="FF740000"/>
      <color rgb="FFFFFF99"/>
      <color rgb="FFCCFF99"/>
      <color rgb="FFFFCCCC"/>
      <color rgb="FF0000FF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36"/>
  <sheetViews>
    <sheetView zoomScale="80" zoomScaleNormal="80" zoomScaleSheetLayoutView="50" workbookViewId="0">
      <selection activeCell="E2" sqref="E2"/>
    </sheetView>
  </sheetViews>
  <sheetFormatPr defaultColWidth="9.109375" defaultRowHeight="18" x14ac:dyDescent="0.35"/>
  <cols>
    <col min="1" max="1" width="29.5546875" style="234" customWidth="1"/>
    <col min="2" max="2" width="60.109375" style="324" customWidth="1"/>
    <col min="3" max="3" width="15.6640625" style="232" customWidth="1"/>
    <col min="4" max="4" width="16.6640625" style="234" customWidth="1"/>
    <col min="5" max="5" width="15.6640625" style="234" customWidth="1"/>
    <col min="6" max="16384" width="9.109375" style="234"/>
  </cols>
  <sheetData>
    <row r="1" spans="1:5" s="247" customFormat="1" x14ac:dyDescent="0.35">
      <c r="A1" s="43"/>
      <c r="B1" s="43"/>
      <c r="E1" s="192" t="s">
        <v>569</v>
      </c>
    </row>
    <row r="2" spans="1:5" s="247" customFormat="1" x14ac:dyDescent="0.35">
      <c r="A2" s="43"/>
      <c r="B2" s="43"/>
      <c r="E2" s="192" t="s">
        <v>719</v>
      </c>
    </row>
    <row r="4" spans="1:5" x14ac:dyDescent="0.35">
      <c r="E4" s="48" t="s">
        <v>569</v>
      </c>
    </row>
    <row r="5" spans="1:5" x14ac:dyDescent="0.35">
      <c r="E5" s="192" t="s">
        <v>631</v>
      </c>
    </row>
    <row r="7" spans="1:5" ht="11.25" customHeight="1" x14ac:dyDescent="0.35"/>
    <row r="8" spans="1:5" ht="36.75" customHeight="1" x14ac:dyDescent="0.35">
      <c r="A8" s="667" t="s">
        <v>554</v>
      </c>
      <c r="B8" s="667"/>
      <c r="C8" s="667"/>
      <c r="D8" s="667"/>
      <c r="E8" s="667"/>
    </row>
    <row r="10" spans="1:5" x14ac:dyDescent="0.35">
      <c r="E10" s="226" t="s">
        <v>23</v>
      </c>
    </row>
    <row r="11" spans="1:5" ht="20.399999999999999" customHeight="1" x14ac:dyDescent="0.35">
      <c r="A11" s="669" t="s">
        <v>13</v>
      </c>
      <c r="B11" s="671" t="s">
        <v>14</v>
      </c>
      <c r="C11" s="664" t="s">
        <v>15</v>
      </c>
      <c r="D11" s="665"/>
      <c r="E11" s="666"/>
    </row>
    <row r="12" spans="1:5" ht="20.399999999999999" customHeight="1" x14ac:dyDescent="0.35">
      <c r="A12" s="670"/>
      <c r="B12" s="672"/>
      <c r="C12" s="227" t="s">
        <v>427</v>
      </c>
      <c r="D12" s="227" t="s">
        <v>484</v>
      </c>
      <c r="E12" s="227" t="s">
        <v>557</v>
      </c>
    </row>
    <row r="13" spans="1:5" x14ac:dyDescent="0.35">
      <c r="A13" s="353">
        <v>1</v>
      </c>
      <c r="B13" s="354">
        <v>2</v>
      </c>
      <c r="C13" s="228">
        <v>3</v>
      </c>
      <c r="D13" s="355">
        <v>4</v>
      </c>
      <c r="E13" s="355">
        <v>5</v>
      </c>
    </row>
    <row r="14" spans="1:5" x14ac:dyDescent="0.35">
      <c r="A14" s="87" t="s">
        <v>135</v>
      </c>
      <c r="B14" s="88" t="s">
        <v>136</v>
      </c>
      <c r="C14" s="384">
        <f>SUM(C15:C33)-C24</f>
        <v>586516.6</v>
      </c>
      <c r="D14" s="384">
        <f>SUM(D15:D33)-D24</f>
        <v>532066.19999999995</v>
      </c>
      <c r="E14" s="384">
        <f>SUM(E15:E33)-E24</f>
        <v>511865.29999999993</v>
      </c>
    </row>
    <row r="15" spans="1:5" x14ac:dyDescent="0.35">
      <c r="A15" s="47" t="s">
        <v>137</v>
      </c>
      <c r="B15" s="75" t="s">
        <v>138</v>
      </c>
      <c r="C15" s="385">
        <f>5720+1280</f>
        <v>7000</v>
      </c>
      <c r="D15" s="386">
        <v>5948.8</v>
      </c>
      <c r="E15" s="387">
        <v>6186.8</v>
      </c>
    </row>
    <row r="16" spans="1:5" x14ac:dyDescent="0.35">
      <c r="A16" s="62" t="s">
        <v>139</v>
      </c>
      <c r="B16" s="89" t="s">
        <v>140</v>
      </c>
      <c r="C16" s="385">
        <f>327306.5+5059.6+5000</f>
        <v>337366.1</v>
      </c>
      <c r="D16" s="386">
        <v>306078.8</v>
      </c>
      <c r="E16" s="387">
        <v>306300.40000000002</v>
      </c>
    </row>
    <row r="17" spans="1:5" ht="173.25" customHeight="1" x14ac:dyDescent="0.35">
      <c r="A17" s="45" t="s">
        <v>141</v>
      </c>
      <c r="B17" s="91" t="s">
        <v>513</v>
      </c>
      <c r="C17" s="388">
        <v>6255.7</v>
      </c>
      <c r="D17" s="389">
        <v>6443.4</v>
      </c>
      <c r="E17" s="235">
        <v>6701.1</v>
      </c>
    </row>
    <row r="18" spans="1:5" ht="36" x14ac:dyDescent="0.35">
      <c r="A18" s="47" t="s">
        <v>312</v>
      </c>
      <c r="B18" s="76" t="s">
        <v>313</v>
      </c>
      <c r="C18" s="388">
        <f>107656.3+13000+4743+2089.2</f>
        <v>127488.5</v>
      </c>
      <c r="D18" s="389">
        <f>111962.6+26800</f>
        <v>138762.6</v>
      </c>
      <c r="E18" s="235">
        <v>116441.1</v>
      </c>
    </row>
    <row r="19" spans="1:5" ht="36" x14ac:dyDescent="0.35">
      <c r="A19" s="47" t="s">
        <v>142</v>
      </c>
      <c r="B19" s="76" t="s">
        <v>331</v>
      </c>
      <c r="C19" s="388">
        <f>450-201</f>
        <v>249</v>
      </c>
      <c r="D19" s="389">
        <v>350</v>
      </c>
      <c r="E19" s="235">
        <v>200</v>
      </c>
    </row>
    <row r="20" spans="1:5" x14ac:dyDescent="0.35">
      <c r="A20" s="47" t="s">
        <v>143</v>
      </c>
      <c r="B20" s="89" t="s">
        <v>144</v>
      </c>
      <c r="C20" s="388">
        <f>198+48.5</f>
        <v>246.5</v>
      </c>
      <c r="D20" s="389">
        <v>217.8</v>
      </c>
      <c r="E20" s="235">
        <v>239.6</v>
      </c>
    </row>
    <row r="21" spans="1:5" ht="36" x14ac:dyDescent="0.35">
      <c r="A21" s="47" t="s">
        <v>145</v>
      </c>
      <c r="B21" s="76" t="s">
        <v>146</v>
      </c>
      <c r="C21" s="388">
        <f>16905.5+946.7+2731.8</f>
        <v>20584</v>
      </c>
      <c r="D21" s="389">
        <v>17243.599999999999</v>
      </c>
      <c r="E21" s="235">
        <v>17588.5</v>
      </c>
    </row>
    <row r="22" spans="1:5" x14ac:dyDescent="0.35">
      <c r="A22" s="47" t="s">
        <v>449</v>
      </c>
      <c r="B22" s="76" t="s">
        <v>450</v>
      </c>
      <c r="C22" s="388">
        <f>3737+463</f>
        <v>4200</v>
      </c>
      <c r="D22" s="389">
        <v>3774.4</v>
      </c>
      <c r="E22" s="235">
        <v>3812.1</v>
      </c>
    </row>
    <row r="23" spans="1:5" x14ac:dyDescent="0.35">
      <c r="A23" s="47" t="s">
        <v>147</v>
      </c>
      <c r="B23" s="89" t="s">
        <v>148</v>
      </c>
      <c r="C23" s="388">
        <f>9332.4+217.6</f>
        <v>9550</v>
      </c>
      <c r="D23" s="389">
        <v>9425.7000000000007</v>
      </c>
      <c r="E23" s="235">
        <v>9520</v>
      </c>
    </row>
    <row r="24" spans="1:5" ht="62.25" customHeight="1" x14ac:dyDescent="0.35">
      <c r="A24" s="47" t="s">
        <v>531</v>
      </c>
      <c r="B24" s="76" t="s">
        <v>532</v>
      </c>
      <c r="C24" s="388">
        <f>C25+C26+C27+C28+C29</f>
        <v>35182</v>
      </c>
      <c r="D24" s="389">
        <f>D25+D26+D27+D28+D29</f>
        <v>31192</v>
      </c>
      <c r="E24" s="389">
        <f>E25+E26+E27+E28+E29</f>
        <v>31901</v>
      </c>
    </row>
    <row r="25" spans="1:5" ht="78" customHeight="1" x14ac:dyDescent="0.35">
      <c r="A25" s="47" t="s">
        <v>149</v>
      </c>
      <c r="B25" s="90" t="s">
        <v>533</v>
      </c>
      <c r="C25" s="388">
        <v>287</v>
      </c>
      <c r="D25" s="389">
        <v>287</v>
      </c>
      <c r="E25" s="235">
        <v>287</v>
      </c>
    </row>
    <row r="26" spans="1:5" ht="99" customHeight="1" x14ac:dyDescent="0.35">
      <c r="A26" s="47" t="s">
        <v>150</v>
      </c>
      <c r="B26" s="76" t="s">
        <v>534</v>
      </c>
      <c r="C26" s="388">
        <f>25700+1000+4740+1000+700+600</f>
        <v>33740</v>
      </c>
      <c r="D26" s="389">
        <v>29750</v>
      </c>
      <c r="E26" s="235">
        <v>30600</v>
      </c>
    </row>
    <row r="27" spans="1:5" ht="63" customHeight="1" x14ac:dyDescent="0.35">
      <c r="A27" s="47" t="s">
        <v>311</v>
      </c>
      <c r="B27" s="76" t="s">
        <v>535</v>
      </c>
      <c r="C27" s="388">
        <v>1021</v>
      </c>
      <c r="D27" s="389">
        <v>1021</v>
      </c>
      <c r="E27" s="235">
        <v>880</v>
      </c>
    </row>
    <row r="28" spans="1:5" ht="96.75" customHeight="1" x14ac:dyDescent="0.35">
      <c r="A28" s="47" t="s">
        <v>151</v>
      </c>
      <c r="B28" s="76" t="s">
        <v>536</v>
      </c>
      <c r="C28" s="388">
        <v>10</v>
      </c>
      <c r="D28" s="389">
        <v>10</v>
      </c>
      <c r="E28" s="235">
        <v>10</v>
      </c>
    </row>
    <row r="29" spans="1:5" ht="122.25" customHeight="1" x14ac:dyDescent="0.35">
      <c r="A29" s="47" t="s">
        <v>354</v>
      </c>
      <c r="B29" s="76" t="s">
        <v>537</v>
      </c>
      <c r="C29" s="388">
        <v>124</v>
      </c>
      <c r="D29" s="389">
        <v>124</v>
      </c>
      <c r="E29" s="235">
        <v>124</v>
      </c>
    </row>
    <row r="30" spans="1:5" ht="36" x14ac:dyDescent="0.35">
      <c r="A30" s="47" t="s">
        <v>152</v>
      </c>
      <c r="B30" s="76" t="s">
        <v>153</v>
      </c>
      <c r="C30" s="388">
        <v>555.5</v>
      </c>
      <c r="D30" s="389">
        <v>561.1</v>
      </c>
      <c r="E30" s="235">
        <v>566.70000000000005</v>
      </c>
    </row>
    <row r="31" spans="1:5" ht="36" x14ac:dyDescent="0.35">
      <c r="A31" s="47" t="s">
        <v>406</v>
      </c>
      <c r="B31" s="249" t="s">
        <v>424</v>
      </c>
      <c r="C31" s="388">
        <f>1995+194.1+130+3130</f>
        <v>5449.1</v>
      </c>
      <c r="D31" s="389">
        <v>878</v>
      </c>
      <c r="E31" s="235">
        <v>878</v>
      </c>
    </row>
    <row r="32" spans="1:5" ht="36" x14ac:dyDescent="0.35">
      <c r="A32" s="47" t="s">
        <v>154</v>
      </c>
      <c r="B32" s="76" t="s">
        <v>155</v>
      </c>
      <c r="C32" s="388">
        <f>7870+14+1100+1430+839.2+16710.8</f>
        <v>27964</v>
      </c>
      <c r="D32" s="389">
        <v>7900</v>
      </c>
      <c r="E32" s="235">
        <v>7940</v>
      </c>
    </row>
    <row r="33" spans="1:8" ht="22.5" customHeight="1" x14ac:dyDescent="0.35">
      <c r="A33" s="45" t="s">
        <v>156</v>
      </c>
      <c r="B33" s="76" t="s">
        <v>157</v>
      </c>
      <c r="C33" s="388">
        <f>3122.1+26.2+1277.9</f>
        <v>4426.2</v>
      </c>
      <c r="D33" s="389">
        <v>3290</v>
      </c>
      <c r="E33" s="235">
        <v>3590</v>
      </c>
    </row>
    <row r="34" spans="1:8" x14ac:dyDescent="0.35">
      <c r="A34" s="113" t="s">
        <v>16</v>
      </c>
      <c r="B34" s="270" t="s">
        <v>314</v>
      </c>
      <c r="C34" s="229">
        <f>C35+C40-C41</f>
        <v>1440433.8967999998</v>
      </c>
      <c r="D34" s="229">
        <f>D35+D40-D41</f>
        <v>1224786</v>
      </c>
      <c r="E34" s="229">
        <f>E35+E40-E41</f>
        <v>1087325.3</v>
      </c>
    </row>
    <row r="35" spans="1:8" ht="40.5" customHeight="1" x14ac:dyDescent="0.35">
      <c r="A35" s="103" t="s">
        <v>17</v>
      </c>
      <c r="B35" s="271" t="s">
        <v>18</v>
      </c>
      <c r="C35" s="387">
        <f>C36+C37+C38+C39</f>
        <v>1436087.2</v>
      </c>
      <c r="D35" s="387">
        <f>D36+D37+D38+D39</f>
        <v>1224786</v>
      </c>
      <c r="E35" s="387">
        <f>E36+E37+E38+E39</f>
        <v>1087325.3</v>
      </c>
    </row>
    <row r="36" spans="1:8" s="273" customFormat="1" ht="36" x14ac:dyDescent="0.35">
      <c r="A36" s="103" t="s">
        <v>416</v>
      </c>
      <c r="B36" s="272" t="s">
        <v>350</v>
      </c>
      <c r="C36" s="387">
        <f>'прил.2(пост.безв.22)'!C17</f>
        <v>217670.9</v>
      </c>
      <c r="D36" s="387">
        <f>'прил.3 (пост.безв.23-24)'!C16</f>
        <v>161147.20000000001</v>
      </c>
      <c r="E36" s="387">
        <f>'прил.3 (пост.безв.23-24)'!D16</f>
        <v>179169.5</v>
      </c>
    </row>
    <row r="37" spans="1:8" s="273" customFormat="1" ht="36" x14ac:dyDescent="0.35">
      <c r="A37" s="11" t="s">
        <v>418</v>
      </c>
      <c r="B37" s="250" t="s">
        <v>309</v>
      </c>
      <c r="C37" s="387">
        <f>'прил.2(пост.безв.22)'!C22</f>
        <v>346948.80000000005</v>
      </c>
      <c r="D37" s="387">
        <f>'прил.3 (пост.безв.23-24)'!C19</f>
        <v>234809.4</v>
      </c>
      <c r="E37" s="387">
        <f>'прил.3 (пост.безв.23-24)'!D19</f>
        <v>71126.100000000006</v>
      </c>
    </row>
    <row r="38" spans="1:8" ht="36" x14ac:dyDescent="0.35">
      <c r="A38" s="325" t="s">
        <v>420</v>
      </c>
      <c r="B38" s="272" t="s">
        <v>349</v>
      </c>
      <c r="C38" s="387">
        <f>'прил.2(пост.безв.22)'!C51</f>
        <v>865667.6</v>
      </c>
      <c r="D38" s="387">
        <f>'прил.3 (пост.безв.23-24)'!C42</f>
        <v>828829.40000000014</v>
      </c>
      <c r="E38" s="387">
        <f>'прил.3 (пост.безв.23-24)'!D42</f>
        <v>837029.70000000007</v>
      </c>
    </row>
    <row r="39" spans="1:8" x14ac:dyDescent="0.35">
      <c r="A39" s="103" t="s">
        <v>426</v>
      </c>
      <c r="B39" s="271" t="s">
        <v>158</v>
      </c>
      <c r="C39" s="230">
        <f>'прил.2(пост.безв.22)'!C78</f>
        <v>5799.9</v>
      </c>
      <c r="D39" s="230">
        <v>0</v>
      </c>
      <c r="E39" s="230">
        <v>0</v>
      </c>
    </row>
    <row r="40" spans="1:8" ht="90" x14ac:dyDescent="0.35">
      <c r="A40" s="431" t="s">
        <v>673</v>
      </c>
      <c r="B40" s="604" t="s">
        <v>674</v>
      </c>
      <c r="C40" s="230">
        <f>4540.7968</f>
        <v>4540.7968000000001</v>
      </c>
      <c r="D40" s="230">
        <v>0</v>
      </c>
      <c r="E40" s="230">
        <v>0</v>
      </c>
    </row>
    <row r="41" spans="1:8" ht="72" x14ac:dyDescent="0.35">
      <c r="A41" s="431" t="s">
        <v>640</v>
      </c>
      <c r="B41" s="271" t="s">
        <v>641</v>
      </c>
      <c r="C41" s="230">
        <v>194.1</v>
      </c>
      <c r="D41" s="230">
        <v>0</v>
      </c>
      <c r="E41" s="230">
        <v>0</v>
      </c>
    </row>
    <row r="42" spans="1:8" x14ac:dyDescent="0.35">
      <c r="A42" s="326"/>
      <c r="B42" s="270" t="s">
        <v>159</v>
      </c>
      <c r="C42" s="231">
        <f>C34+C14</f>
        <v>2026950.4967999998</v>
      </c>
      <c r="D42" s="231">
        <f>D34+D14</f>
        <v>1756852.2</v>
      </c>
      <c r="E42" s="231">
        <f>E34+E14</f>
        <v>1599190.6</v>
      </c>
    </row>
    <row r="43" spans="1:8" x14ac:dyDescent="0.35">
      <c r="A43" s="412" t="s">
        <v>588</v>
      </c>
      <c r="B43" s="413"/>
      <c r="C43" s="414"/>
      <c r="D43" s="414"/>
      <c r="E43" s="414"/>
    </row>
    <row r="44" spans="1:8" ht="37.5" customHeight="1" x14ac:dyDescent="0.35">
      <c r="A44" s="668" t="s">
        <v>315</v>
      </c>
      <c r="B44" s="668"/>
      <c r="C44" s="668"/>
      <c r="D44" s="668"/>
      <c r="E44" s="668"/>
    </row>
    <row r="45" spans="1:8" x14ac:dyDescent="0.35">
      <c r="A45" s="327"/>
    </row>
    <row r="46" spans="1:8" x14ac:dyDescent="0.35">
      <c r="A46" s="327"/>
    </row>
    <row r="47" spans="1:8" s="98" customFormat="1" x14ac:dyDescent="0.35">
      <c r="A47" s="625" t="s">
        <v>384</v>
      </c>
      <c r="B47" s="100"/>
      <c r="C47" s="101"/>
      <c r="D47" s="101"/>
      <c r="E47" s="101"/>
      <c r="F47" s="52"/>
      <c r="G47" s="137"/>
      <c r="H47" s="182"/>
    </row>
    <row r="48" spans="1:8" s="98" customFormat="1" x14ac:dyDescent="0.35">
      <c r="A48" s="625" t="s">
        <v>385</v>
      </c>
      <c r="B48" s="100"/>
      <c r="C48" s="101"/>
      <c r="D48" s="101"/>
      <c r="E48" s="101"/>
      <c r="F48" s="52"/>
      <c r="G48" s="137"/>
      <c r="H48" s="182"/>
    </row>
    <row r="49" spans="1:6" s="98" customFormat="1" x14ac:dyDescent="0.35">
      <c r="A49" s="626" t="s">
        <v>386</v>
      </c>
      <c r="B49" s="100"/>
      <c r="D49" s="101"/>
      <c r="E49" s="138" t="s">
        <v>407</v>
      </c>
      <c r="F49" s="52"/>
    </row>
    <row r="51" spans="1:6" x14ac:dyDescent="0.35">
      <c r="B51" s="328"/>
      <c r="C51" s="233"/>
    </row>
    <row r="52" spans="1:6" x14ac:dyDescent="0.35">
      <c r="B52" s="328"/>
      <c r="C52" s="233"/>
    </row>
    <row r="59" spans="1:6" x14ac:dyDescent="0.35">
      <c r="B59" s="234"/>
      <c r="C59" s="234"/>
    </row>
    <row r="60" spans="1:6" x14ac:dyDescent="0.35">
      <c r="B60" s="234"/>
      <c r="C60" s="234"/>
    </row>
    <row r="61" spans="1:6" x14ac:dyDescent="0.35">
      <c r="B61" s="234"/>
      <c r="C61" s="234"/>
    </row>
    <row r="62" spans="1:6" x14ac:dyDescent="0.35">
      <c r="B62" s="234"/>
      <c r="C62" s="234"/>
    </row>
    <row r="63" spans="1:6" x14ac:dyDescent="0.35">
      <c r="B63" s="234"/>
      <c r="C63" s="234"/>
    </row>
    <row r="64" spans="1:6" x14ac:dyDescent="0.35">
      <c r="B64" s="234"/>
      <c r="C64" s="234"/>
    </row>
    <row r="65" spans="2:3" x14ac:dyDescent="0.35">
      <c r="B65" s="234"/>
      <c r="C65" s="234"/>
    </row>
    <row r="66" spans="2:3" x14ac:dyDescent="0.35">
      <c r="B66" s="234"/>
      <c r="C66" s="234"/>
    </row>
    <row r="67" spans="2:3" x14ac:dyDescent="0.35">
      <c r="B67" s="234"/>
      <c r="C67" s="234"/>
    </row>
    <row r="68" spans="2:3" x14ac:dyDescent="0.35">
      <c r="B68" s="234"/>
      <c r="C68" s="234"/>
    </row>
    <row r="69" spans="2:3" x14ac:dyDescent="0.35">
      <c r="B69" s="234"/>
      <c r="C69" s="234"/>
    </row>
    <row r="70" spans="2:3" x14ac:dyDescent="0.35">
      <c r="B70" s="234"/>
      <c r="C70" s="234"/>
    </row>
    <row r="71" spans="2:3" x14ac:dyDescent="0.35">
      <c r="B71" s="234"/>
      <c r="C71" s="234"/>
    </row>
    <row r="72" spans="2:3" x14ac:dyDescent="0.35">
      <c r="B72" s="234"/>
      <c r="C72" s="234"/>
    </row>
    <row r="73" spans="2:3" x14ac:dyDescent="0.35">
      <c r="B73" s="234"/>
      <c r="C73" s="234"/>
    </row>
    <row r="74" spans="2:3" x14ac:dyDescent="0.35">
      <c r="B74" s="234"/>
      <c r="C74" s="234"/>
    </row>
    <row r="75" spans="2:3" x14ac:dyDescent="0.35">
      <c r="B75" s="234"/>
      <c r="C75" s="234"/>
    </row>
    <row r="76" spans="2:3" x14ac:dyDescent="0.35">
      <c r="B76" s="234"/>
      <c r="C76" s="234"/>
    </row>
    <row r="77" spans="2:3" x14ac:dyDescent="0.35">
      <c r="B77" s="234"/>
      <c r="C77" s="234"/>
    </row>
    <row r="78" spans="2:3" x14ac:dyDescent="0.35">
      <c r="B78" s="234"/>
      <c r="C78" s="234"/>
    </row>
    <row r="79" spans="2:3" x14ac:dyDescent="0.35">
      <c r="B79" s="234"/>
      <c r="C79" s="234"/>
    </row>
    <row r="80" spans="2:3" x14ac:dyDescent="0.35">
      <c r="B80" s="234"/>
      <c r="C80" s="234"/>
    </row>
    <row r="81" spans="2:3" x14ac:dyDescent="0.35">
      <c r="B81" s="234"/>
      <c r="C81" s="234"/>
    </row>
    <row r="82" spans="2:3" x14ac:dyDescent="0.35">
      <c r="B82" s="234"/>
      <c r="C82" s="234"/>
    </row>
    <row r="83" spans="2:3" x14ac:dyDescent="0.35">
      <c r="B83" s="234"/>
      <c r="C83" s="234"/>
    </row>
    <row r="84" spans="2:3" x14ac:dyDescent="0.35">
      <c r="B84" s="234"/>
      <c r="C84" s="234"/>
    </row>
    <row r="85" spans="2:3" x14ac:dyDescent="0.35">
      <c r="B85" s="234"/>
      <c r="C85" s="234"/>
    </row>
    <row r="86" spans="2:3" x14ac:dyDescent="0.35">
      <c r="B86" s="234"/>
      <c r="C86" s="234"/>
    </row>
    <row r="87" spans="2:3" x14ac:dyDescent="0.35">
      <c r="B87" s="234"/>
      <c r="C87" s="234"/>
    </row>
    <row r="88" spans="2:3" x14ac:dyDescent="0.35">
      <c r="B88" s="234"/>
      <c r="C88" s="234"/>
    </row>
    <row r="89" spans="2:3" x14ac:dyDescent="0.35">
      <c r="B89" s="234"/>
      <c r="C89" s="234"/>
    </row>
    <row r="90" spans="2:3" x14ac:dyDescent="0.35">
      <c r="B90" s="234"/>
      <c r="C90" s="234"/>
    </row>
    <row r="91" spans="2:3" x14ac:dyDescent="0.35">
      <c r="B91" s="234"/>
      <c r="C91" s="234"/>
    </row>
    <row r="92" spans="2:3" x14ac:dyDescent="0.35">
      <c r="B92" s="234"/>
      <c r="C92" s="234"/>
    </row>
    <row r="93" spans="2:3" x14ac:dyDescent="0.35">
      <c r="B93" s="234"/>
      <c r="C93" s="234"/>
    </row>
    <row r="94" spans="2:3" x14ac:dyDescent="0.35">
      <c r="B94" s="234"/>
      <c r="C94" s="234"/>
    </row>
    <row r="95" spans="2:3" x14ac:dyDescent="0.35">
      <c r="B95" s="234"/>
      <c r="C95" s="234"/>
    </row>
    <row r="96" spans="2:3" x14ac:dyDescent="0.35">
      <c r="B96" s="234"/>
      <c r="C96" s="234"/>
    </row>
    <row r="97" spans="2:3" x14ac:dyDescent="0.35">
      <c r="B97" s="234"/>
      <c r="C97" s="234"/>
    </row>
    <row r="98" spans="2:3" x14ac:dyDescent="0.35">
      <c r="B98" s="234"/>
      <c r="C98" s="234"/>
    </row>
    <row r="99" spans="2:3" x14ac:dyDescent="0.35">
      <c r="B99" s="234"/>
      <c r="C99" s="234"/>
    </row>
    <row r="100" spans="2:3" x14ac:dyDescent="0.35">
      <c r="B100" s="234"/>
      <c r="C100" s="234"/>
    </row>
    <row r="101" spans="2:3" x14ac:dyDescent="0.35">
      <c r="B101" s="234"/>
      <c r="C101" s="234"/>
    </row>
    <row r="102" spans="2:3" x14ac:dyDescent="0.35">
      <c r="B102" s="234"/>
      <c r="C102" s="234"/>
    </row>
    <row r="103" spans="2:3" x14ac:dyDescent="0.35">
      <c r="B103" s="234"/>
      <c r="C103" s="234"/>
    </row>
    <row r="104" spans="2:3" x14ac:dyDescent="0.35">
      <c r="B104" s="234"/>
      <c r="C104" s="234"/>
    </row>
    <row r="105" spans="2:3" x14ac:dyDescent="0.35">
      <c r="B105" s="234"/>
      <c r="C105" s="234"/>
    </row>
    <row r="106" spans="2:3" x14ac:dyDescent="0.35">
      <c r="B106" s="234"/>
      <c r="C106" s="234"/>
    </row>
    <row r="107" spans="2:3" x14ac:dyDescent="0.35">
      <c r="B107" s="234"/>
      <c r="C107" s="234"/>
    </row>
    <row r="108" spans="2:3" x14ac:dyDescent="0.35">
      <c r="B108" s="234"/>
      <c r="C108" s="234"/>
    </row>
    <row r="109" spans="2:3" x14ac:dyDescent="0.35">
      <c r="B109" s="234"/>
      <c r="C109" s="234"/>
    </row>
    <row r="110" spans="2:3" x14ac:dyDescent="0.35">
      <c r="B110" s="234"/>
      <c r="C110" s="234"/>
    </row>
    <row r="111" spans="2:3" x14ac:dyDescent="0.35">
      <c r="B111" s="234"/>
      <c r="C111" s="234"/>
    </row>
    <row r="112" spans="2:3" x14ac:dyDescent="0.35">
      <c r="B112" s="234"/>
      <c r="C112" s="234"/>
    </row>
    <row r="113" spans="2:3" x14ac:dyDescent="0.35">
      <c r="B113" s="234"/>
      <c r="C113" s="234"/>
    </row>
    <row r="114" spans="2:3" x14ac:dyDescent="0.35">
      <c r="B114" s="234"/>
      <c r="C114" s="234"/>
    </row>
    <row r="115" spans="2:3" x14ac:dyDescent="0.35">
      <c r="B115" s="234"/>
      <c r="C115" s="234"/>
    </row>
    <row r="116" spans="2:3" x14ac:dyDescent="0.35">
      <c r="B116" s="234"/>
      <c r="C116" s="234"/>
    </row>
    <row r="117" spans="2:3" x14ac:dyDescent="0.35">
      <c r="B117" s="234"/>
      <c r="C117" s="234"/>
    </row>
    <row r="118" spans="2:3" x14ac:dyDescent="0.35">
      <c r="B118" s="234"/>
      <c r="C118" s="234"/>
    </row>
    <row r="119" spans="2:3" x14ac:dyDescent="0.35">
      <c r="B119" s="234"/>
      <c r="C119" s="234"/>
    </row>
    <row r="120" spans="2:3" x14ac:dyDescent="0.35">
      <c r="B120" s="234"/>
      <c r="C120" s="234"/>
    </row>
    <row r="121" spans="2:3" x14ac:dyDescent="0.35">
      <c r="B121" s="234"/>
      <c r="C121" s="234"/>
    </row>
    <row r="122" spans="2:3" x14ac:dyDescent="0.35">
      <c r="B122" s="234"/>
      <c r="C122" s="234"/>
    </row>
    <row r="123" spans="2:3" x14ac:dyDescent="0.35">
      <c r="B123" s="234"/>
      <c r="C123" s="234"/>
    </row>
    <row r="124" spans="2:3" x14ac:dyDescent="0.35">
      <c r="B124" s="234"/>
      <c r="C124" s="234"/>
    </row>
    <row r="125" spans="2:3" x14ac:dyDescent="0.35">
      <c r="B125" s="234"/>
      <c r="C125" s="234"/>
    </row>
    <row r="126" spans="2:3" x14ac:dyDescent="0.35">
      <c r="B126" s="234"/>
      <c r="C126" s="234"/>
    </row>
    <row r="127" spans="2:3" x14ac:dyDescent="0.35">
      <c r="B127" s="234"/>
      <c r="C127" s="234"/>
    </row>
    <row r="128" spans="2:3" x14ac:dyDescent="0.35">
      <c r="B128" s="234"/>
      <c r="C128" s="234"/>
    </row>
    <row r="129" spans="2:3" x14ac:dyDescent="0.35">
      <c r="B129" s="234"/>
      <c r="C129" s="234"/>
    </row>
    <row r="130" spans="2:3" x14ac:dyDescent="0.35">
      <c r="B130" s="234"/>
      <c r="C130" s="234"/>
    </row>
    <row r="131" spans="2:3" x14ac:dyDescent="0.35">
      <c r="B131" s="234"/>
      <c r="C131" s="234"/>
    </row>
    <row r="132" spans="2:3" x14ac:dyDescent="0.35">
      <c r="B132" s="234"/>
      <c r="C132" s="234"/>
    </row>
    <row r="133" spans="2:3" x14ac:dyDescent="0.35">
      <c r="B133" s="234"/>
      <c r="C133" s="234"/>
    </row>
    <row r="134" spans="2:3" x14ac:dyDescent="0.35">
      <c r="B134" s="234"/>
      <c r="C134" s="234"/>
    </row>
    <row r="135" spans="2:3" x14ac:dyDescent="0.35">
      <c r="B135" s="234"/>
      <c r="C135" s="234"/>
    </row>
    <row r="136" spans="2:3" x14ac:dyDescent="0.35">
      <c r="B136" s="234"/>
      <c r="C136" s="234"/>
    </row>
  </sheetData>
  <mergeCells count="5">
    <mergeCell ref="C11:E11"/>
    <mergeCell ref="A8:E8"/>
    <mergeCell ref="A44:E44"/>
    <mergeCell ref="A11:A12"/>
    <mergeCell ref="B11:B12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2" fitToHeight="0" orientation="portrait" blackAndWhite="1" errors="blank" r:id="rId1"/>
  <headerFooter differentFirst="1">
    <oddHeader>&amp;C&amp;"Times New Roman,обычный"&amp;12&amp;P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"/>
  <sheetViews>
    <sheetView zoomScaleNormal="100" workbookViewId="0">
      <selection activeCell="I9" sqref="I9"/>
    </sheetView>
  </sheetViews>
  <sheetFormatPr defaultColWidth="8.88671875" defaultRowHeight="18" x14ac:dyDescent="0.35"/>
  <cols>
    <col min="1" max="1" width="65" style="42" customWidth="1"/>
    <col min="2" max="2" width="14.6640625" style="42" customWidth="1"/>
    <col min="3" max="3" width="13.33203125" style="42" customWidth="1"/>
    <col min="4" max="4" width="11" style="42" customWidth="1"/>
    <col min="5" max="16384" width="8.88671875" style="42"/>
  </cols>
  <sheetData>
    <row r="1" spans="1:4" x14ac:dyDescent="0.35">
      <c r="D1" s="192" t="s">
        <v>577</v>
      </c>
    </row>
    <row r="2" spans="1:4" x14ac:dyDescent="0.35">
      <c r="D2" s="192" t="s">
        <v>719</v>
      </c>
    </row>
    <row r="4" spans="1:4" x14ac:dyDescent="0.35">
      <c r="D4" s="48" t="s">
        <v>579</v>
      </c>
    </row>
    <row r="5" spans="1:4" x14ac:dyDescent="0.35">
      <c r="D5" s="48" t="s">
        <v>631</v>
      </c>
    </row>
    <row r="10" spans="1:4" ht="57" customHeight="1" x14ac:dyDescent="0.35">
      <c r="A10" s="734" t="s">
        <v>564</v>
      </c>
      <c r="B10" s="734"/>
      <c r="C10" s="734"/>
      <c r="D10" s="734"/>
    </row>
    <row r="11" spans="1:4" ht="16.95" customHeight="1" x14ac:dyDescent="0.35">
      <c r="A11" s="610"/>
      <c r="B11" s="610"/>
      <c r="C11" s="330"/>
    </row>
    <row r="12" spans="1:4" x14ac:dyDescent="0.35">
      <c r="D12" s="48" t="s">
        <v>23</v>
      </c>
    </row>
    <row r="13" spans="1:4" ht="19.95" customHeight="1" x14ac:dyDescent="0.35">
      <c r="A13" s="676" t="s">
        <v>258</v>
      </c>
      <c r="B13" s="731" t="s">
        <v>15</v>
      </c>
      <c r="C13" s="732"/>
      <c r="D13" s="733"/>
    </row>
    <row r="14" spans="1:4" ht="31.95" customHeight="1" x14ac:dyDescent="0.35">
      <c r="A14" s="677"/>
      <c r="B14" s="429" t="s">
        <v>427</v>
      </c>
      <c r="C14" s="429" t="s">
        <v>484</v>
      </c>
      <c r="D14" s="429" t="s">
        <v>557</v>
      </c>
    </row>
    <row r="15" spans="1:4" x14ac:dyDescent="0.35">
      <c r="A15" s="62">
        <v>1</v>
      </c>
      <c r="B15" s="62">
        <v>2</v>
      </c>
      <c r="C15" s="62">
        <v>3</v>
      </c>
      <c r="D15" s="62">
        <v>4</v>
      </c>
    </row>
    <row r="16" spans="1:4" ht="22.95" customHeight="1" x14ac:dyDescent="0.35">
      <c r="A16" s="331" t="s">
        <v>316</v>
      </c>
      <c r="B16" s="332">
        <f>SUM(B17:B18)</f>
        <v>59313.173999999999</v>
      </c>
      <c r="C16" s="332">
        <f>SUM(C17:C18)</f>
        <v>7000</v>
      </c>
      <c r="D16" s="332">
        <f>SUM(D17:D18)</f>
        <v>7000</v>
      </c>
    </row>
    <row r="17" spans="1:8" ht="36" x14ac:dyDescent="0.35">
      <c r="A17" s="249" t="s">
        <v>259</v>
      </c>
      <c r="B17" s="317">
        <f>'прил9 (ведом 22)'!M319</f>
        <v>7000</v>
      </c>
      <c r="C17" s="317">
        <f>'прил10 (ведом 23-24)'!M206</f>
        <v>7000</v>
      </c>
      <c r="D17" s="317">
        <f>'прил10 (ведом 23-24)'!N206</f>
        <v>7000</v>
      </c>
    </row>
    <row r="18" spans="1:8" ht="36" x14ac:dyDescent="0.35">
      <c r="A18" s="333" t="s">
        <v>454</v>
      </c>
      <c r="B18" s="317">
        <f>'прил9 (ведом 22)'!M107+'прил9 (ведом 22)'!M109+'прил9 (ведом 22)'!M117+'прил9 (ведом 22)'!M236+'прил9 (ведом 22)'!M239+'прил9 (ведом 22)'!M242+'прил9 (ведом 22)'!M245+'прил9 (ведом 22)'!M248+'прил9 (ведом 22)'!M251+'прил9 (ведом 22)'!M254+'прил9 (ведом 22)'!M257+'прил9 (ведом 22)'!M260+'прил9 (ведом 22)'!M325+'прил9 (ведом 22)'!M263+'прил9 (ведом 22)'!M266+'прил9 (ведом 22)'!M269+'прил9 (ведом 22)'!M272+'прил9 (ведом 22)'!M275+'прил9 (ведом 22)'!M278+'прил9 (ведом 22)'!M281+'прил9 (ведом 22)'!M285</f>
        <v>52313.173999999999</v>
      </c>
      <c r="C18" s="317">
        <v>0</v>
      </c>
      <c r="D18" s="317">
        <v>0</v>
      </c>
    </row>
    <row r="21" spans="1:8" s="98" customFormat="1" x14ac:dyDescent="0.35">
      <c r="A21" s="611" t="s">
        <v>384</v>
      </c>
      <c r="B21" s="100"/>
      <c r="C21" s="101"/>
      <c r="D21" s="101"/>
      <c r="E21" s="101"/>
      <c r="F21" s="52"/>
      <c r="G21" s="137"/>
      <c r="H21" s="182"/>
    </row>
    <row r="22" spans="1:8" s="98" customFormat="1" x14ac:dyDescent="0.35">
      <c r="A22" s="611" t="s">
        <v>385</v>
      </c>
      <c r="B22" s="100"/>
      <c r="C22" s="101"/>
      <c r="D22" s="101"/>
      <c r="E22" s="101"/>
      <c r="F22" s="52"/>
      <c r="G22" s="137"/>
      <c r="H22" s="182"/>
    </row>
    <row r="23" spans="1:8" s="98" customFormat="1" x14ac:dyDescent="0.35">
      <c r="A23" s="612" t="s">
        <v>386</v>
      </c>
      <c r="D23" s="138" t="s">
        <v>407</v>
      </c>
      <c r="E23" s="101"/>
      <c r="F23" s="52"/>
    </row>
  </sheetData>
  <mergeCells count="3">
    <mergeCell ref="B13:D13"/>
    <mergeCell ref="A13:A14"/>
    <mergeCell ref="A10:D10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20"/>
  <sheetViews>
    <sheetView zoomScale="80" zoomScaleNormal="80" zoomScaleSheetLayoutView="80" workbookViewId="0">
      <selection activeCell="C2" sqref="C2"/>
    </sheetView>
  </sheetViews>
  <sheetFormatPr defaultColWidth="8.88671875" defaultRowHeight="18" x14ac:dyDescent="0.35"/>
  <cols>
    <col min="1" max="1" width="28.109375" style="73" customWidth="1"/>
    <col min="2" max="2" width="72.6640625" style="73" customWidth="1"/>
    <col min="3" max="3" width="15" style="72" customWidth="1"/>
    <col min="4" max="4" width="11.33203125" style="58" customWidth="1"/>
    <col min="5" max="16384" width="8.88671875" style="42"/>
  </cols>
  <sheetData>
    <row r="1" spans="1:4" s="234" customFormat="1" x14ac:dyDescent="0.35">
      <c r="B1" s="324"/>
      <c r="C1" s="48" t="s">
        <v>570</v>
      </c>
    </row>
    <row r="2" spans="1:4" s="234" customFormat="1" x14ac:dyDescent="0.35">
      <c r="B2" s="324"/>
      <c r="C2" s="192" t="s">
        <v>719</v>
      </c>
    </row>
    <row r="5" spans="1:4" x14ac:dyDescent="0.35">
      <c r="C5" s="48" t="s">
        <v>570</v>
      </c>
    </row>
    <row r="6" spans="1:4" x14ac:dyDescent="0.35">
      <c r="C6" s="192" t="s">
        <v>631</v>
      </c>
    </row>
    <row r="8" spans="1:4" ht="25.95" customHeight="1" x14ac:dyDescent="0.35"/>
    <row r="9" spans="1:4" ht="15.75" customHeight="1" x14ac:dyDescent="0.35"/>
    <row r="10" spans="1:4" ht="40.200000000000003" customHeight="1" x14ac:dyDescent="0.35">
      <c r="A10" s="673" t="s">
        <v>697</v>
      </c>
      <c r="B10" s="673"/>
      <c r="C10" s="673"/>
    </row>
    <row r="11" spans="1:4" x14ac:dyDescent="0.35">
      <c r="A11" s="74"/>
      <c r="B11" s="74"/>
      <c r="C11" s="59"/>
    </row>
    <row r="12" spans="1:4" x14ac:dyDescent="0.35">
      <c r="C12" s="60" t="s">
        <v>23</v>
      </c>
    </row>
    <row r="13" spans="1:4" x14ac:dyDescent="0.35">
      <c r="A13" s="47" t="s">
        <v>13</v>
      </c>
      <c r="B13" s="47" t="s">
        <v>14</v>
      </c>
      <c r="C13" s="61" t="s">
        <v>15</v>
      </c>
    </row>
    <row r="14" spans="1:4" x14ac:dyDescent="0.35">
      <c r="A14" s="47">
        <v>1</v>
      </c>
      <c r="B14" s="47">
        <v>2</v>
      </c>
      <c r="C14" s="63">
        <v>3</v>
      </c>
    </row>
    <row r="15" spans="1:4" ht="23.4" customHeight="1" x14ac:dyDescent="0.35">
      <c r="A15" s="49" t="s">
        <v>16</v>
      </c>
      <c r="B15" s="64" t="s">
        <v>314</v>
      </c>
      <c r="C15" s="65">
        <f>C16</f>
        <v>1436087.2</v>
      </c>
      <c r="D15" s="237"/>
    </row>
    <row r="16" spans="1:4" ht="38.4" customHeight="1" x14ac:dyDescent="0.35">
      <c r="A16" s="47" t="s">
        <v>17</v>
      </c>
      <c r="B16" s="75" t="s">
        <v>18</v>
      </c>
      <c r="C16" s="80">
        <f>C17+C51+C22+C78</f>
        <v>1436087.2</v>
      </c>
      <c r="D16" s="237"/>
    </row>
    <row r="17" spans="1:4" ht="37.950000000000003" customHeight="1" x14ac:dyDescent="0.35">
      <c r="A17" s="47" t="s">
        <v>416</v>
      </c>
      <c r="B17" s="75" t="s">
        <v>347</v>
      </c>
      <c r="C17" s="80">
        <f>C18+C20</f>
        <v>217670.9</v>
      </c>
      <c r="D17" s="237"/>
    </row>
    <row r="18" spans="1:4" ht="21.6" customHeight="1" x14ac:dyDescent="0.35">
      <c r="A18" s="47" t="s">
        <v>417</v>
      </c>
      <c r="B18" s="75" t="s">
        <v>19</v>
      </c>
      <c r="C18" s="80">
        <f>C19</f>
        <v>207780.1</v>
      </c>
      <c r="D18" s="237"/>
    </row>
    <row r="19" spans="1:4" ht="59.4" customHeight="1" x14ac:dyDescent="0.35">
      <c r="A19" s="47" t="s">
        <v>413</v>
      </c>
      <c r="B19" s="75" t="s">
        <v>451</v>
      </c>
      <c r="C19" s="80">
        <v>207780.1</v>
      </c>
      <c r="D19" s="237"/>
    </row>
    <row r="20" spans="1:4" x14ac:dyDescent="0.35">
      <c r="A20" s="47" t="s">
        <v>707</v>
      </c>
      <c r="B20" s="75" t="s">
        <v>708</v>
      </c>
      <c r="C20" s="80">
        <f>C21</f>
        <v>9890.7999999999993</v>
      </c>
      <c r="D20" s="237"/>
    </row>
    <row r="21" spans="1:4" x14ac:dyDescent="0.35">
      <c r="A21" s="47" t="s">
        <v>709</v>
      </c>
      <c r="B21" s="75" t="s">
        <v>710</v>
      </c>
      <c r="C21" s="80">
        <v>9890.7999999999993</v>
      </c>
      <c r="D21" s="237"/>
    </row>
    <row r="22" spans="1:4" ht="39.6" customHeight="1" x14ac:dyDescent="0.35">
      <c r="A22" s="47" t="s">
        <v>418</v>
      </c>
      <c r="B22" s="76" t="s">
        <v>376</v>
      </c>
      <c r="C22" s="80">
        <f>C23+C27+C29+C39+C33+C31+C36</f>
        <v>346948.80000000005</v>
      </c>
      <c r="D22" s="237"/>
    </row>
    <row r="23" spans="1:4" ht="48" customHeight="1" x14ac:dyDescent="0.35">
      <c r="A23" s="47" t="s">
        <v>441</v>
      </c>
      <c r="B23" s="76" t="s">
        <v>442</v>
      </c>
      <c r="C23" s="80">
        <f>C24</f>
        <v>103320.5</v>
      </c>
      <c r="D23" s="237"/>
    </row>
    <row r="24" spans="1:4" ht="56.4" customHeight="1" x14ac:dyDescent="0.35">
      <c r="A24" s="47" t="s">
        <v>439</v>
      </c>
      <c r="B24" s="76" t="s">
        <v>440</v>
      </c>
      <c r="C24" s="80">
        <f>C25+C26</f>
        <v>103320.5</v>
      </c>
      <c r="D24" s="237"/>
    </row>
    <row r="25" spans="1:4" ht="90" x14ac:dyDescent="0.35">
      <c r="A25" s="47"/>
      <c r="B25" s="275" t="s">
        <v>602</v>
      </c>
      <c r="C25" s="82">
        <f>123554-60780.7</f>
        <v>62773.3</v>
      </c>
      <c r="D25" s="237"/>
    </row>
    <row r="26" spans="1:4" ht="54" x14ac:dyDescent="0.35">
      <c r="A26" s="46"/>
      <c r="B26" s="274" t="s">
        <v>489</v>
      </c>
      <c r="C26" s="81">
        <f>11737.1+19543.3+9266.8</f>
        <v>40547.199999999997</v>
      </c>
      <c r="D26" s="237"/>
    </row>
    <row r="27" spans="1:4" ht="144" x14ac:dyDescent="0.35">
      <c r="A27" s="47" t="s">
        <v>496</v>
      </c>
      <c r="B27" s="75" t="s">
        <v>495</v>
      </c>
      <c r="C27" s="81">
        <f>C28</f>
        <v>30033.800000000003</v>
      </c>
      <c r="D27" s="237"/>
    </row>
    <row r="28" spans="1:4" ht="144" x14ac:dyDescent="0.35">
      <c r="A28" s="47" t="s">
        <v>498</v>
      </c>
      <c r="B28" s="75" t="s">
        <v>497</v>
      </c>
      <c r="C28" s="81">
        <f>21532.7+8501.1</f>
        <v>30033.800000000003</v>
      </c>
      <c r="D28" s="237"/>
    </row>
    <row r="29" spans="1:4" ht="108" x14ac:dyDescent="0.35">
      <c r="A29" s="47" t="s">
        <v>581</v>
      </c>
      <c r="B29" s="75" t="s">
        <v>582</v>
      </c>
      <c r="C29" s="81">
        <f>C30</f>
        <v>21236.9</v>
      </c>
      <c r="D29" s="237"/>
    </row>
    <row r="30" spans="1:4" ht="108" x14ac:dyDescent="0.35">
      <c r="A30" s="47" t="s">
        <v>499</v>
      </c>
      <c r="B30" s="75" t="s">
        <v>500</v>
      </c>
      <c r="C30" s="81">
        <f>15225.8+6011.1</f>
        <v>21236.9</v>
      </c>
      <c r="D30" s="237"/>
    </row>
    <row r="31" spans="1:4" s="58" customFormat="1" ht="80.25" customHeight="1" x14ac:dyDescent="0.35">
      <c r="A31" s="46" t="s">
        <v>481</v>
      </c>
      <c r="B31" s="76" t="s">
        <v>486</v>
      </c>
      <c r="C31" s="80">
        <f>C32</f>
        <v>55668.399999999994</v>
      </c>
      <c r="D31" s="237"/>
    </row>
    <row r="32" spans="1:4" s="58" customFormat="1" ht="79.5" customHeight="1" x14ac:dyDescent="0.35">
      <c r="A32" s="46" t="s">
        <v>477</v>
      </c>
      <c r="B32" s="76" t="s">
        <v>478</v>
      </c>
      <c r="C32" s="80">
        <f>57283.2-1614.8</f>
        <v>55668.399999999994</v>
      </c>
      <c r="D32" s="237"/>
    </row>
    <row r="33" spans="1:4" s="58" customFormat="1" ht="28.2" customHeight="1" x14ac:dyDescent="0.35">
      <c r="A33" s="46" t="s">
        <v>666</v>
      </c>
      <c r="B33" s="76" t="s">
        <v>667</v>
      </c>
      <c r="C33" s="80">
        <f>C34</f>
        <v>505.1</v>
      </c>
      <c r="D33" s="237"/>
    </row>
    <row r="34" spans="1:4" s="58" customFormat="1" ht="36" customHeight="1" x14ac:dyDescent="0.35">
      <c r="A34" s="46" t="s">
        <v>665</v>
      </c>
      <c r="B34" s="76" t="s">
        <v>668</v>
      </c>
      <c r="C34" s="80">
        <f>C35</f>
        <v>505.1</v>
      </c>
      <c r="D34" s="237"/>
    </row>
    <row r="35" spans="1:4" s="58" customFormat="1" ht="61.95" customHeight="1" x14ac:dyDescent="0.35">
      <c r="A35" s="46"/>
      <c r="B35" s="275" t="s">
        <v>669</v>
      </c>
      <c r="C35" s="82">
        <v>505.1</v>
      </c>
      <c r="D35" s="237"/>
    </row>
    <row r="36" spans="1:4" s="58" customFormat="1" ht="61.95" customHeight="1" x14ac:dyDescent="0.35">
      <c r="A36" s="46" t="s">
        <v>691</v>
      </c>
      <c r="B36" s="76" t="s">
        <v>692</v>
      </c>
      <c r="C36" s="80">
        <f>C37</f>
        <v>518.4</v>
      </c>
      <c r="D36" s="237"/>
    </row>
    <row r="37" spans="1:4" s="58" customFormat="1" ht="45" customHeight="1" x14ac:dyDescent="0.35">
      <c r="A37" s="46" t="s">
        <v>693</v>
      </c>
      <c r="B37" s="76" t="s">
        <v>694</v>
      </c>
      <c r="C37" s="80">
        <f>C38</f>
        <v>518.4</v>
      </c>
      <c r="D37" s="237"/>
    </row>
    <row r="38" spans="1:4" s="58" customFormat="1" ht="126" x14ac:dyDescent="0.35">
      <c r="A38" s="46"/>
      <c r="B38" s="275" t="s">
        <v>699</v>
      </c>
      <c r="C38" s="80">
        <v>518.4</v>
      </c>
      <c r="D38" s="237"/>
    </row>
    <row r="39" spans="1:4" ht="22.2" customHeight="1" x14ac:dyDescent="0.35">
      <c r="A39" s="46" t="s">
        <v>419</v>
      </c>
      <c r="B39" s="76" t="s">
        <v>307</v>
      </c>
      <c r="C39" s="80">
        <f>C40</f>
        <v>135665.70000000001</v>
      </c>
      <c r="D39" s="237"/>
    </row>
    <row r="40" spans="1:4" ht="37.950000000000003" customHeight="1" x14ac:dyDescent="0.35">
      <c r="A40" s="46" t="s">
        <v>410</v>
      </c>
      <c r="B40" s="76" t="s">
        <v>308</v>
      </c>
      <c r="C40" s="80">
        <f>SUM(C41:C50)</f>
        <v>135665.70000000001</v>
      </c>
      <c r="D40" s="237"/>
    </row>
    <row r="41" spans="1:4" ht="234" x14ac:dyDescent="0.35">
      <c r="A41" s="66"/>
      <c r="B41" s="274" t="s">
        <v>548</v>
      </c>
      <c r="C41" s="82">
        <v>40</v>
      </c>
      <c r="D41" s="238"/>
    </row>
    <row r="42" spans="1:4" ht="54" x14ac:dyDescent="0.35">
      <c r="A42" s="66"/>
      <c r="B42" s="274" t="s">
        <v>428</v>
      </c>
      <c r="C42" s="82">
        <f>899.4+77.2</f>
        <v>976.6</v>
      </c>
      <c r="D42" s="238"/>
    </row>
    <row r="43" spans="1:4" ht="72" x14ac:dyDescent="0.35">
      <c r="A43" s="66"/>
      <c r="B43" s="275" t="s">
        <v>547</v>
      </c>
      <c r="C43" s="82">
        <f>740+13482.4</f>
        <v>14222.4</v>
      </c>
      <c r="D43" s="238"/>
    </row>
    <row r="44" spans="1:4" ht="90" x14ac:dyDescent="0.35">
      <c r="A44" s="66"/>
      <c r="B44" s="275" t="s">
        <v>606</v>
      </c>
      <c r="C44" s="82">
        <v>3822.4</v>
      </c>
      <c r="D44" s="238"/>
    </row>
    <row r="45" spans="1:4" ht="36" x14ac:dyDescent="0.35">
      <c r="A45" s="66"/>
      <c r="B45" s="275" t="s">
        <v>608</v>
      </c>
      <c r="C45" s="82">
        <v>12955.3</v>
      </c>
      <c r="D45" s="238"/>
    </row>
    <row r="46" spans="1:4" ht="54" x14ac:dyDescent="0.35">
      <c r="A46" s="66"/>
      <c r="B46" s="275" t="s">
        <v>565</v>
      </c>
      <c r="C46" s="82">
        <v>8140.7</v>
      </c>
      <c r="D46" s="238"/>
    </row>
    <row r="47" spans="1:4" ht="72" x14ac:dyDescent="0.35">
      <c r="A47" s="66"/>
      <c r="B47" s="275" t="s">
        <v>603</v>
      </c>
      <c r="C47" s="82">
        <v>8943.5</v>
      </c>
      <c r="D47" s="238"/>
    </row>
    <row r="48" spans="1:4" ht="144" x14ac:dyDescent="0.35">
      <c r="A48" s="66"/>
      <c r="B48" s="275" t="s">
        <v>675</v>
      </c>
      <c r="C48" s="82">
        <v>4966.3999999999996</v>
      </c>
      <c r="D48" s="238"/>
    </row>
    <row r="49" spans="1:4" ht="54" x14ac:dyDescent="0.35">
      <c r="A49" s="66"/>
      <c r="B49" s="275" t="s">
        <v>712</v>
      </c>
      <c r="C49" s="82">
        <v>20118.8</v>
      </c>
      <c r="D49" s="238"/>
    </row>
    <row r="50" spans="1:4" ht="36" x14ac:dyDescent="0.35">
      <c r="A50" s="66"/>
      <c r="B50" s="275" t="s">
        <v>713</v>
      </c>
      <c r="C50" s="82">
        <v>61479.6</v>
      </c>
      <c r="D50" s="238"/>
    </row>
    <row r="51" spans="1:4" ht="36" x14ac:dyDescent="0.35">
      <c r="A51" s="47" t="s">
        <v>420</v>
      </c>
      <c r="B51" s="75" t="s">
        <v>348</v>
      </c>
      <c r="C51" s="80">
        <f>C52+B7+C70+C72+C74+C76</f>
        <v>865667.6</v>
      </c>
      <c r="D51" s="237"/>
    </row>
    <row r="52" spans="1:4" ht="39" customHeight="1" x14ac:dyDescent="0.35">
      <c r="A52" s="47" t="s">
        <v>421</v>
      </c>
      <c r="B52" s="75" t="s">
        <v>20</v>
      </c>
      <c r="C52" s="80">
        <f>C53</f>
        <v>745771.8</v>
      </c>
      <c r="D52" s="237"/>
    </row>
    <row r="53" spans="1:4" ht="54" x14ac:dyDescent="0.35">
      <c r="A53" s="47" t="s">
        <v>411</v>
      </c>
      <c r="B53" s="75" t="s">
        <v>21</v>
      </c>
      <c r="C53" s="80">
        <f>SUM(C54:C60)+SUM(C62:C64)+C67+C68+C69</f>
        <v>745771.8</v>
      </c>
      <c r="D53" s="237"/>
    </row>
    <row r="54" spans="1:4" ht="152.25" customHeight="1" x14ac:dyDescent="0.35">
      <c r="A54" s="47"/>
      <c r="B54" s="274" t="s">
        <v>443</v>
      </c>
      <c r="C54" s="82">
        <f>250-93.7</f>
        <v>156.30000000000001</v>
      </c>
      <c r="D54" s="237"/>
    </row>
    <row r="55" spans="1:4" ht="54" x14ac:dyDescent="0.35">
      <c r="A55" s="47"/>
      <c r="B55" s="275" t="s">
        <v>444</v>
      </c>
      <c r="C55" s="415">
        <f>11740.7+78.2+10000</f>
        <v>21818.9</v>
      </c>
      <c r="D55" s="238"/>
    </row>
    <row r="56" spans="1:4" s="67" customFormat="1" ht="72" x14ac:dyDescent="0.35">
      <c r="A56" s="66"/>
      <c r="B56" s="275" t="s">
        <v>262</v>
      </c>
      <c r="C56" s="415">
        <v>2260.9</v>
      </c>
      <c r="D56" s="238"/>
    </row>
    <row r="57" spans="1:4" s="67" customFormat="1" ht="165" customHeight="1" x14ac:dyDescent="0.35">
      <c r="A57" s="47"/>
      <c r="B57" s="275" t="s">
        <v>677</v>
      </c>
      <c r="C57" s="415">
        <f>645.2+78.2</f>
        <v>723.40000000000009</v>
      </c>
      <c r="D57" s="238"/>
    </row>
    <row r="58" spans="1:4" ht="80.25" customHeight="1" x14ac:dyDescent="0.35">
      <c r="A58" s="77"/>
      <c r="B58" s="275" t="s">
        <v>22</v>
      </c>
      <c r="C58" s="415">
        <v>63</v>
      </c>
      <c r="D58" s="238"/>
    </row>
    <row r="59" spans="1:4" ht="154.5" customHeight="1" x14ac:dyDescent="0.35">
      <c r="A59" s="47"/>
      <c r="B59" s="275" t="s">
        <v>445</v>
      </c>
      <c r="C59" s="415">
        <v>63</v>
      </c>
      <c r="D59" s="238"/>
    </row>
    <row r="60" spans="1:4" s="67" customFormat="1" ht="147.75" customHeight="1" x14ac:dyDescent="0.35">
      <c r="A60" s="66"/>
      <c r="B60" s="275" t="s">
        <v>265</v>
      </c>
      <c r="C60" s="415">
        <f>C61</f>
        <v>2227.4</v>
      </c>
      <c r="D60" s="238"/>
    </row>
    <row r="61" spans="1:4" s="67" customFormat="1" ht="60.75" customHeight="1" x14ac:dyDescent="0.35">
      <c r="A61" s="66" t="s">
        <v>261</v>
      </c>
      <c r="B61" s="275" t="s">
        <v>717</v>
      </c>
      <c r="C61" s="415">
        <f>2250.5-23.1</f>
        <v>2227.4</v>
      </c>
      <c r="D61" s="238"/>
    </row>
    <row r="62" spans="1:4" ht="152.4" customHeight="1" x14ac:dyDescent="0.35">
      <c r="A62" s="66"/>
      <c r="B62" s="275" t="s">
        <v>402</v>
      </c>
      <c r="C62" s="415">
        <f>48897.8-8141.8+23923.4</f>
        <v>64679.4</v>
      </c>
      <c r="D62" s="238"/>
    </row>
    <row r="63" spans="1:4" ht="131.25" customHeight="1" x14ac:dyDescent="0.35">
      <c r="A63" s="47"/>
      <c r="B63" s="275" t="s">
        <v>559</v>
      </c>
      <c r="C63" s="415">
        <v>1550.9</v>
      </c>
      <c r="D63" s="238"/>
    </row>
    <row r="64" spans="1:4" ht="99.75" customHeight="1" x14ac:dyDescent="0.35">
      <c r="A64" s="66"/>
      <c r="B64" s="275" t="s">
        <v>351</v>
      </c>
      <c r="C64" s="415">
        <f>SUM(C65:C66)</f>
        <v>641821.5</v>
      </c>
      <c r="D64" s="238"/>
    </row>
    <row r="65" spans="1:13" s="67" customFormat="1" ht="27" customHeight="1" x14ac:dyDescent="0.35">
      <c r="A65" s="66" t="s">
        <v>261</v>
      </c>
      <c r="B65" s="275" t="s">
        <v>263</v>
      </c>
      <c r="C65" s="81">
        <v>214246.3</v>
      </c>
      <c r="D65" s="238"/>
    </row>
    <row r="66" spans="1:13" s="67" customFormat="1" x14ac:dyDescent="0.35">
      <c r="A66" s="66"/>
      <c r="B66" s="416" t="s">
        <v>264</v>
      </c>
      <c r="C66" s="81">
        <f>418856+8719.2</f>
        <v>427575.2</v>
      </c>
      <c r="D66" s="238"/>
    </row>
    <row r="67" spans="1:13" s="67" customFormat="1" ht="204" customHeight="1" x14ac:dyDescent="0.35">
      <c r="A67" s="66"/>
      <c r="B67" s="417" t="s">
        <v>521</v>
      </c>
      <c r="C67" s="415">
        <f>2294.8+780</f>
        <v>3074.8</v>
      </c>
      <c r="D67" s="238"/>
    </row>
    <row r="68" spans="1:13" s="67" customFormat="1" ht="96.75" customHeight="1" x14ac:dyDescent="0.35">
      <c r="A68" s="66"/>
      <c r="B68" s="275" t="s">
        <v>465</v>
      </c>
      <c r="C68" s="415">
        <f>6749.9-2612.6+1168.8</f>
        <v>5306.0999999999995</v>
      </c>
      <c r="D68" s="239"/>
    </row>
    <row r="69" spans="1:13" s="67" customFormat="1" ht="126" x14ac:dyDescent="0.35">
      <c r="A69" s="66"/>
      <c r="B69" s="275" t="s">
        <v>621</v>
      </c>
      <c r="C69" s="415">
        <f>1196.1+830.1</f>
        <v>2026.1999999999998</v>
      </c>
      <c r="D69" s="239"/>
    </row>
    <row r="70" spans="1:13" s="55" customFormat="1" ht="94.5" customHeight="1" x14ac:dyDescent="0.3">
      <c r="A70" s="46" t="s">
        <v>422</v>
      </c>
      <c r="B70" s="75" t="s">
        <v>260</v>
      </c>
      <c r="C70" s="83">
        <f>C71</f>
        <v>6715</v>
      </c>
      <c r="D70" s="238"/>
      <c r="E70" s="52"/>
      <c r="F70" s="53"/>
      <c r="G70" s="54"/>
    </row>
    <row r="71" spans="1:13" s="55" customFormat="1" ht="95.25" customHeight="1" x14ac:dyDescent="0.3">
      <c r="A71" s="46" t="s">
        <v>415</v>
      </c>
      <c r="B71" s="75" t="s">
        <v>8</v>
      </c>
      <c r="C71" s="83">
        <f>5452.5+1262.5</f>
        <v>6715</v>
      </c>
      <c r="D71" s="239"/>
      <c r="E71" s="52"/>
      <c r="H71" s="390"/>
      <c r="I71" s="391"/>
      <c r="J71" s="391"/>
      <c r="K71" s="391"/>
      <c r="L71" s="391"/>
      <c r="M71" s="391"/>
    </row>
    <row r="72" spans="1:13" ht="78.75" customHeight="1" x14ac:dyDescent="0.35">
      <c r="A72" s="47" t="s">
        <v>423</v>
      </c>
      <c r="B72" s="268" t="s">
        <v>401</v>
      </c>
      <c r="C72" s="80">
        <f>C73</f>
        <v>140</v>
      </c>
      <c r="D72" s="238"/>
      <c r="H72" s="391"/>
      <c r="I72" s="391"/>
      <c r="J72" s="391"/>
      <c r="K72" s="391"/>
      <c r="L72" s="391"/>
      <c r="M72" s="391"/>
    </row>
    <row r="73" spans="1:13" ht="87" customHeight="1" x14ac:dyDescent="0.35">
      <c r="A73" s="47" t="s">
        <v>412</v>
      </c>
      <c r="B73" s="268" t="s">
        <v>377</v>
      </c>
      <c r="C73" s="80">
        <f>105+35</f>
        <v>140</v>
      </c>
      <c r="D73" s="238"/>
      <c r="H73" s="391"/>
      <c r="I73" s="391"/>
      <c r="J73" s="391"/>
      <c r="K73" s="391"/>
      <c r="L73" s="391"/>
      <c r="M73" s="391"/>
    </row>
    <row r="74" spans="1:13" ht="87" customHeight="1" x14ac:dyDescent="0.35">
      <c r="A74" s="47" t="s">
        <v>560</v>
      </c>
      <c r="B74" s="268" t="s">
        <v>563</v>
      </c>
      <c r="C74" s="80">
        <f>C75</f>
        <v>35206.100000000006</v>
      </c>
      <c r="D74" s="238"/>
      <c r="H74" s="391"/>
      <c r="I74" s="391"/>
      <c r="J74" s="391"/>
      <c r="K74" s="391"/>
      <c r="L74" s="391"/>
      <c r="M74" s="391"/>
    </row>
    <row r="75" spans="1:13" ht="87" customHeight="1" x14ac:dyDescent="0.35">
      <c r="A75" s="47" t="s">
        <v>561</v>
      </c>
      <c r="B75" s="268" t="s">
        <v>562</v>
      </c>
      <c r="C75" s="80">
        <f>33409.3+1796.8</f>
        <v>35206.100000000006</v>
      </c>
      <c r="D75" s="238"/>
      <c r="H75" s="391"/>
      <c r="I75" s="391"/>
      <c r="J75" s="391"/>
      <c r="K75" s="391"/>
      <c r="L75" s="391"/>
      <c r="M75" s="391"/>
    </row>
    <row r="76" spans="1:13" ht="36" x14ac:dyDescent="0.35">
      <c r="A76" s="47" t="s">
        <v>633</v>
      </c>
      <c r="B76" s="268" t="s">
        <v>632</v>
      </c>
      <c r="C76" s="583">
        <f>C77</f>
        <v>77834.7</v>
      </c>
    </row>
    <row r="77" spans="1:13" ht="36" x14ac:dyDescent="0.35">
      <c r="A77" s="47" t="s">
        <v>634</v>
      </c>
      <c r="B77" s="268" t="s">
        <v>635</v>
      </c>
      <c r="C77" s="583">
        <f>76464.7+438.4+753.3+78.2+100.1</f>
        <v>77834.7</v>
      </c>
    </row>
    <row r="78" spans="1:13" ht="24" customHeight="1" x14ac:dyDescent="0.35">
      <c r="A78" s="47" t="s">
        <v>426</v>
      </c>
      <c r="B78" s="268" t="s">
        <v>455</v>
      </c>
      <c r="C78" s="80">
        <f>C81+C79</f>
        <v>5799.9</v>
      </c>
      <c r="D78" s="238"/>
    </row>
    <row r="79" spans="1:13" ht="72" x14ac:dyDescent="0.35">
      <c r="A79" s="103" t="s">
        <v>456</v>
      </c>
      <c r="B79" s="271" t="s">
        <v>457</v>
      </c>
      <c r="C79" s="80">
        <f>C80</f>
        <v>1549.8999999999999</v>
      </c>
      <c r="D79" s="238"/>
    </row>
    <row r="80" spans="1:13" ht="90" x14ac:dyDescent="0.35">
      <c r="A80" s="103" t="s">
        <v>414</v>
      </c>
      <c r="B80" s="271" t="s">
        <v>5</v>
      </c>
      <c r="C80" s="80">
        <v>1549.8999999999999</v>
      </c>
      <c r="D80" s="238"/>
    </row>
    <row r="81" spans="1:4" x14ac:dyDescent="0.35">
      <c r="A81" s="47" t="s">
        <v>678</v>
      </c>
      <c r="B81" s="268" t="s">
        <v>679</v>
      </c>
      <c r="C81" s="583">
        <f>C82</f>
        <v>4250</v>
      </c>
    </row>
    <row r="82" spans="1:4" ht="36" x14ac:dyDescent="0.35">
      <c r="A82" s="47" t="s">
        <v>680</v>
      </c>
      <c r="B82" s="268" t="s">
        <v>681</v>
      </c>
      <c r="C82" s="583">
        <v>4250</v>
      </c>
    </row>
    <row r="83" spans="1:4" x14ac:dyDescent="0.35">
      <c r="A83" s="86"/>
      <c r="B83" s="140"/>
      <c r="C83" s="70"/>
    </row>
    <row r="84" spans="1:4" x14ac:dyDescent="0.35">
      <c r="A84" s="86"/>
      <c r="B84" s="140"/>
      <c r="C84" s="70"/>
    </row>
    <row r="85" spans="1:4" x14ac:dyDescent="0.35">
      <c r="A85" s="78" t="s">
        <v>384</v>
      </c>
      <c r="B85" s="51"/>
      <c r="C85" s="52"/>
      <c r="D85" s="71"/>
    </row>
    <row r="86" spans="1:4" x14ac:dyDescent="0.35">
      <c r="A86" s="78" t="s">
        <v>385</v>
      </c>
      <c r="B86" s="51"/>
      <c r="C86" s="52"/>
      <c r="D86" s="71"/>
    </row>
    <row r="87" spans="1:4" x14ac:dyDescent="0.35">
      <c r="A87" s="79" t="s">
        <v>386</v>
      </c>
      <c r="B87" s="51"/>
      <c r="C87" s="57" t="s">
        <v>407</v>
      </c>
      <c r="D87" s="71"/>
    </row>
    <row r="419" spans="11:12" x14ac:dyDescent="0.35">
      <c r="K419" s="42">
        <v>135.4</v>
      </c>
      <c r="L419" s="42">
        <v>140.9</v>
      </c>
    </row>
    <row r="420" spans="11:12" x14ac:dyDescent="0.35">
      <c r="K420" s="42">
        <v>27088.9</v>
      </c>
      <c r="L420" s="42">
        <v>28171.4</v>
      </c>
    </row>
  </sheetData>
  <autoFilter ref="C5:D420"/>
  <mergeCells count="1">
    <mergeCell ref="A10:C10"/>
  </mergeCells>
  <printOptions horizontalCentered="1"/>
  <pageMargins left="1.1811023622047245" right="0.39370078740157483" top="0.6692913385826772" bottom="0.39370078740157483" header="0" footer="0"/>
  <pageSetup paperSize="9" scale="73" fitToHeight="0" orientation="portrait" blackAndWhite="1" r:id="rId1"/>
  <headerFooter differentFirst="1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10"/>
  <sheetViews>
    <sheetView zoomScale="80" zoomScaleNormal="80" workbookViewId="0">
      <selection activeCell="D2" sqref="D2"/>
    </sheetView>
  </sheetViews>
  <sheetFormatPr defaultColWidth="8.88671875" defaultRowHeight="18" x14ac:dyDescent="0.35"/>
  <cols>
    <col min="1" max="1" width="28.6640625" style="42" customWidth="1"/>
    <col min="2" max="2" width="69.109375" style="42" customWidth="1"/>
    <col min="3" max="3" width="13.5546875" style="72" customWidth="1"/>
    <col min="4" max="4" width="14.109375" style="42" customWidth="1"/>
    <col min="5" max="5" width="12.33203125" style="84" customWidth="1"/>
    <col min="6" max="16384" width="8.88671875" style="42"/>
  </cols>
  <sheetData>
    <row r="1" spans="1:5" x14ac:dyDescent="0.35">
      <c r="A1" s="73"/>
      <c r="B1" s="73"/>
      <c r="C1" s="42"/>
      <c r="D1" s="48" t="s">
        <v>571</v>
      </c>
      <c r="E1" s="42"/>
    </row>
    <row r="2" spans="1:5" x14ac:dyDescent="0.35">
      <c r="A2" s="73"/>
      <c r="B2" s="73"/>
      <c r="C2" s="42"/>
      <c r="D2" s="192" t="s">
        <v>719</v>
      </c>
      <c r="E2" s="42"/>
    </row>
    <row r="4" spans="1:5" x14ac:dyDescent="0.35">
      <c r="D4" s="48" t="s">
        <v>571</v>
      </c>
    </row>
    <row r="5" spans="1:5" x14ac:dyDescent="0.35">
      <c r="D5" s="192" t="s">
        <v>631</v>
      </c>
    </row>
    <row r="8" spans="1:5" ht="40.200000000000003" customHeight="1" x14ac:dyDescent="0.35">
      <c r="A8" s="673" t="s">
        <v>698</v>
      </c>
      <c r="B8" s="673"/>
      <c r="C8" s="673"/>
      <c r="D8" s="673"/>
    </row>
    <row r="9" spans="1:5" ht="15" customHeight="1" x14ac:dyDescent="0.35">
      <c r="A9" s="605"/>
      <c r="B9" s="605"/>
      <c r="C9" s="59"/>
    </row>
    <row r="10" spans="1:5" x14ac:dyDescent="0.35">
      <c r="D10" s="60" t="s">
        <v>23</v>
      </c>
    </row>
    <row r="11" spans="1:5" x14ac:dyDescent="0.35">
      <c r="A11" s="676" t="s">
        <v>13</v>
      </c>
      <c r="B11" s="676" t="s">
        <v>14</v>
      </c>
      <c r="C11" s="674" t="s">
        <v>15</v>
      </c>
      <c r="D11" s="675"/>
    </row>
    <row r="12" spans="1:5" x14ac:dyDescent="0.35">
      <c r="A12" s="677"/>
      <c r="B12" s="677"/>
      <c r="C12" s="61" t="s">
        <v>484</v>
      </c>
      <c r="D12" s="61" t="s">
        <v>557</v>
      </c>
    </row>
    <row r="13" spans="1:5" x14ac:dyDescent="0.35">
      <c r="A13" s="62">
        <v>1</v>
      </c>
      <c r="B13" s="62">
        <v>2</v>
      </c>
      <c r="C13" s="63">
        <v>3</v>
      </c>
      <c r="D13" s="63">
        <v>4</v>
      </c>
    </row>
    <row r="14" spans="1:5" x14ac:dyDescent="0.35">
      <c r="A14" s="49" t="s">
        <v>16</v>
      </c>
      <c r="B14" s="64" t="s">
        <v>314</v>
      </c>
      <c r="C14" s="65">
        <f>C15</f>
        <v>1224786</v>
      </c>
      <c r="D14" s="65">
        <f>D15</f>
        <v>1087325.3</v>
      </c>
    </row>
    <row r="15" spans="1:5" ht="36" x14ac:dyDescent="0.35">
      <c r="A15" s="47" t="s">
        <v>17</v>
      </c>
      <c r="B15" s="75" t="s">
        <v>18</v>
      </c>
      <c r="C15" s="80">
        <f>C16+C42+C19</f>
        <v>1224786</v>
      </c>
      <c r="D15" s="80">
        <f>D16+D42+D19</f>
        <v>1087325.3</v>
      </c>
    </row>
    <row r="16" spans="1:5" ht="36" x14ac:dyDescent="0.35">
      <c r="A16" s="47" t="s">
        <v>416</v>
      </c>
      <c r="B16" s="75" t="s">
        <v>347</v>
      </c>
      <c r="C16" s="80">
        <f>C17</f>
        <v>161147.20000000001</v>
      </c>
      <c r="D16" s="80">
        <f>D17</f>
        <v>179169.5</v>
      </c>
    </row>
    <row r="17" spans="1:5" x14ac:dyDescent="0.35">
      <c r="A17" s="47" t="s">
        <v>417</v>
      </c>
      <c r="B17" s="75" t="s">
        <v>19</v>
      </c>
      <c r="C17" s="80">
        <f>C18</f>
        <v>161147.20000000001</v>
      </c>
      <c r="D17" s="80">
        <f>D18</f>
        <v>179169.5</v>
      </c>
    </row>
    <row r="18" spans="1:5" ht="54" x14ac:dyDescent="0.35">
      <c r="A18" s="47" t="s">
        <v>413</v>
      </c>
      <c r="B18" s="75" t="s">
        <v>451</v>
      </c>
      <c r="C18" s="80">
        <v>161147.20000000001</v>
      </c>
      <c r="D18" s="80">
        <v>179169.5</v>
      </c>
    </row>
    <row r="19" spans="1:5" ht="36" x14ac:dyDescent="0.35">
      <c r="A19" s="47" t="s">
        <v>418</v>
      </c>
      <c r="B19" s="76" t="s">
        <v>376</v>
      </c>
      <c r="C19" s="80">
        <f>C20+C31+C26+C24+C28</f>
        <v>234809.4</v>
      </c>
      <c r="D19" s="80">
        <f>D20+D31+D26+D24+D28</f>
        <v>71126.100000000006</v>
      </c>
    </row>
    <row r="20" spans="1:5" ht="36" x14ac:dyDescent="0.35">
      <c r="A20" s="47" t="s">
        <v>441</v>
      </c>
      <c r="B20" s="76" t="s">
        <v>442</v>
      </c>
      <c r="C20" s="80">
        <f>C21</f>
        <v>137531.79999999999</v>
      </c>
      <c r="D20" s="80">
        <f>D21</f>
        <v>0</v>
      </c>
    </row>
    <row r="21" spans="1:5" ht="54" x14ac:dyDescent="0.35">
      <c r="A21" s="47" t="s">
        <v>439</v>
      </c>
      <c r="B21" s="76" t="s">
        <v>440</v>
      </c>
      <c r="C21" s="80">
        <f>C22+C23</f>
        <v>137531.79999999999</v>
      </c>
      <c r="D21" s="80">
        <f>D22+D23</f>
        <v>0</v>
      </c>
    </row>
    <row r="22" spans="1:5" ht="90" x14ac:dyDescent="0.35">
      <c r="A22" s="47"/>
      <c r="B22" s="275" t="s">
        <v>602</v>
      </c>
      <c r="C22" s="80">
        <v>82531.8</v>
      </c>
      <c r="D22" s="80">
        <v>0</v>
      </c>
    </row>
    <row r="23" spans="1:5" ht="54" x14ac:dyDescent="0.35">
      <c r="A23" s="47"/>
      <c r="B23" s="274" t="s">
        <v>489</v>
      </c>
      <c r="C23" s="80">
        <v>55000</v>
      </c>
      <c r="D23" s="80">
        <v>0</v>
      </c>
    </row>
    <row r="24" spans="1:5" s="58" customFormat="1" ht="56.25" customHeight="1" x14ac:dyDescent="0.35">
      <c r="A24" s="46" t="s">
        <v>522</v>
      </c>
      <c r="B24" s="76" t="s">
        <v>523</v>
      </c>
      <c r="C24" s="80">
        <f>C25</f>
        <v>2863.3999999999996</v>
      </c>
      <c r="D24" s="80">
        <f>D25</f>
        <v>0</v>
      </c>
      <c r="E24" s="84"/>
    </row>
    <row r="25" spans="1:5" s="58" customFormat="1" ht="64.5" customHeight="1" x14ac:dyDescent="0.35">
      <c r="A25" s="46" t="s">
        <v>524</v>
      </c>
      <c r="B25" s="76" t="s">
        <v>525</v>
      </c>
      <c r="C25" s="80">
        <f>3579.1-715.7</f>
        <v>2863.3999999999996</v>
      </c>
      <c r="D25" s="80">
        <v>0</v>
      </c>
      <c r="E25" s="84"/>
    </row>
    <row r="26" spans="1:5" s="58" customFormat="1" ht="72" x14ac:dyDescent="0.35">
      <c r="A26" s="46" t="s">
        <v>481</v>
      </c>
      <c r="B26" s="76" t="s">
        <v>482</v>
      </c>
      <c r="C26" s="80">
        <f>C27</f>
        <v>54805.599999999999</v>
      </c>
      <c r="D26" s="80">
        <f>D27</f>
        <v>55975.9</v>
      </c>
      <c r="E26" s="84"/>
    </row>
    <row r="27" spans="1:5" s="58" customFormat="1" ht="90" x14ac:dyDescent="0.35">
      <c r="A27" s="46" t="s">
        <v>477</v>
      </c>
      <c r="B27" s="76" t="s">
        <v>478</v>
      </c>
      <c r="C27" s="80">
        <v>54805.599999999999</v>
      </c>
      <c r="D27" s="80">
        <v>55975.9</v>
      </c>
      <c r="E27" s="84"/>
    </row>
    <row r="28" spans="1:5" s="58" customFormat="1" ht="54" x14ac:dyDescent="0.35">
      <c r="A28" s="46" t="s">
        <v>691</v>
      </c>
      <c r="B28" s="76" t="s">
        <v>692</v>
      </c>
      <c r="C28" s="80">
        <f>C29</f>
        <v>518.6</v>
      </c>
      <c r="D28" s="80">
        <v>518.6</v>
      </c>
      <c r="E28" s="84"/>
    </row>
    <row r="29" spans="1:5" s="58" customFormat="1" ht="36" x14ac:dyDescent="0.35">
      <c r="A29" s="46" t="s">
        <v>693</v>
      </c>
      <c r="B29" s="76" t="s">
        <v>694</v>
      </c>
      <c r="C29" s="80">
        <f>C30</f>
        <v>518.6</v>
      </c>
      <c r="D29" s="80">
        <f>D30</f>
        <v>518.6</v>
      </c>
      <c r="E29" s="84"/>
    </row>
    <row r="30" spans="1:5" s="58" customFormat="1" ht="126" x14ac:dyDescent="0.35">
      <c r="A30" s="46"/>
      <c r="B30" s="275" t="s">
        <v>699</v>
      </c>
      <c r="C30" s="80">
        <v>518.6</v>
      </c>
      <c r="D30" s="80">
        <v>518.6</v>
      </c>
      <c r="E30" s="84"/>
    </row>
    <row r="31" spans="1:5" x14ac:dyDescent="0.35">
      <c r="A31" s="46" t="s">
        <v>419</v>
      </c>
      <c r="B31" s="76" t="s">
        <v>307</v>
      </c>
      <c r="C31" s="80">
        <f>C32</f>
        <v>39090</v>
      </c>
      <c r="D31" s="80">
        <f>D32</f>
        <v>14631.599999999999</v>
      </c>
    </row>
    <row r="32" spans="1:5" ht="36" x14ac:dyDescent="0.35">
      <c r="A32" s="46" t="s">
        <v>410</v>
      </c>
      <c r="B32" s="76" t="s">
        <v>308</v>
      </c>
      <c r="C32" s="80">
        <f>SUM(C33:C41)</f>
        <v>39090</v>
      </c>
      <c r="D32" s="80">
        <f>SUM(D33:D41)</f>
        <v>14631.599999999999</v>
      </c>
    </row>
    <row r="33" spans="1:4" ht="93" customHeight="1" x14ac:dyDescent="0.35">
      <c r="A33" s="66"/>
      <c r="B33" s="275" t="s">
        <v>547</v>
      </c>
      <c r="C33" s="82">
        <v>740</v>
      </c>
      <c r="D33" s="82">
        <v>740</v>
      </c>
    </row>
    <row r="34" spans="1:4" ht="72.75" customHeight="1" x14ac:dyDescent="0.35">
      <c r="A34" s="66"/>
      <c r="B34" s="275" t="s">
        <v>447</v>
      </c>
      <c r="C34" s="82">
        <v>1139.8</v>
      </c>
      <c r="D34" s="82">
        <v>0</v>
      </c>
    </row>
    <row r="35" spans="1:4" ht="234" x14ac:dyDescent="0.35">
      <c r="A35" s="66"/>
      <c r="B35" s="274" t="s">
        <v>548</v>
      </c>
      <c r="C35" s="82">
        <v>40</v>
      </c>
      <c r="D35" s="82">
        <v>40</v>
      </c>
    </row>
    <row r="36" spans="1:4" ht="54" x14ac:dyDescent="0.35">
      <c r="A36" s="66"/>
      <c r="B36" s="274" t="s">
        <v>428</v>
      </c>
      <c r="C36" s="82">
        <f>1499+128.7</f>
        <v>1627.7</v>
      </c>
      <c r="D36" s="82">
        <f>1499+128.7</f>
        <v>1627.7</v>
      </c>
    </row>
    <row r="37" spans="1:4" ht="36" x14ac:dyDescent="0.35">
      <c r="A37" s="66"/>
      <c r="B37" s="274" t="s">
        <v>608</v>
      </c>
      <c r="C37" s="82">
        <v>1690.7</v>
      </c>
      <c r="D37" s="82">
        <v>0</v>
      </c>
    </row>
    <row r="38" spans="1:4" ht="72" x14ac:dyDescent="0.35">
      <c r="A38" s="66"/>
      <c r="B38" s="274" t="s">
        <v>603</v>
      </c>
      <c r="C38" s="82">
        <v>8766.7000000000007</v>
      </c>
      <c r="D38" s="82">
        <v>8713.4</v>
      </c>
    </row>
    <row r="39" spans="1:4" ht="162" x14ac:dyDescent="0.35">
      <c r="A39" s="66"/>
      <c r="B39" s="274" t="s">
        <v>607</v>
      </c>
      <c r="C39" s="82">
        <v>0</v>
      </c>
      <c r="D39" s="82">
        <v>3510.5</v>
      </c>
    </row>
    <row r="40" spans="1:4" ht="144" x14ac:dyDescent="0.35">
      <c r="A40" s="66"/>
      <c r="B40" s="274" t="s">
        <v>675</v>
      </c>
      <c r="C40" s="82">
        <v>4966.3999999999996</v>
      </c>
      <c r="D40" s="82">
        <v>0</v>
      </c>
    </row>
    <row r="41" spans="1:4" ht="54" x14ac:dyDescent="0.35">
      <c r="A41" s="66"/>
      <c r="B41" s="623" t="s">
        <v>712</v>
      </c>
      <c r="C41" s="624">
        <v>20118.7</v>
      </c>
      <c r="D41" s="82">
        <v>0</v>
      </c>
    </row>
    <row r="42" spans="1:4" ht="36" x14ac:dyDescent="0.35">
      <c r="A42" s="47" t="s">
        <v>420</v>
      </c>
      <c r="B42" s="75" t="s">
        <v>348</v>
      </c>
      <c r="C42" s="80">
        <f>C43+C61+C65+C67+C69+C63</f>
        <v>828829.40000000014</v>
      </c>
      <c r="D42" s="80">
        <f>D43+D61+D65+D67+D69+D63</f>
        <v>837029.70000000007</v>
      </c>
    </row>
    <row r="43" spans="1:4" ht="39.75" customHeight="1" x14ac:dyDescent="0.35">
      <c r="A43" s="47" t="s">
        <v>421</v>
      </c>
      <c r="B43" s="75" t="s">
        <v>20</v>
      </c>
      <c r="C43" s="80">
        <f>C44</f>
        <v>701646.80000000016</v>
      </c>
      <c r="D43" s="80">
        <f>D44</f>
        <v>706445.10000000009</v>
      </c>
    </row>
    <row r="44" spans="1:4" ht="54" x14ac:dyDescent="0.35">
      <c r="A44" s="47" t="s">
        <v>411</v>
      </c>
      <c r="B44" s="75" t="s">
        <v>21</v>
      </c>
      <c r="C44" s="80">
        <f>SUM(C45:C51)+SUM(C53:C55)+C58+C59+C60</f>
        <v>701646.80000000016</v>
      </c>
      <c r="D44" s="80">
        <f>SUM(D45:D51)+SUM(D53:D55)+D58+D59+D60</f>
        <v>706445.10000000009</v>
      </c>
    </row>
    <row r="45" spans="1:4" ht="162" x14ac:dyDescent="0.35">
      <c r="A45" s="47"/>
      <c r="B45" s="274" t="s">
        <v>443</v>
      </c>
      <c r="C45" s="622">
        <f>250-62.5</f>
        <v>187.5</v>
      </c>
      <c r="D45" s="622">
        <f>250-62.5</f>
        <v>187.5</v>
      </c>
    </row>
    <row r="46" spans="1:4" ht="54" x14ac:dyDescent="0.35">
      <c r="A46" s="47"/>
      <c r="B46" s="275" t="s">
        <v>444</v>
      </c>
      <c r="C46" s="415">
        <f>11732.8+61.4</f>
        <v>11794.199999999999</v>
      </c>
      <c r="D46" s="415">
        <f>16439.1+61.4</f>
        <v>16500.5</v>
      </c>
    </row>
    <row r="47" spans="1:4" ht="72" x14ac:dyDescent="0.35">
      <c r="A47" s="66"/>
      <c r="B47" s="275" t="s">
        <v>262</v>
      </c>
      <c r="C47" s="415">
        <v>2380.9</v>
      </c>
      <c r="D47" s="415">
        <v>2550.3000000000002</v>
      </c>
    </row>
    <row r="48" spans="1:4" ht="162" x14ac:dyDescent="0.35">
      <c r="A48" s="47"/>
      <c r="B48" s="275" t="s">
        <v>677</v>
      </c>
      <c r="C48" s="415">
        <f>661.9+61.5</f>
        <v>723.4</v>
      </c>
      <c r="D48" s="415">
        <f>661.9+61.5</f>
        <v>723.4</v>
      </c>
    </row>
    <row r="49" spans="1:5" s="67" customFormat="1" ht="72" x14ac:dyDescent="0.35">
      <c r="A49" s="77"/>
      <c r="B49" s="275" t="s">
        <v>22</v>
      </c>
      <c r="C49" s="415">
        <v>63</v>
      </c>
      <c r="D49" s="415">
        <v>63</v>
      </c>
      <c r="E49" s="84"/>
    </row>
    <row r="50" spans="1:5" s="67" customFormat="1" ht="144" x14ac:dyDescent="0.35">
      <c r="A50" s="47"/>
      <c r="B50" s="275" t="s">
        <v>445</v>
      </c>
      <c r="C50" s="415">
        <v>63</v>
      </c>
      <c r="D50" s="415">
        <v>63</v>
      </c>
      <c r="E50" s="84"/>
    </row>
    <row r="51" spans="1:5" s="67" customFormat="1" ht="162" x14ac:dyDescent="0.35">
      <c r="A51" s="66"/>
      <c r="B51" s="275" t="s">
        <v>265</v>
      </c>
      <c r="C51" s="415">
        <f>C52</f>
        <v>2340.9</v>
      </c>
      <c r="D51" s="415">
        <f>D52</f>
        <v>2411.1999999999998</v>
      </c>
      <c r="E51" s="84"/>
    </row>
    <row r="52" spans="1:5" s="67" customFormat="1" ht="72" x14ac:dyDescent="0.35">
      <c r="A52" s="66" t="s">
        <v>261</v>
      </c>
      <c r="B52" s="275" t="s">
        <v>446</v>
      </c>
      <c r="C52" s="415">
        <v>2340.9</v>
      </c>
      <c r="D52" s="415">
        <v>2411.1999999999998</v>
      </c>
      <c r="E52" s="84"/>
    </row>
    <row r="53" spans="1:5" ht="148.5" customHeight="1" x14ac:dyDescent="0.35">
      <c r="A53" s="66"/>
      <c r="B53" s="275" t="s">
        <v>402</v>
      </c>
      <c r="C53" s="415">
        <f>47267.9-8141.8</f>
        <v>39126.1</v>
      </c>
      <c r="D53" s="415">
        <f>47267.9-8141.8</f>
        <v>39126.1</v>
      </c>
    </row>
    <row r="54" spans="1:5" ht="153" customHeight="1" x14ac:dyDescent="0.35">
      <c r="A54" s="47"/>
      <c r="B54" s="275" t="s">
        <v>559</v>
      </c>
      <c r="C54" s="415">
        <v>1624.7</v>
      </c>
      <c r="D54" s="415">
        <v>1477</v>
      </c>
    </row>
    <row r="55" spans="1:5" ht="96.75" customHeight="1" x14ac:dyDescent="0.35">
      <c r="A55" s="66"/>
      <c r="B55" s="275" t="s">
        <v>351</v>
      </c>
      <c r="C55" s="415">
        <f>SUM(C56:C57)</f>
        <v>633102.30000000005</v>
      </c>
      <c r="D55" s="415">
        <f>SUM(D56:D57)</f>
        <v>633102.30000000005</v>
      </c>
    </row>
    <row r="56" spans="1:5" ht="20.25" customHeight="1" x14ac:dyDescent="0.35">
      <c r="A56" s="66" t="s">
        <v>261</v>
      </c>
      <c r="B56" s="275" t="s">
        <v>263</v>
      </c>
      <c r="C56" s="81">
        <v>214246.3</v>
      </c>
      <c r="D56" s="81">
        <v>214246.3</v>
      </c>
    </row>
    <row r="57" spans="1:5" x14ac:dyDescent="0.35">
      <c r="A57" s="66"/>
      <c r="B57" s="416" t="s">
        <v>264</v>
      </c>
      <c r="C57" s="81">
        <v>418856</v>
      </c>
      <c r="D57" s="81">
        <v>418856</v>
      </c>
    </row>
    <row r="58" spans="1:5" ht="198" x14ac:dyDescent="0.35">
      <c r="A58" s="66"/>
      <c r="B58" s="417" t="s">
        <v>521</v>
      </c>
      <c r="C58" s="415">
        <v>2294.8000000000002</v>
      </c>
      <c r="D58" s="415">
        <v>2294.8000000000002</v>
      </c>
    </row>
    <row r="59" spans="1:5" ht="90" x14ac:dyDescent="0.35">
      <c r="A59" s="66"/>
      <c r="B59" s="275" t="s">
        <v>465</v>
      </c>
      <c r="C59" s="415">
        <v>6749.9</v>
      </c>
      <c r="D59" s="415">
        <v>6749.9</v>
      </c>
    </row>
    <row r="60" spans="1:5" ht="126" x14ac:dyDescent="0.35">
      <c r="A60" s="66"/>
      <c r="B60" s="275" t="s">
        <v>621</v>
      </c>
      <c r="C60" s="415">
        <v>1196.0999999999999</v>
      </c>
      <c r="D60" s="415">
        <v>1196.0999999999999</v>
      </c>
    </row>
    <row r="61" spans="1:5" s="55" customFormat="1" ht="98.25" customHeight="1" x14ac:dyDescent="0.3">
      <c r="A61" s="46" t="s">
        <v>422</v>
      </c>
      <c r="B61" s="75" t="s">
        <v>260</v>
      </c>
      <c r="C61" s="83">
        <f>C62</f>
        <v>5452.5</v>
      </c>
      <c r="D61" s="83">
        <f>D62</f>
        <v>5452.5</v>
      </c>
      <c r="E61" s="84"/>
    </row>
    <row r="62" spans="1:5" ht="93" customHeight="1" x14ac:dyDescent="0.35">
      <c r="A62" s="46" t="s">
        <v>415</v>
      </c>
      <c r="B62" s="75" t="s">
        <v>8</v>
      </c>
      <c r="C62" s="83">
        <v>5452.5</v>
      </c>
      <c r="D62" s="83">
        <v>5452.5</v>
      </c>
      <c r="E62" s="85"/>
    </row>
    <row r="63" spans="1:5" ht="93" customHeight="1" x14ac:dyDescent="0.35">
      <c r="A63" s="46" t="s">
        <v>626</v>
      </c>
      <c r="B63" s="75" t="s">
        <v>627</v>
      </c>
      <c r="C63" s="83">
        <f>C64</f>
        <v>8141.8</v>
      </c>
      <c r="D63" s="83">
        <f>D64</f>
        <v>8141.8</v>
      </c>
      <c r="E63" s="85"/>
    </row>
    <row r="64" spans="1:5" ht="93" customHeight="1" x14ac:dyDescent="0.35">
      <c r="A64" s="46" t="s">
        <v>628</v>
      </c>
      <c r="B64" s="75" t="s">
        <v>629</v>
      </c>
      <c r="C64" s="83">
        <v>8141.8</v>
      </c>
      <c r="D64" s="83">
        <v>8141.8</v>
      </c>
      <c r="E64" s="85"/>
    </row>
    <row r="65" spans="1:5" ht="72" x14ac:dyDescent="0.35">
      <c r="A65" s="47" t="s">
        <v>423</v>
      </c>
      <c r="B65" s="268" t="s">
        <v>401</v>
      </c>
      <c r="C65" s="80">
        <f>C66</f>
        <v>24.700000000000003</v>
      </c>
      <c r="D65" s="80">
        <f>D66</f>
        <v>21.5</v>
      </c>
    </row>
    <row r="66" spans="1:5" ht="75" customHeight="1" x14ac:dyDescent="0.35">
      <c r="A66" s="47" t="s">
        <v>412</v>
      </c>
      <c r="B66" s="268" t="s">
        <v>377</v>
      </c>
      <c r="C66" s="80">
        <f>6.1+18.6</f>
        <v>24.700000000000003</v>
      </c>
      <c r="D66" s="80">
        <f>6.1+15.4</f>
        <v>21.5</v>
      </c>
    </row>
    <row r="67" spans="1:5" ht="77.25" customHeight="1" x14ac:dyDescent="0.35">
      <c r="A67" s="46" t="s">
        <v>560</v>
      </c>
      <c r="B67" s="75" t="s">
        <v>563</v>
      </c>
      <c r="C67" s="83">
        <f>C68</f>
        <v>33409.300000000003</v>
      </c>
      <c r="D67" s="83">
        <f>D68</f>
        <v>35284.199999999997</v>
      </c>
      <c r="E67" s="239"/>
    </row>
    <row r="68" spans="1:5" ht="77.25" customHeight="1" x14ac:dyDescent="0.35">
      <c r="A68" s="46" t="s">
        <v>561</v>
      </c>
      <c r="B68" s="75" t="s">
        <v>562</v>
      </c>
      <c r="C68" s="83">
        <v>33409.300000000003</v>
      </c>
      <c r="D68" s="83">
        <v>35284.199999999997</v>
      </c>
      <c r="E68" s="85"/>
    </row>
    <row r="69" spans="1:5" ht="36" x14ac:dyDescent="0.35">
      <c r="A69" s="47" t="s">
        <v>633</v>
      </c>
      <c r="B69" s="268" t="s">
        <v>632</v>
      </c>
      <c r="C69" s="83">
        <f>C70</f>
        <v>80154.299999999988</v>
      </c>
      <c r="D69" s="83">
        <f>D70</f>
        <v>81684.599999999991</v>
      </c>
      <c r="E69" s="85"/>
    </row>
    <row r="70" spans="1:5" ht="36" x14ac:dyDescent="0.35">
      <c r="A70" s="47" t="s">
        <v>634</v>
      </c>
      <c r="B70" s="268" t="s">
        <v>635</v>
      </c>
      <c r="C70" s="83">
        <f>79077.7+344.4+592.2+61.4+78.6</f>
        <v>80154.299999999988</v>
      </c>
      <c r="D70" s="83">
        <f>80608+344.4+592.2+61.4+78.6</f>
        <v>81684.599999999991</v>
      </c>
      <c r="E70" s="85"/>
    </row>
    <row r="71" spans="1:5" x14ac:dyDescent="0.35">
      <c r="A71" s="86"/>
      <c r="B71" s="140"/>
      <c r="C71" s="141"/>
      <c r="D71" s="141"/>
    </row>
    <row r="72" spans="1:5" x14ac:dyDescent="0.35">
      <c r="A72" s="68"/>
      <c r="B72" s="69"/>
      <c r="C72" s="70"/>
    </row>
    <row r="73" spans="1:5" x14ac:dyDescent="0.35">
      <c r="A73" s="50" t="s">
        <v>384</v>
      </c>
      <c r="B73" s="51"/>
      <c r="C73" s="52"/>
      <c r="D73" s="52"/>
      <c r="E73" s="236"/>
    </row>
    <row r="74" spans="1:5" x14ac:dyDescent="0.35">
      <c r="A74" s="50" t="s">
        <v>385</v>
      </c>
      <c r="B74" s="51"/>
      <c r="C74" s="52"/>
      <c r="D74" s="52"/>
      <c r="E74" s="236"/>
    </row>
    <row r="75" spans="1:5" x14ac:dyDescent="0.35">
      <c r="A75" s="56" t="s">
        <v>386</v>
      </c>
      <c r="B75" s="51"/>
      <c r="C75" s="55"/>
      <c r="D75" s="57" t="s">
        <v>407</v>
      </c>
      <c r="E75" s="236"/>
    </row>
    <row r="409" spans="9:10" x14ac:dyDescent="0.35">
      <c r="I409" s="42">
        <v>135.4</v>
      </c>
      <c r="J409" s="42">
        <v>140.9</v>
      </c>
    </row>
    <row r="410" spans="9:10" x14ac:dyDescent="0.35">
      <c r="I410" s="42">
        <v>27088.9</v>
      </c>
      <c r="J410" s="42">
        <v>28171.4</v>
      </c>
    </row>
  </sheetData>
  <autoFilter ref="A13:J70"/>
  <mergeCells count="4">
    <mergeCell ref="C11:D11"/>
    <mergeCell ref="A11:A12"/>
    <mergeCell ref="B11:B12"/>
    <mergeCell ref="A8:D8"/>
  </mergeCells>
  <printOptions horizontalCentered="1"/>
  <pageMargins left="1.1811023622047245" right="0.39370078740157483" top="0.6692913385826772" bottom="0.39370078740157483" header="0.31496062992125984" footer="0"/>
  <pageSetup paperSize="9" scale="67" orientation="portrait" blackAndWhite="1" r:id="rId1"/>
  <headerFooter differentFirst="1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64"/>
  <sheetViews>
    <sheetView topLeftCell="A49" zoomScale="80" zoomScaleNormal="80" zoomScaleSheetLayoutView="80" workbookViewId="0">
      <selection activeCell="F2" sqref="F2"/>
    </sheetView>
  </sheetViews>
  <sheetFormatPr defaultColWidth="9.109375" defaultRowHeight="18" x14ac:dyDescent="0.35"/>
  <cols>
    <col min="1" max="1" width="6.109375" style="356" customWidth="1"/>
    <col min="2" max="2" width="9.109375" style="356" customWidth="1"/>
    <col min="3" max="3" width="59.88671875" style="356" customWidth="1"/>
    <col min="4" max="4" width="14.5546875" style="357" customWidth="1"/>
    <col min="5" max="5" width="17.5546875" style="356" customWidth="1"/>
    <col min="6" max="6" width="16.88671875" style="356" customWidth="1"/>
    <col min="7" max="7" width="11.109375" style="356" customWidth="1"/>
    <col min="8" max="9" width="11.33203125" style="356" customWidth="1"/>
    <col min="10" max="16384" width="9.109375" style="356"/>
  </cols>
  <sheetData>
    <row r="1" spans="1:9" x14ac:dyDescent="0.35">
      <c r="F1" s="192" t="s">
        <v>572</v>
      </c>
    </row>
    <row r="2" spans="1:9" x14ac:dyDescent="0.35">
      <c r="F2" s="192" t="s">
        <v>719</v>
      </c>
    </row>
    <row r="4" spans="1:9" x14ac:dyDescent="0.35">
      <c r="A4" s="42"/>
      <c r="B4" s="42"/>
      <c r="C4" s="42"/>
      <c r="D4" s="356"/>
      <c r="F4" s="192" t="s">
        <v>573</v>
      </c>
    </row>
    <row r="5" spans="1:9" x14ac:dyDescent="0.35">
      <c r="A5" s="42"/>
      <c r="B5" s="42"/>
      <c r="C5" s="42"/>
      <c r="D5" s="356"/>
      <c r="F5" s="192" t="s">
        <v>631</v>
      </c>
    </row>
    <row r="6" spans="1:9" ht="13.2" customHeight="1" x14ac:dyDescent="0.35">
      <c r="F6" s="357"/>
    </row>
    <row r="8" spans="1:9" x14ac:dyDescent="0.35">
      <c r="A8" s="681" t="s">
        <v>160</v>
      </c>
      <c r="B8" s="681"/>
      <c r="C8" s="681"/>
      <c r="D8" s="681"/>
      <c r="E8" s="681"/>
      <c r="F8" s="681"/>
    </row>
    <row r="9" spans="1:9" x14ac:dyDescent="0.35">
      <c r="A9" s="681" t="s">
        <v>558</v>
      </c>
      <c r="B9" s="681"/>
      <c r="C9" s="681"/>
      <c r="D9" s="681"/>
      <c r="E9" s="681"/>
      <c r="F9" s="681"/>
    </row>
    <row r="10" spans="1:9" x14ac:dyDescent="0.35">
      <c r="D10" s="356"/>
    </row>
    <row r="11" spans="1:9" x14ac:dyDescent="0.35">
      <c r="D11" s="356"/>
      <c r="F11" s="358" t="s">
        <v>23</v>
      </c>
    </row>
    <row r="12" spans="1:9" ht="22.95" customHeight="1" x14ac:dyDescent="0.35">
      <c r="A12" s="682" t="s">
        <v>161</v>
      </c>
      <c r="B12" s="684" t="s">
        <v>327</v>
      </c>
      <c r="C12" s="684" t="s">
        <v>25</v>
      </c>
      <c r="D12" s="678" t="s">
        <v>15</v>
      </c>
      <c r="E12" s="679"/>
      <c r="F12" s="680"/>
    </row>
    <row r="13" spans="1:9" x14ac:dyDescent="0.35">
      <c r="A13" s="683"/>
      <c r="B13" s="685"/>
      <c r="C13" s="685"/>
      <c r="D13" s="227" t="s">
        <v>427</v>
      </c>
      <c r="E13" s="227" t="s">
        <v>484</v>
      </c>
      <c r="F13" s="227" t="s">
        <v>557</v>
      </c>
    </row>
    <row r="14" spans="1:9" x14ac:dyDescent="0.35">
      <c r="A14" s="277">
        <v>1</v>
      </c>
      <c r="B14" s="277">
        <v>2</v>
      </c>
      <c r="C14" s="277">
        <v>3</v>
      </c>
      <c r="D14" s="278">
        <v>4</v>
      </c>
      <c r="E14" s="379">
        <v>5</v>
      </c>
      <c r="F14" s="379">
        <v>6</v>
      </c>
    </row>
    <row r="15" spans="1:9" x14ac:dyDescent="0.35">
      <c r="A15" s="303"/>
      <c r="B15" s="303"/>
      <c r="C15" s="360" t="s">
        <v>162</v>
      </c>
      <c r="D15" s="361">
        <f>D17+D24+D27+D31+D35+D42+D45+D55+D49+D53+D58</f>
        <v>2117089.3758000005</v>
      </c>
      <c r="E15" s="361">
        <f>E17+E24+E27+E31+E35+E42+E45+E55+E49+E53+E58</f>
        <v>1756852.2</v>
      </c>
      <c r="F15" s="361">
        <f>F17+F24+F27+F31+F35+F42+F45+F55+F49+F53+F58</f>
        <v>1599190.5999999999</v>
      </c>
      <c r="G15" s="362">
        <f>D15-'прил9 (ведом 22)'!M15</f>
        <v>-2.9999999329447746E-2</v>
      </c>
      <c r="H15" s="362">
        <f>E15-'прил10 (ведом 23-24)'!M16</f>
        <v>0</v>
      </c>
      <c r="I15" s="362">
        <f>F15-'прил10 (ведом 23-24)'!N16</f>
        <v>0</v>
      </c>
    </row>
    <row r="16" spans="1:9" x14ac:dyDescent="0.35">
      <c r="A16" s="303"/>
      <c r="B16" s="303"/>
      <c r="C16" s="363" t="s">
        <v>163</v>
      </c>
      <c r="D16" s="246"/>
      <c r="E16" s="374"/>
      <c r="F16" s="359"/>
    </row>
    <row r="17" spans="1:8" x14ac:dyDescent="0.35">
      <c r="A17" s="280">
        <v>1</v>
      </c>
      <c r="B17" s="364" t="s">
        <v>164</v>
      </c>
      <c r="C17" s="365" t="s">
        <v>37</v>
      </c>
      <c r="D17" s="282">
        <f>SUM(D18:D23)-0.04</f>
        <v>199462.64540000001</v>
      </c>
      <c r="E17" s="282">
        <f>SUM(E18:E23)</f>
        <v>119560.4</v>
      </c>
      <c r="F17" s="282">
        <f>SUM(F18:F23)</f>
        <v>149771.9</v>
      </c>
    </row>
    <row r="18" spans="1:8" ht="54" x14ac:dyDescent="0.35">
      <c r="A18" s="283"/>
      <c r="B18" s="244" t="s">
        <v>165</v>
      </c>
      <c r="C18" s="245" t="s">
        <v>166</v>
      </c>
      <c r="D18" s="246">
        <f>'прил9 (ведом 22)'!M827</f>
        <v>2439.1999999999998</v>
      </c>
      <c r="E18" s="241">
        <f>'прил10 (ведом 23-24)'!M610</f>
        <v>2128.5</v>
      </c>
      <c r="F18" s="241">
        <f>'прил10 (ведом 23-24)'!N610</f>
        <v>2128.5</v>
      </c>
    </row>
    <row r="19" spans="1:8" ht="72" x14ac:dyDescent="0.35">
      <c r="A19" s="283"/>
      <c r="B19" s="244" t="s">
        <v>167</v>
      </c>
      <c r="C19" s="245" t="s">
        <v>52</v>
      </c>
      <c r="D19" s="246">
        <f>'прил9 (ведом 22)'!M828</f>
        <v>85886.82600000003</v>
      </c>
      <c r="E19" s="241">
        <f>'прил10 (ведом 23-24)'!M611</f>
        <v>48374</v>
      </c>
      <c r="F19" s="241">
        <f>'прил10 (ведом 23-24)'!N611</f>
        <v>76860.799999999988</v>
      </c>
    </row>
    <row r="20" spans="1:8" x14ac:dyDescent="0.35">
      <c r="A20" s="283"/>
      <c r="B20" s="244" t="s">
        <v>408</v>
      </c>
      <c r="C20" s="264" t="s">
        <v>403</v>
      </c>
      <c r="D20" s="246">
        <f>'прил9 (ведом 22)'!M829</f>
        <v>140</v>
      </c>
      <c r="E20" s="241">
        <f>'прил10 (ведом 23-24)'!M612</f>
        <v>24.700000000000003</v>
      </c>
      <c r="F20" s="241">
        <f>'прил10 (ведом 23-24)'!N612</f>
        <v>21.5</v>
      </c>
    </row>
    <row r="21" spans="1:8" ht="54" x14ac:dyDescent="0.35">
      <c r="A21" s="283"/>
      <c r="B21" s="244" t="s">
        <v>168</v>
      </c>
      <c r="C21" s="245" t="s">
        <v>130</v>
      </c>
      <c r="D21" s="246">
        <f>'прил9 (ведом 22)'!M830</f>
        <v>35225.5</v>
      </c>
      <c r="E21" s="241">
        <f>'прил10 (ведом 23-24)'!M613</f>
        <v>30179.4</v>
      </c>
      <c r="F21" s="241">
        <f>'прил10 (ведом 23-24)'!N613</f>
        <v>30180.2</v>
      </c>
    </row>
    <row r="22" spans="1:8" x14ac:dyDescent="0.35">
      <c r="A22" s="283"/>
      <c r="B22" s="244" t="s">
        <v>169</v>
      </c>
      <c r="C22" s="245" t="s">
        <v>67</v>
      </c>
      <c r="D22" s="246">
        <f>'прил9 (ведом 22)'!M831</f>
        <v>5694.6227999999983</v>
      </c>
      <c r="E22" s="241">
        <f>'прил10 (ведом 23-24)'!M614</f>
        <v>5000</v>
      </c>
      <c r="F22" s="241">
        <f>'прил10 (ведом 23-24)'!N614</f>
        <v>5000</v>
      </c>
    </row>
    <row r="23" spans="1:8" x14ac:dyDescent="0.35">
      <c r="A23" s="283"/>
      <c r="B23" s="244" t="s">
        <v>170</v>
      </c>
      <c r="C23" s="245" t="s">
        <v>71</v>
      </c>
      <c r="D23" s="246">
        <f>'прил9 (ведом 22)'!M832</f>
        <v>70076.536600000007</v>
      </c>
      <c r="E23" s="241">
        <f>'прил10 (ведом 23-24)'!M615</f>
        <v>33853.799999999996</v>
      </c>
      <c r="F23" s="241">
        <f>'прил10 (ведом 23-24)'!N615</f>
        <v>35580.9</v>
      </c>
    </row>
    <row r="24" spans="1:8" ht="35.4" x14ac:dyDescent="0.35">
      <c r="A24" s="280">
        <v>2</v>
      </c>
      <c r="B24" s="364" t="s">
        <v>171</v>
      </c>
      <c r="C24" s="365" t="s">
        <v>79</v>
      </c>
      <c r="D24" s="282">
        <f>SUM(D25:D26)</f>
        <v>30859.5</v>
      </c>
      <c r="E24" s="282">
        <f>SUM(E25:E26)</f>
        <v>11858.099999999999</v>
      </c>
      <c r="F24" s="282">
        <f>SUM(F25:F26)</f>
        <v>11858.499999999998</v>
      </c>
    </row>
    <row r="25" spans="1:8" ht="54" x14ac:dyDescent="0.35">
      <c r="A25" s="283"/>
      <c r="B25" s="244" t="s">
        <v>487</v>
      </c>
      <c r="C25" s="245" t="s">
        <v>488</v>
      </c>
      <c r="D25" s="246">
        <f>'прил9 (ведом 22)'!M835</f>
        <v>11875.199999999999</v>
      </c>
      <c r="E25" s="241">
        <f>'прил10 (ведом 23-24)'!M618</f>
        <v>362.29999999999995</v>
      </c>
      <c r="F25" s="241">
        <f>'прил10 (ведом 23-24)'!N618</f>
        <v>362.29999999999995</v>
      </c>
    </row>
    <row r="26" spans="1:8" ht="36" x14ac:dyDescent="0.35">
      <c r="A26" s="283"/>
      <c r="B26" s="244" t="s">
        <v>172</v>
      </c>
      <c r="C26" s="245" t="s">
        <v>88</v>
      </c>
      <c r="D26" s="246">
        <f>'прил9 (ведом 22)'!M836</f>
        <v>18984.3</v>
      </c>
      <c r="E26" s="241">
        <f>'прил10 (ведом 23-24)'!M619</f>
        <v>11495.8</v>
      </c>
      <c r="F26" s="241">
        <f>'прил10 (ведом 23-24)'!N619</f>
        <v>11496.199999999999</v>
      </c>
    </row>
    <row r="27" spans="1:8" x14ac:dyDescent="0.35">
      <c r="A27" s="280">
        <v>3</v>
      </c>
      <c r="B27" s="364" t="s">
        <v>173</v>
      </c>
      <c r="C27" s="365" t="s">
        <v>93</v>
      </c>
      <c r="D27" s="282">
        <f>SUM(D28:D30)</f>
        <v>167686.68</v>
      </c>
      <c r="E27" s="282">
        <f>SUM(E28:E30)</f>
        <v>50643.199999999997</v>
      </c>
      <c r="F27" s="282">
        <f>SUM(F28:F30)</f>
        <v>31457.599999999999</v>
      </c>
      <c r="H27" s="609"/>
    </row>
    <row r="28" spans="1:8" x14ac:dyDescent="0.35">
      <c r="A28" s="280"/>
      <c r="B28" s="244" t="s">
        <v>174</v>
      </c>
      <c r="C28" s="245" t="s">
        <v>94</v>
      </c>
      <c r="D28" s="246">
        <f>'прил9 (ведом 22)'!M839</f>
        <v>22646.200000000004</v>
      </c>
      <c r="E28" s="241">
        <f>'прил10 (ведом 23-24)'!M622</f>
        <v>12695.300000000001</v>
      </c>
      <c r="F28" s="241">
        <f>'прил10 (ведом 23-24)'!N622</f>
        <v>17253.900000000001</v>
      </c>
    </row>
    <row r="29" spans="1:8" x14ac:dyDescent="0.35">
      <c r="A29" s="283"/>
      <c r="B29" s="244" t="s">
        <v>175</v>
      </c>
      <c r="C29" s="245" t="s">
        <v>99</v>
      </c>
      <c r="D29" s="246">
        <f>'прил9 (ведом 22)'!M840</f>
        <v>71099.521999999997</v>
      </c>
      <c r="E29" s="241">
        <f>'прил10 (ведом 23-24)'!M623</f>
        <v>6443.4</v>
      </c>
      <c r="F29" s="241">
        <f>'прил10 (ведом 23-24)'!N623</f>
        <v>6701.1</v>
      </c>
    </row>
    <row r="30" spans="1:8" ht="36" x14ac:dyDescent="0.35">
      <c r="A30" s="283"/>
      <c r="B30" s="244" t="s">
        <v>176</v>
      </c>
      <c r="C30" s="245" t="s">
        <v>107</v>
      </c>
      <c r="D30" s="246">
        <f>'прил9 (ведом 22)'!M841+0.01</f>
        <v>73940.957999999999</v>
      </c>
      <c r="E30" s="241">
        <f>'прил10 (ведом 23-24)'!M624</f>
        <v>31504.5</v>
      </c>
      <c r="F30" s="241">
        <f>'прил10 (ведом 23-24)'!N624</f>
        <v>7502.6</v>
      </c>
      <c r="G30" s="609"/>
    </row>
    <row r="31" spans="1:8" x14ac:dyDescent="0.35">
      <c r="A31" s="280">
        <v>4</v>
      </c>
      <c r="B31" s="364" t="s">
        <v>177</v>
      </c>
      <c r="C31" s="365" t="s">
        <v>178</v>
      </c>
      <c r="D31" s="282">
        <f>SUM(D32:D34)</f>
        <v>104488.90000000001</v>
      </c>
      <c r="E31" s="282">
        <f>SUM(E32:E34)</f>
        <v>96411</v>
      </c>
      <c r="F31" s="282">
        <f>SUM(F32:F34)</f>
        <v>0</v>
      </c>
    </row>
    <row r="32" spans="1:8" x14ac:dyDescent="0.35">
      <c r="A32" s="283"/>
      <c r="B32" s="244" t="s">
        <v>583</v>
      </c>
      <c r="C32" s="245" t="s">
        <v>512</v>
      </c>
      <c r="D32" s="246">
        <f>'прил9 (ведом 22)'!M844</f>
        <v>57931.900000000009</v>
      </c>
      <c r="E32" s="246">
        <f>'прил10 (ведом 23-24)'!M627</f>
        <v>35000</v>
      </c>
      <c r="F32" s="246">
        <f>'прил10 (ведом 23-24)'!N627</f>
        <v>0</v>
      </c>
    </row>
    <row r="33" spans="1:6" x14ac:dyDescent="0.35">
      <c r="A33" s="280"/>
      <c r="B33" s="244" t="s">
        <v>339</v>
      </c>
      <c r="C33" s="245" t="s">
        <v>337</v>
      </c>
      <c r="D33" s="246">
        <f>'прил9 (ведом 22)'!M845</f>
        <v>43223.3</v>
      </c>
      <c r="E33" s="246">
        <f>'прил10 (ведом 23-24)'!M628</f>
        <v>57894.8</v>
      </c>
      <c r="F33" s="246">
        <f>'прил10 (ведом 23-24)'!N628</f>
        <v>0</v>
      </c>
    </row>
    <row r="34" spans="1:6" x14ac:dyDescent="0.35">
      <c r="A34" s="280"/>
      <c r="B34" s="244" t="s">
        <v>545</v>
      </c>
      <c r="C34" s="245" t="s">
        <v>539</v>
      </c>
      <c r="D34" s="246">
        <f>'прил9 (ведом 22)'!M847</f>
        <v>3333.7</v>
      </c>
      <c r="E34" s="241">
        <f>'прил10 (ведом 23-24)'!M629</f>
        <v>3516.2</v>
      </c>
      <c r="F34" s="241">
        <f>'прил10 (ведом 23-24)'!N629</f>
        <v>0</v>
      </c>
    </row>
    <row r="35" spans="1:6" x14ac:dyDescent="0.35">
      <c r="A35" s="280">
        <v>5</v>
      </c>
      <c r="B35" s="364" t="s">
        <v>179</v>
      </c>
      <c r="C35" s="365" t="s">
        <v>180</v>
      </c>
      <c r="D35" s="282">
        <f>SUM(D36:D41)</f>
        <v>1325971.061</v>
      </c>
      <c r="E35" s="282">
        <f>SUM(E36:E41)</f>
        <v>1229964</v>
      </c>
      <c r="F35" s="282">
        <f>SUM(F36:F41)</f>
        <v>1165079.3999999999</v>
      </c>
    </row>
    <row r="36" spans="1:6" x14ac:dyDescent="0.35">
      <c r="A36" s="283"/>
      <c r="B36" s="244" t="s">
        <v>181</v>
      </c>
      <c r="C36" s="245" t="s">
        <v>182</v>
      </c>
      <c r="D36" s="246">
        <f>'прил9 (ведом 22)'!M850</f>
        <v>419770.2</v>
      </c>
      <c r="E36" s="246">
        <f>'прил10 (ведом 23-24)'!M632</f>
        <v>438264.9</v>
      </c>
      <c r="F36" s="246">
        <f>'прил10 (ведом 23-24)'!N632</f>
        <v>338318.30000000005</v>
      </c>
    </row>
    <row r="37" spans="1:6" x14ac:dyDescent="0.35">
      <c r="A37" s="283"/>
      <c r="B37" s="244" t="s">
        <v>183</v>
      </c>
      <c r="C37" s="245" t="s">
        <v>184</v>
      </c>
      <c r="D37" s="246">
        <f>'прил9 (ведом 22)'!M851</f>
        <v>688493.50900000008</v>
      </c>
      <c r="E37" s="246">
        <f>'прил10 (ведом 23-24)'!M633</f>
        <v>613631.20000000019</v>
      </c>
      <c r="F37" s="246">
        <f>'прил10 (ведом 23-24)'!N633</f>
        <v>614556.79999999993</v>
      </c>
    </row>
    <row r="38" spans="1:6" x14ac:dyDescent="0.35">
      <c r="A38" s="283"/>
      <c r="B38" s="244" t="s">
        <v>355</v>
      </c>
      <c r="C38" s="245" t="s">
        <v>356</v>
      </c>
      <c r="D38" s="246">
        <f>'прил9 (ведом 22)'!M852</f>
        <v>129988.38500000001</v>
      </c>
      <c r="E38" s="246">
        <f>'прил10 (ведом 23-24)'!M634</f>
        <v>121543.30000000002</v>
      </c>
      <c r="F38" s="246">
        <f>'прил10 (ведом 23-24)'!N634</f>
        <v>131669.69999999998</v>
      </c>
    </row>
    <row r="39" spans="1:6" ht="36" x14ac:dyDescent="0.35">
      <c r="A39" s="283"/>
      <c r="B39" s="244" t="s">
        <v>598</v>
      </c>
      <c r="C39" s="245" t="s">
        <v>599</v>
      </c>
      <c r="D39" s="246">
        <f>'прил9 (ведом 22)'!M853</f>
        <v>282.2</v>
      </c>
      <c r="E39" s="246">
        <f>'прил10 (ведом 23-24)'!M635</f>
        <v>0</v>
      </c>
      <c r="F39" s="246">
        <f>'прил10 (ведом 23-24)'!N635</f>
        <v>0</v>
      </c>
    </row>
    <row r="40" spans="1:6" x14ac:dyDescent="0.35">
      <c r="A40" s="280"/>
      <c r="B40" s="244" t="s">
        <v>185</v>
      </c>
      <c r="C40" s="245" t="s">
        <v>357</v>
      </c>
      <c r="D40" s="246">
        <f>'прил9 (ведом 22)'!M854</f>
        <v>12421.9</v>
      </c>
      <c r="E40" s="246">
        <f>'прил10 (ведом 23-24)'!M636</f>
        <v>11998.899999999998</v>
      </c>
      <c r="F40" s="246">
        <f>'прил10 (ведом 23-24)'!N636</f>
        <v>11998.899999999998</v>
      </c>
    </row>
    <row r="41" spans="1:6" x14ac:dyDescent="0.35">
      <c r="A41" s="283"/>
      <c r="B41" s="244" t="s">
        <v>186</v>
      </c>
      <c r="C41" s="245" t="s">
        <v>187</v>
      </c>
      <c r="D41" s="246">
        <f>'прил9 (ведом 22)'!M855</f>
        <v>75014.866999999998</v>
      </c>
      <c r="E41" s="246">
        <f>'прил10 (ведом 23-24)'!M637</f>
        <v>44525.700000000004</v>
      </c>
      <c r="F41" s="246">
        <f>'прил10 (ведом 23-24)'!N637</f>
        <v>68535.7</v>
      </c>
    </row>
    <row r="42" spans="1:6" x14ac:dyDescent="0.35">
      <c r="A42" s="280">
        <v>6</v>
      </c>
      <c r="B42" s="364" t="s">
        <v>188</v>
      </c>
      <c r="C42" s="365" t="s">
        <v>189</v>
      </c>
      <c r="D42" s="282">
        <f>SUM(D43:D44)</f>
        <v>45374.600000000006</v>
      </c>
      <c r="E42" s="282">
        <f>SUM(E43:E44)</f>
        <v>33870.400000000001</v>
      </c>
      <c r="F42" s="282">
        <f>SUM(F43:F44)</f>
        <v>36898.1</v>
      </c>
    </row>
    <row r="43" spans="1:6" x14ac:dyDescent="0.35">
      <c r="A43" s="283"/>
      <c r="B43" s="244" t="s">
        <v>190</v>
      </c>
      <c r="C43" s="245" t="s">
        <v>191</v>
      </c>
      <c r="D43" s="246">
        <f>'прил9 (ведом 22)'!M858</f>
        <v>32469.823</v>
      </c>
      <c r="E43" s="246">
        <f>'прил10 (ведом 23-24)'!M640</f>
        <v>24617.300000000003</v>
      </c>
      <c r="F43" s="246">
        <f>'прил10 (ведом 23-24)'!N640</f>
        <v>26988.1</v>
      </c>
    </row>
    <row r="44" spans="1:6" ht="18.75" customHeight="1" x14ac:dyDescent="0.35">
      <c r="A44" s="283"/>
      <c r="B44" s="244" t="s">
        <v>192</v>
      </c>
      <c r="C44" s="245" t="s">
        <v>193</v>
      </c>
      <c r="D44" s="246">
        <f>'прил9 (ведом 22)'!M859</f>
        <v>12904.777000000002</v>
      </c>
      <c r="E44" s="241">
        <f>'прил10 (ведом 23-24)'!M641</f>
        <v>9253.1</v>
      </c>
      <c r="F44" s="241">
        <f>'прил10 (ведом 23-24)'!N641</f>
        <v>9910</v>
      </c>
    </row>
    <row r="45" spans="1:6" s="366" customFormat="1" ht="17.399999999999999" x14ac:dyDescent="0.3">
      <c r="A45" s="280">
        <v>7</v>
      </c>
      <c r="B45" s="280">
        <v>1000</v>
      </c>
      <c r="C45" s="365" t="s">
        <v>120</v>
      </c>
      <c r="D45" s="282">
        <f>SUM(D46:D48)</f>
        <v>147333.71539999999</v>
      </c>
      <c r="E45" s="282">
        <f>SUM(E46:E48)</f>
        <v>130407.2</v>
      </c>
      <c r="F45" s="282">
        <f>SUM(F46:F48)</f>
        <v>131937.5</v>
      </c>
    </row>
    <row r="46" spans="1:6" x14ac:dyDescent="0.35">
      <c r="A46" s="283"/>
      <c r="B46" s="283">
        <v>1001</v>
      </c>
      <c r="C46" s="245" t="s">
        <v>362</v>
      </c>
      <c r="D46" s="246">
        <f>'прил9 (ведом 22)'!M862</f>
        <v>901</v>
      </c>
      <c r="E46" s="246">
        <f>'прил10 (ведом 23-24)'!M644</f>
        <v>504</v>
      </c>
      <c r="F46" s="246">
        <f>'прил10 (ведом 23-24)'!N644</f>
        <v>504</v>
      </c>
    </row>
    <row r="47" spans="1:6" x14ac:dyDescent="0.35">
      <c r="A47" s="283"/>
      <c r="B47" s="283">
        <v>1004</v>
      </c>
      <c r="C47" s="245" t="s">
        <v>194</v>
      </c>
      <c r="D47" s="246">
        <f>'прил9 (ведом 22)'!M864</f>
        <v>136615.71539999999</v>
      </c>
      <c r="E47" s="246">
        <f>'прил10 (ведом 23-24)'!M645</f>
        <v>120323.9</v>
      </c>
      <c r="F47" s="246">
        <f>'прил10 (ведом 23-24)'!N645</f>
        <v>121854.20000000001</v>
      </c>
    </row>
    <row r="48" spans="1:6" x14ac:dyDescent="0.35">
      <c r="A48" s="283"/>
      <c r="B48" s="283">
        <v>1006</v>
      </c>
      <c r="C48" s="245" t="s">
        <v>195</v>
      </c>
      <c r="D48" s="246">
        <f>'прил9 (ведом 22)'!M865</f>
        <v>9817</v>
      </c>
      <c r="E48" s="246">
        <f>'прил10 (ведом 23-24)'!M646</f>
        <v>9579.3000000000011</v>
      </c>
      <c r="F48" s="246">
        <f>'прил10 (ведом 23-24)'!N646</f>
        <v>9579.3000000000011</v>
      </c>
    </row>
    <row r="49" spans="1:8" x14ac:dyDescent="0.35">
      <c r="A49" s="280">
        <v>8</v>
      </c>
      <c r="B49" s="367">
        <v>1100</v>
      </c>
      <c r="C49" s="360" t="s">
        <v>196</v>
      </c>
      <c r="D49" s="282">
        <f>SUM(D50:D52)</f>
        <v>48064.7</v>
      </c>
      <c r="E49" s="282">
        <f>SUM(E50:E52)</f>
        <v>49744.800000000003</v>
      </c>
      <c r="F49" s="282">
        <f>SUM(F50:F52)</f>
        <v>30635.899999999998</v>
      </c>
    </row>
    <row r="50" spans="1:8" x14ac:dyDescent="0.35">
      <c r="A50" s="283"/>
      <c r="B50" s="368">
        <v>1101</v>
      </c>
      <c r="C50" s="369" t="s">
        <v>367</v>
      </c>
      <c r="D50" s="246">
        <f>'прил9 (ведом 22)'!M868</f>
        <v>44342.7</v>
      </c>
      <c r="E50" s="246">
        <f>'прил10 (ведом 23-24)'!M649</f>
        <v>43595.3</v>
      </c>
      <c r="F50" s="246">
        <f>'прил10 (ведом 23-24)'!N649</f>
        <v>27518.299999999996</v>
      </c>
    </row>
    <row r="51" spans="1:8" x14ac:dyDescent="0.35">
      <c r="A51" s="280"/>
      <c r="B51" s="244" t="s">
        <v>197</v>
      </c>
      <c r="C51" s="285" t="s">
        <v>198</v>
      </c>
      <c r="D51" s="246">
        <f>'прил9 (ведом 22)'!M869</f>
        <v>863.90000000000009</v>
      </c>
      <c r="E51" s="246">
        <f>'прил10 (ведом 23-24)'!M650</f>
        <v>3662.6000000000004</v>
      </c>
      <c r="F51" s="246">
        <f>'прил10 (ведом 23-24)'!N650</f>
        <v>629.70000000000005</v>
      </c>
    </row>
    <row r="52" spans="1:8" ht="36" x14ac:dyDescent="0.35">
      <c r="A52" s="283"/>
      <c r="B52" s="244" t="s">
        <v>199</v>
      </c>
      <c r="C52" s="297" t="s">
        <v>200</v>
      </c>
      <c r="D52" s="246">
        <f>'прил9 (ведом 22)'!M870</f>
        <v>2858.1</v>
      </c>
      <c r="E52" s="241">
        <f>'прил10 (ведом 23-24)'!M651</f>
        <v>2486.9</v>
      </c>
      <c r="F52" s="241">
        <f>'прил10 (ведом 23-24)'!N651</f>
        <v>2487.9</v>
      </c>
    </row>
    <row r="53" spans="1:8" ht="35.4" x14ac:dyDescent="0.35">
      <c r="A53" s="280">
        <v>9</v>
      </c>
      <c r="B53" s="364" t="s">
        <v>399</v>
      </c>
      <c r="C53" s="370" t="s">
        <v>390</v>
      </c>
      <c r="D53" s="282">
        <f>D54</f>
        <v>9.4</v>
      </c>
      <c r="E53" s="282">
        <f>E54</f>
        <v>0</v>
      </c>
      <c r="F53" s="282">
        <f>F54</f>
        <v>0</v>
      </c>
    </row>
    <row r="54" spans="1:8" ht="36" x14ac:dyDescent="0.35">
      <c r="A54" s="283"/>
      <c r="B54" s="244" t="s">
        <v>400</v>
      </c>
      <c r="C54" s="297" t="s">
        <v>483</v>
      </c>
      <c r="D54" s="246">
        <f>'прил9 (ведом 22)'!M873</f>
        <v>9.4</v>
      </c>
      <c r="E54" s="241">
        <v>0</v>
      </c>
      <c r="F54" s="241">
        <v>0</v>
      </c>
    </row>
    <row r="55" spans="1:8" ht="52.8" x14ac:dyDescent="0.35">
      <c r="A55" s="280">
        <v>10</v>
      </c>
      <c r="B55" s="367">
        <v>1400</v>
      </c>
      <c r="C55" s="365" t="s">
        <v>201</v>
      </c>
      <c r="D55" s="371">
        <f>SUM(D56:D57)</f>
        <v>47838.173999999999</v>
      </c>
      <c r="E55" s="371">
        <f>SUM(E56:E57)</f>
        <v>7000</v>
      </c>
      <c r="F55" s="371">
        <f>SUM(F56:F57)</f>
        <v>7000</v>
      </c>
    </row>
    <row r="56" spans="1:8" ht="54" x14ac:dyDescent="0.35">
      <c r="A56" s="372"/>
      <c r="B56" s="368">
        <v>1401</v>
      </c>
      <c r="C56" s="245" t="s">
        <v>202</v>
      </c>
      <c r="D56" s="373">
        <f>'прил9 (ведом 22)'!M876</f>
        <v>7000</v>
      </c>
      <c r="E56" s="289">
        <f>'прил10 (ведом 23-24)'!M657</f>
        <v>7000</v>
      </c>
      <c r="F56" s="289">
        <f>'прил10 (ведом 23-24)'!N657</f>
        <v>7000</v>
      </c>
    </row>
    <row r="57" spans="1:8" ht="36" x14ac:dyDescent="0.35">
      <c r="A57" s="372"/>
      <c r="B57" s="368">
        <v>1403</v>
      </c>
      <c r="C57" s="245" t="s">
        <v>649</v>
      </c>
      <c r="D57" s="373">
        <f>'прил9 (ведом 22)'!M878</f>
        <v>40838.173999999999</v>
      </c>
      <c r="E57" s="289">
        <v>0</v>
      </c>
      <c r="F57" s="289">
        <v>0</v>
      </c>
    </row>
    <row r="58" spans="1:8" s="247" customFormat="1" ht="17.399999999999999" x14ac:dyDescent="0.3">
      <c r="A58" s="279">
        <v>11</v>
      </c>
      <c r="B58" s="281"/>
      <c r="C58" s="242" t="s">
        <v>369</v>
      </c>
      <c r="D58" s="287">
        <f>SUM(D59:D59)</f>
        <v>0</v>
      </c>
      <c r="E58" s="287">
        <f>SUM(E59:E59)</f>
        <v>27393.1</v>
      </c>
      <c r="F58" s="287">
        <f>SUM(F59:F59)</f>
        <v>34551.699999999997</v>
      </c>
    </row>
    <row r="59" spans="1:8" s="247" customFormat="1" x14ac:dyDescent="0.35">
      <c r="A59" s="288"/>
      <c r="B59" s="284"/>
      <c r="C59" s="243" t="s">
        <v>369</v>
      </c>
      <c r="D59" s="289">
        <v>0</v>
      </c>
      <c r="E59" s="289">
        <f>'прил10 (ведом 23-24)'!M660</f>
        <v>27393.1</v>
      </c>
      <c r="F59" s="289">
        <f>'прил10 (ведом 23-24)'!N660</f>
        <v>34551.699999999997</v>
      </c>
    </row>
    <row r="62" spans="1:8" s="378" customFormat="1" x14ac:dyDescent="0.35">
      <c r="A62" s="50" t="s">
        <v>384</v>
      </c>
      <c r="B62" s="375"/>
      <c r="C62" s="376"/>
      <c r="D62" s="376"/>
      <c r="E62" s="376"/>
      <c r="F62" s="376"/>
      <c r="G62" s="53"/>
      <c r="H62" s="377"/>
    </row>
    <row r="63" spans="1:8" s="378" customFormat="1" x14ac:dyDescent="0.35">
      <c r="A63" s="50" t="s">
        <v>385</v>
      </c>
      <c r="B63" s="375"/>
      <c r="C63" s="376"/>
      <c r="D63" s="376"/>
      <c r="E63" s="376"/>
      <c r="F63" s="376"/>
      <c r="G63" s="53"/>
      <c r="H63" s="377"/>
    </row>
    <row r="64" spans="1:8" s="378" customFormat="1" x14ac:dyDescent="0.35">
      <c r="A64" s="56" t="s">
        <v>386</v>
      </c>
      <c r="B64" s="375"/>
      <c r="E64" s="376"/>
      <c r="F64" s="57" t="s">
        <v>407</v>
      </c>
    </row>
  </sheetData>
  <mergeCells count="6">
    <mergeCell ref="D12:F12"/>
    <mergeCell ref="A8:F8"/>
    <mergeCell ref="A9:F9"/>
    <mergeCell ref="A12:A13"/>
    <mergeCell ref="B12:B13"/>
    <mergeCell ref="C12:C13"/>
  </mergeCells>
  <printOptions horizontalCentered="1"/>
  <pageMargins left="1.1811023622047245" right="0.39370078740157483" top="0.78740157480314965" bottom="0.78740157480314965" header="0" footer="0"/>
  <pageSetup paperSize="9" scale="68" fitToHeight="0" orientation="portrait" blackAndWhite="1" r:id="rId1"/>
  <headerFooter differentFirst="1" alignWithMargins="0">
    <oddHeader>&amp;C&amp;"Times New Roman,обычный"&amp;12&amp;P</oddHead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29"/>
  <sheetViews>
    <sheetView zoomScale="80" zoomScaleNormal="80" zoomScaleSheetLayoutView="80" workbookViewId="0">
      <pane xSplit="1" ySplit="4" topLeftCell="B5" activePane="bottomRight" state="frozen"/>
      <selection activeCell="D42" sqref="D42"/>
      <selection pane="topRight" activeCell="D42" sqref="D42"/>
      <selection pane="bottomLeft" activeCell="D42" sqref="D42"/>
      <selection pane="bottomRight" activeCell="H2" sqref="H2"/>
    </sheetView>
  </sheetViews>
  <sheetFormatPr defaultColWidth="9.109375" defaultRowHeight="15.6" x14ac:dyDescent="0.3"/>
  <cols>
    <col min="1" max="1" width="4.5546875" style="425" customWidth="1"/>
    <col min="2" max="2" width="62.44140625" style="535" customWidth="1"/>
    <col min="3" max="3" width="3.109375" style="536" customWidth="1"/>
    <col min="4" max="4" width="2" style="536" customWidth="1"/>
    <col min="5" max="5" width="3.109375" style="536" customWidth="1"/>
    <col min="6" max="6" width="8.6640625" style="536" customWidth="1"/>
    <col min="7" max="7" width="5.5546875" style="534" customWidth="1"/>
    <col min="8" max="8" width="15.6640625" style="426" customWidth="1"/>
    <col min="9" max="9" width="9.109375" style="55"/>
    <col min="10" max="10" width="17.6640625" style="55" customWidth="1"/>
    <col min="11" max="14" width="9.109375" style="55"/>
    <col min="15" max="15" width="58.6640625" style="55" customWidth="1"/>
    <col min="16" max="16384" width="9.109375" style="55"/>
  </cols>
  <sheetData>
    <row r="1" spans="1:12" ht="18" x14ac:dyDescent="0.35">
      <c r="H1" s="192" t="s">
        <v>636</v>
      </c>
    </row>
    <row r="2" spans="1:12" ht="18" x14ac:dyDescent="0.35">
      <c r="H2" s="192" t="s">
        <v>719</v>
      </c>
    </row>
    <row r="4" spans="1:12" s="43" customFormat="1" ht="18" x14ac:dyDescent="0.35">
      <c r="H4" s="192" t="s">
        <v>574</v>
      </c>
      <c r="K4" s="48"/>
      <c r="L4" s="318"/>
    </row>
    <row r="5" spans="1:12" s="43" customFormat="1" ht="18" x14ac:dyDescent="0.35">
      <c r="H5" s="192" t="s">
        <v>631</v>
      </c>
      <c r="K5" s="48"/>
      <c r="L5" s="319"/>
    </row>
    <row r="9" spans="1:12" ht="72" customHeight="1" x14ac:dyDescent="0.3">
      <c r="A9" s="686" t="s">
        <v>555</v>
      </c>
      <c r="B9" s="686"/>
      <c r="C9" s="686"/>
      <c r="D9" s="686"/>
      <c r="E9" s="686"/>
      <c r="F9" s="686"/>
      <c r="G9" s="686"/>
      <c r="H9" s="686"/>
    </row>
    <row r="10" spans="1:12" x14ac:dyDescent="0.3">
      <c r="A10" s="55"/>
      <c r="B10" s="55"/>
      <c r="C10" s="425"/>
      <c r="D10" s="425"/>
      <c r="E10" s="425"/>
      <c r="F10" s="425"/>
      <c r="G10" s="426"/>
    </row>
    <row r="11" spans="1:12" ht="18" x14ac:dyDescent="0.35">
      <c r="A11" s="427"/>
      <c r="B11" s="51"/>
      <c r="C11" s="52"/>
      <c r="D11" s="52"/>
      <c r="E11" s="52"/>
      <c r="F11" s="52"/>
      <c r="G11" s="55"/>
      <c r="H11" s="538" t="s">
        <v>23</v>
      </c>
    </row>
    <row r="12" spans="1:12" ht="37.200000000000003" customHeight="1" x14ac:dyDescent="0.3">
      <c r="A12" s="642" t="s">
        <v>24</v>
      </c>
      <c r="B12" s="643" t="s">
        <v>25</v>
      </c>
      <c r="C12" s="687" t="s">
        <v>29</v>
      </c>
      <c r="D12" s="688"/>
      <c r="E12" s="688"/>
      <c r="F12" s="689"/>
      <c r="G12" s="643" t="s">
        <v>30</v>
      </c>
      <c r="H12" s="539" t="s">
        <v>15</v>
      </c>
    </row>
    <row r="13" spans="1:12" ht="18" x14ac:dyDescent="0.35">
      <c r="A13" s="277">
        <v>1</v>
      </c>
      <c r="B13" s="430">
        <v>2</v>
      </c>
      <c r="C13" s="690" t="s">
        <v>31</v>
      </c>
      <c r="D13" s="691"/>
      <c r="E13" s="691"/>
      <c r="F13" s="692"/>
      <c r="G13" s="291" t="s">
        <v>32</v>
      </c>
      <c r="H13" s="278">
        <v>5</v>
      </c>
    </row>
    <row r="14" spans="1:12" ht="19.5" customHeight="1" x14ac:dyDescent="0.35">
      <c r="A14" s="431"/>
      <c r="B14" s="432" t="s">
        <v>203</v>
      </c>
      <c r="C14" s="433"/>
      <c r="D14" s="433"/>
      <c r="E14" s="433"/>
      <c r="F14" s="433"/>
      <c r="G14" s="434"/>
      <c r="H14" s="435">
        <f>H15+H145+H206+H247+H272+H312+H333+H374+H432+H441+H449+H459+H469+H475+H549+H606+H407+H558+H543</f>
        <v>2117089.4057999998</v>
      </c>
      <c r="J14" s="540">
        <f>H14-'прил9 (ведом 22)'!M15</f>
        <v>0</v>
      </c>
    </row>
    <row r="15" spans="1:12" s="441" customFormat="1" ht="52.95" customHeight="1" x14ac:dyDescent="0.3">
      <c r="A15" s="437">
        <v>1</v>
      </c>
      <c r="B15" s="370" t="s">
        <v>206</v>
      </c>
      <c r="C15" s="438" t="s">
        <v>40</v>
      </c>
      <c r="D15" s="438" t="s">
        <v>43</v>
      </c>
      <c r="E15" s="438" t="s">
        <v>44</v>
      </c>
      <c r="F15" s="439" t="s">
        <v>45</v>
      </c>
      <c r="G15" s="440"/>
      <c r="H15" s="316">
        <f>H16+H81+H107</f>
        <v>1251265.561</v>
      </c>
    </row>
    <row r="16" spans="1:12" ht="18.75" customHeight="1" x14ac:dyDescent="0.35">
      <c r="A16" s="431"/>
      <c r="B16" s="442" t="s">
        <v>207</v>
      </c>
      <c r="C16" s="639" t="s">
        <v>40</v>
      </c>
      <c r="D16" s="639" t="s">
        <v>46</v>
      </c>
      <c r="E16" s="639" t="s">
        <v>44</v>
      </c>
      <c r="F16" s="640" t="s">
        <v>45</v>
      </c>
      <c r="G16" s="291"/>
      <c r="H16" s="266">
        <f>H17+H36</f>
        <v>1099984.0090000001</v>
      </c>
    </row>
    <row r="17" spans="1:8" ht="17.25" customHeight="1" x14ac:dyDescent="0.35">
      <c r="A17" s="431"/>
      <c r="B17" s="442" t="s">
        <v>268</v>
      </c>
      <c r="C17" s="251" t="s">
        <v>40</v>
      </c>
      <c r="D17" s="252" t="s">
        <v>46</v>
      </c>
      <c r="E17" s="252" t="s">
        <v>38</v>
      </c>
      <c r="F17" s="253" t="s">
        <v>45</v>
      </c>
      <c r="G17" s="291"/>
      <c r="H17" s="266">
        <f>H27+H30+H32+H18+H22+H24+H20+H34</f>
        <v>424703.1</v>
      </c>
    </row>
    <row r="18" spans="1:8" ht="36" x14ac:dyDescent="0.35">
      <c r="A18" s="431"/>
      <c r="B18" s="442" t="s">
        <v>490</v>
      </c>
      <c r="C18" s="251" t="s">
        <v>40</v>
      </c>
      <c r="D18" s="252" t="s">
        <v>46</v>
      </c>
      <c r="E18" s="252" t="s">
        <v>38</v>
      </c>
      <c r="F18" s="253" t="s">
        <v>92</v>
      </c>
      <c r="G18" s="35"/>
      <c r="H18" s="266">
        <f>H19</f>
        <v>96316.4</v>
      </c>
    </row>
    <row r="19" spans="1:8" ht="37.5" customHeight="1" x14ac:dyDescent="0.35">
      <c r="A19" s="431"/>
      <c r="B19" s="442" t="s">
        <v>77</v>
      </c>
      <c r="C19" s="251" t="s">
        <v>40</v>
      </c>
      <c r="D19" s="252" t="s">
        <v>46</v>
      </c>
      <c r="E19" s="252" t="s">
        <v>38</v>
      </c>
      <c r="F19" s="253" t="s">
        <v>92</v>
      </c>
      <c r="G19" s="35" t="s">
        <v>78</v>
      </c>
      <c r="H19" s="266">
        <f>'прил9 (ведом 22)'!M459</f>
        <v>96316.4</v>
      </c>
    </row>
    <row r="20" spans="1:8" ht="24.75" customHeight="1" x14ac:dyDescent="0.35">
      <c r="A20" s="431"/>
      <c r="B20" s="264" t="s">
        <v>491</v>
      </c>
      <c r="C20" s="251" t="s">
        <v>40</v>
      </c>
      <c r="D20" s="252" t="s">
        <v>46</v>
      </c>
      <c r="E20" s="252" t="s">
        <v>38</v>
      </c>
      <c r="F20" s="253" t="s">
        <v>394</v>
      </c>
      <c r="G20" s="35"/>
      <c r="H20" s="266">
        <f>H21</f>
        <v>5673.3</v>
      </c>
    </row>
    <row r="21" spans="1:8" ht="38.25" customHeight="1" x14ac:dyDescent="0.35">
      <c r="A21" s="431"/>
      <c r="B21" s="264" t="s">
        <v>77</v>
      </c>
      <c r="C21" s="251" t="s">
        <v>40</v>
      </c>
      <c r="D21" s="252" t="s">
        <v>46</v>
      </c>
      <c r="E21" s="252" t="s">
        <v>38</v>
      </c>
      <c r="F21" s="253" t="s">
        <v>394</v>
      </c>
      <c r="G21" s="35" t="s">
        <v>78</v>
      </c>
      <c r="H21" s="266">
        <f>'прил9 (ведом 22)'!M461</f>
        <v>5673.3</v>
      </c>
    </row>
    <row r="22" spans="1:8" ht="38.25" customHeight="1" x14ac:dyDescent="0.35">
      <c r="A22" s="431"/>
      <c r="B22" s="264" t="s">
        <v>208</v>
      </c>
      <c r="C22" s="251" t="s">
        <v>40</v>
      </c>
      <c r="D22" s="252" t="s">
        <v>46</v>
      </c>
      <c r="E22" s="252" t="s">
        <v>38</v>
      </c>
      <c r="F22" s="253" t="s">
        <v>274</v>
      </c>
      <c r="G22" s="35"/>
      <c r="H22" s="266">
        <f>H23</f>
        <v>33585.300000000003</v>
      </c>
    </row>
    <row r="23" spans="1:8" ht="41.25" customHeight="1" x14ac:dyDescent="0.35">
      <c r="A23" s="431"/>
      <c r="B23" s="264" t="s">
        <v>77</v>
      </c>
      <c r="C23" s="251" t="s">
        <v>40</v>
      </c>
      <c r="D23" s="252" t="s">
        <v>46</v>
      </c>
      <c r="E23" s="252" t="s">
        <v>38</v>
      </c>
      <c r="F23" s="253" t="s">
        <v>274</v>
      </c>
      <c r="G23" s="35" t="s">
        <v>78</v>
      </c>
      <c r="H23" s="266">
        <f>'прил9 (ведом 22)'!M463</f>
        <v>33585.300000000003</v>
      </c>
    </row>
    <row r="24" spans="1:8" ht="36" customHeight="1" x14ac:dyDescent="0.35">
      <c r="A24" s="431"/>
      <c r="B24" s="264" t="s">
        <v>209</v>
      </c>
      <c r="C24" s="251" t="s">
        <v>40</v>
      </c>
      <c r="D24" s="252" t="s">
        <v>46</v>
      </c>
      <c r="E24" s="252" t="s">
        <v>38</v>
      </c>
      <c r="F24" s="253" t="s">
        <v>275</v>
      </c>
      <c r="G24" s="35"/>
      <c r="H24" s="266">
        <f>H25+H26</f>
        <v>2902.5</v>
      </c>
    </row>
    <row r="25" spans="1:8" ht="39" customHeight="1" x14ac:dyDescent="0.35">
      <c r="A25" s="431"/>
      <c r="B25" s="447" t="s">
        <v>204</v>
      </c>
      <c r="C25" s="251" t="s">
        <v>40</v>
      </c>
      <c r="D25" s="252" t="s">
        <v>46</v>
      </c>
      <c r="E25" s="252" t="s">
        <v>38</v>
      </c>
      <c r="F25" s="253" t="s">
        <v>275</v>
      </c>
      <c r="G25" s="35" t="s">
        <v>205</v>
      </c>
      <c r="H25" s="266">
        <f>'прил9 (ведом 22)'!M409</f>
        <v>2663.6</v>
      </c>
    </row>
    <row r="26" spans="1:8" ht="39" customHeight="1" x14ac:dyDescent="0.35">
      <c r="A26" s="431"/>
      <c r="B26" s="264" t="s">
        <v>77</v>
      </c>
      <c r="C26" s="251" t="s">
        <v>40</v>
      </c>
      <c r="D26" s="252" t="s">
        <v>46</v>
      </c>
      <c r="E26" s="252" t="s">
        <v>38</v>
      </c>
      <c r="F26" s="253" t="s">
        <v>275</v>
      </c>
      <c r="G26" s="35" t="s">
        <v>78</v>
      </c>
      <c r="H26" s="254">
        <f>'прил9 (ведом 22)'!M465</f>
        <v>238.9</v>
      </c>
    </row>
    <row r="27" spans="1:8" ht="112.5" customHeight="1" x14ac:dyDescent="0.35">
      <c r="A27" s="431"/>
      <c r="B27" s="442" t="s">
        <v>284</v>
      </c>
      <c r="C27" s="251" t="s">
        <v>40</v>
      </c>
      <c r="D27" s="252" t="s">
        <v>46</v>
      </c>
      <c r="E27" s="252" t="s">
        <v>38</v>
      </c>
      <c r="F27" s="253" t="s">
        <v>285</v>
      </c>
      <c r="G27" s="35"/>
      <c r="H27" s="266">
        <f>SUM(H28:H29)</f>
        <v>6715</v>
      </c>
    </row>
    <row r="28" spans="1:8" ht="36" x14ac:dyDescent="0.35">
      <c r="A28" s="431"/>
      <c r="B28" s="442" t="s">
        <v>56</v>
      </c>
      <c r="C28" s="251" t="s">
        <v>40</v>
      </c>
      <c r="D28" s="252" t="s">
        <v>46</v>
      </c>
      <c r="E28" s="252" t="s">
        <v>38</v>
      </c>
      <c r="F28" s="253" t="s">
        <v>285</v>
      </c>
      <c r="G28" s="35" t="s">
        <v>57</v>
      </c>
      <c r="H28" s="266">
        <f>'прил9 (ведом 22)'!M609</f>
        <v>99.2</v>
      </c>
    </row>
    <row r="29" spans="1:8" ht="22.5" customHeight="1" x14ac:dyDescent="0.35">
      <c r="A29" s="431"/>
      <c r="B29" s="448" t="s">
        <v>121</v>
      </c>
      <c r="C29" s="251" t="s">
        <v>40</v>
      </c>
      <c r="D29" s="252" t="s">
        <v>46</v>
      </c>
      <c r="E29" s="252" t="s">
        <v>38</v>
      </c>
      <c r="F29" s="253" t="s">
        <v>285</v>
      </c>
      <c r="G29" s="35" t="s">
        <v>122</v>
      </c>
      <c r="H29" s="266">
        <f>'прил9 (ведом 22)'!M610</f>
        <v>6615.8</v>
      </c>
    </row>
    <row r="30" spans="1:8" ht="162" x14ac:dyDescent="0.35">
      <c r="A30" s="431"/>
      <c r="B30" s="442" t="s">
        <v>269</v>
      </c>
      <c r="C30" s="251" t="s">
        <v>40</v>
      </c>
      <c r="D30" s="252" t="s">
        <v>46</v>
      </c>
      <c r="E30" s="252" t="s">
        <v>38</v>
      </c>
      <c r="F30" s="253" t="s">
        <v>270</v>
      </c>
      <c r="G30" s="35"/>
      <c r="H30" s="266">
        <f>H31</f>
        <v>549.29999999999995</v>
      </c>
    </row>
    <row r="31" spans="1:8" ht="41.25" customHeight="1" x14ac:dyDescent="0.35">
      <c r="A31" s="431"/>
      <c r="B31" s="442" t="s">
        <v>77</v>
      </c>
      <c r="C31" s="251" t="s">
        <v>40</v>
      </c>
      <c r="D31" s="252" t="s">
        <v>46</v>
      </c>
      <c r="E31" s="252" t="s">
        <v>38</v>
      </c>
      <c r="F31" s="253" t="s">
        <v>270</v>
      </c>
      <c r="G31" s="35" t="s">
        <v>78</v>
      </c>
      <c r="H31" s="266">
        <f>'прил9 (ведом 22)'!M467</f>
        <v>549.29999999999995</v>
      </c>
    </row>
    <row r="32" spans="1:8" ht="97.5" customHeight="1" x14ac:dyDescent="0.35">
      <c r="A32" s="431"/>
      <c r="B32" s="442" t="s">
        <v>352</v>
      </c>
      <c r="C32" s="251" t="s">
        <v>40</v>
      </c>
      <c r="D32" s="252" t="s">
        <v>46</v>
      </c>
      <c r="E32" s="252" t="s">
        <v>38</v>
      </c>
      <c r="F32" s="253" t="s">
        <v>271</v>
      </c>
      <c r="G32" s="35"/>
      <c r="H32" s="266">
        <f>H33</f>
        <v>214246.3</v>
      </c>
    </row>
    <row r="33" spans="1:8" ht="39.75" customHeight="1" x14ac:dyDescent="0.35">
      <c r="A33" s="431"/>
      <c r="B33" s="448" t="s">
        <v>77</v>
      </c>
      <c r="C33" s="251" t="s">
        <v>40</v>
      </c>
      <c r="D33" s="252" t="s">
        <v>46</v>
      </c>
      <c r="E33" s="252" t="s">
        <v>38</v>
      </c>
      <c r="F33" s="253" t="s">
        <v>271</v>
      </c>
      <c r="G33" s="35" t="s">
        <v>78</v>
      </c>
      <c r="H33" s="266">
        <f>'прил9 (ведом 22)'!M469</f>
        <v>214246.3</v>
      </c>
    </row>
    <row r="34" spans="1:8" ht="108" x14ac:dyDescent="0.35">
      <c r="A34" s="431"/>
      <c r="B34" s="447" t="s">
        <v>550</v>
      </c>
      <c r="C34" s="251" t="s">
        <v>40</v>
      </c>
      <c r="D34" s="252" t="s">
        <v>46</v>
      </c>
      <c r="E34" s="252" t="s">
        <v>38</v>
      </c>
      <c r="F34" s="253" t="s">
        <v>549</v>
      </c>
      <c r="G34" s="35"/>
      <c r="H34" s="266">
        <f>H35</f>
        <v>64714.999999999993</v>
      </c>
    </row>
    <row r="35" spans="1:8" ht="36" x14ac:dyDescent="0.35">
      <c r="A35" s="431"/>
      <c r="B35" s="447" t="s">
        <v>204</v>
      </c>
      <c r="C35" s="251" t="s">
        <v>40</v>
      </c>
      <c r="D35" s="252" t="s">
        <v>46</v>
      </c>
      <c r="E35" s="252" t="s">
        <v>38</v>
      </c>
      <c r="F35" s="253" t="s">
        <v>549</v>
      </c>
      <c r="G35" s="35" t="s">
        <v>205</v>
      </c>
      <c r="H35" s="266">
        <f>'прил9 (ведом 22)'!M411</f>
        <v>64714.999999999993</v>
      </c>
    </row>
    <row r="36" spans="1:8" ht="18" x14ac:dyDescent="0.35">
      <c r="A36" s="431"/>
      <c r="B36" s="442" t="s">
        <v>273</v>
      </c>
      <c r="C36" s="251" t="s">
        <v>40</v>
      </c>
      <c r="D36" s="252" t="s">
        <v>46</v>
      </c>
      <c r="E36" s="252" t="s">
        <v>40</v>
      </c>
      <c r="F36" s="253" t="s">
        <v>45</v>
      </c>
      <c r="G36" s="35"/>
      <c r="H36" s="266">
        <f>H45+H48+H57+H61+H65+H37+H42+H74+H54+H52+H71+H77+H68</f>
        <v>675280.90899999999</v>
      </c>
    </row>
    <row r="37" spans="1:8" ht="36" x14ac:dyDescent="0.35">
      <c r="A37" s="431"/>
      <c r="B37" s="442" t="s">
        <v>490</v>
      </c>
      <c r="C37" s="251" t="s">
        <v>40</v>
      </c>
      <c r="D37" s="252" t="s">
        <v>46</v>
      </c>
      <c r="E37" s="252" t="s">
        <v>40</v>
      </c>
      <c r="F37" s="253" t="s">
        <v>92</v>
      </c>
      <c r="G37" s="35"/>
      <c r="H37" s="266">
        <f>SUM(H38:H41)</f>
        <v>72345.308999999994</v>
      </c>
    </row>
    <row r="38" spans="1:8" ht="90" x14ac:dyDescent="0.35">
      <c r="A38" s="431"/>
      <c r="B38" s="264" t="s">
        <v>50</v>
      </c>
      <c r="C38" s="251" t="s">
        <v>40</v>
      </c>
      <c r="D38" s="252" t="s">
        <v>46</v>
      </c>
      <c r="E38" s="252" t="s">
        <v>40</v>
      </c>
      <c r="F38" s="253" t="s">
        <v>92</v>
      </c>
      <c r="G38" s="35" t="s">
        <v>51</v>
      </c>
      <c r="H38" s="266">
        <f>'прил9 (ведом 22)'!M487</f>
        <v>344.5</v>
      </c>
    </row>
    <row r="39" spans="1:8" ht="36" x14ac:dyDescent="0.35">
      <c r="A39" s="431"/>
      <c r="B39" s="264" t="s">
        <v>56</v>
      </c>
      <c r="C39" s="251" t="s">
        <v>40</v>
      </c>
      <c r="D39" s="252" t="s">
        <v>46</v>
      </c>
      <c r="E39" s="252" t="s">
        <v>40</v>
      </c>
      <c r="F39" s="253" t="s">
        <v>92</v>
      </c>
      <c r="G39" s="35" t="s">
        <v>57</v>
      </c>
      <c r="H39" s="266">
        <f>'прил9 (ведом 22)'!M488</f>
        <v>6184.6089999999986</v>
      </c>
    </row>
    <row r="40" spans="1:8" ht="40.5" customHeight="1" x14ac:dyDescent="0.35">
      <c r="A40" s="431"/>
      <c r="B40" s="442" t="s">
        <v>77</v>
      </c>
      <c r="C40" s="251" t="s">
        <v>40</v>
      </c>
      <c r="D40" s="252" t="s">
        <v>46</v>
      </c>
      <c r="E40" s="252" t="s">
        <v>40</v>
      </c>
      <c r="F40" s="253" t="s">
        <v>92</v>
      </c>
      <c r="G40" s="35" t="s">
        <v>78</v>
      </c>
      <c r="H40" s="266">
        <f>'прил9 (ведом 22)'!M489</f>
        <v>65149.69999999999</v>
      </c>
    </row>
    <row r="41" spans="1:8" ht="18" x14ac:dyDescent="0.35">
      <c r="A41" s="431"/>
      <c r="B41" s="442" t="s">
        <v>58</v>
      </c>
      <c r="C41" s="251" t="s">
        <v>40</v>
      </c>
      <c r="D41" s="252" t="s">
        <v>46</v>
      </c>
      <c r="E41" s="252" t="s">
        <v>40</v>
      </c>
      <c r="F41" s="253" t="s">
        <v>92</v>
      </c>
      <c r="G41" s="35" t="s">
        <v>59</v>
      </c>
      <c r="H41" s="266">
        <f>'прил9 (ведом 22)'!M490</f>
        <v>666.5</v>
      </c>
    </row>
    <row r="42" spans="1:8" ht="18" x14ac:dyDescent="0.35">
      <c r="A42" s="431"/>
      <c r="B42" s="264" t="s">
        <v>491</v>
      </c>
      <c r="C42" s="251" t="s">
        <v>40</v>
      </c>
      <c r="D42" s="252" t="s">
        <v>46</v>
      </c>
      <c r="E42" s="252" t="s">
        <v>40</v>
      </c>
      <c r="F42" s="253" t="s">
        <v>394</v>
      </c>
      <c r="G42" s="35"/>
      <c r="H42" s="266">
        <f>SUM(H43:H44)</f>
        <v>13746.800000000001</v>
      </c>
    </row>
    <row r="43" spans="1:8" ht="36" x14ac:dyDescent="0.35">
      <c r="A43" s="431"/>
      <c r="B43" s="264" t="s">
        <v>56</v>
      </c>
      <c r="C43" s="251" t="s">
        <v>40</v>
      </c>
      <c r="D43" s="252" t="s">
        <v>46</v>
      </c>
      <c r="E43" s="252" t="s">
        <v>40</v>
      </c>
      <c r="F43" s="253" t="s">
        <v>394</v>
      </c>
      <c r="G43" s="35" t="s">
        <v>57</v>
      </c>
      <c r="H43" s="266">
        <f>'прил9 (ведом 22)'!M492</f>
        <v>595.79999999999995</v>
      </c>
    </row>
    <row r="44" spans="1:8" ht="43.5" customHeight="1" x14ac:dyDescent="0.35">
      <c r="A44" s="431"/>
      <c r="B44" s="442" t="s">
        <v>77</v>
      </c>
      <c r="C44" s="251" t="s">
        <v>40</v>
      </c>
      <c r="D44" s="252" t="s">
        <v>46</v>
      </c>
      <c r="E44" s="252" t="s">
        <v>40</v>
      </c>
      <c r="F44" s="253" t="s">
        <v>394</v>
      </c>
      <c r="G44" s="35" t="s">
        <v>78</v>
      </c>
      <c r="H44" s="266">
        <f>'прил9 (ведом 22)'!M493</f>
        <v>13151.000000000002</v>
      </c>
    </row>
    <row r="45" spans="1:8" ht="42.75" customHeight="1" x14ac:dyDescent="0.35">
      <c r="A45" s="431"/>
      <c r="B45" s="442" t="s">
        <v>208</v>
      </c>
      <c r="C45" s="251" t="s">
        <v>40</v>
      </c>
      <c r="D45" s="252" t="s">
        <v>46</v>
      </c>
      <c r="E45" s="252" t="s">
        <v>40</v>
      </c>
      <c r="F45" s="253" t="s">
        <v>274</v>
      </c>
      <c r="G45" s="35"/>
      <c r="H45" s="266">
        <f>SUM(H46:H47)</f>
        <v>36840.800000000003</v>
      </c>
    </row>
    <row r="46" spans="1:8" ht="36" x14ac:dyDescent="0.35">
      <c r="A46" s="431"/>
      <c r="B46" s="264" t="s">
        <v>56</v>
      </c>
      <c r="C46" s="251" t="s">
        <v>40</v>
      </c>
      <c r="D46" s="252" t="s">
        <v>46</v>
      </c>
      <c r="E46" s="252" t="s">
        <v>40</v>
      </c>
      <c r="F46" s="253" t="s">
        <v>274</v>
      </c>
      <c r="G46" s="35" t="s">
        <v>57</v>
      </c>
      <c r="H46" s="266">
        <f>'прил9 (ведом 22)'!M495</f>
        <v>5153.5</v>
      </c>
    </row>
    <row r="47" spans="1:8" ht="42" customHeight="1" x14ac:dyDescent="0.35">
      <c r="A47" s="431"/>
      <c r="B47" s="442" t="s">
        <v>77</v>
      </c>
      <c r="C47" s="251" t="s">
        <v>40</v>
      </c>
      <c r="D47" s="252" t="s">
        <v>46</v>
      </c>
      <c r="E47" s="252" t="s">
        <v>40</v>
      </c>
      <c r="F47" s="253" t="s">
        <v>274</v>
      </c>
      <c r="G47" s="35" t="s">
        <v>78</v>
      </c>
      <c r="H47" s="266">
        <f>'прил9 (ведом 22)'!M496</f>
        <v>31687.3</v>
      </c>
    </row>
    <row r="48" spans="1:8" ht="36" x14ac:dyDescent="0.35">
      <c r="A48" s="431"/>
      <c r="B48" s="442" t="s">
        <v>209</v>
      </c>
      <c r="C48" s="251" t="s">
        <v>40</v>
      </c>
      <c r="D48" s="252" t="s">
        <v>46</v>
      </c>
      <c r="E48" s="252" t="s">
        <v>40</v>
      </c>
      <c r="F48" s="253" t="s">
        <v>275</v>
      </c>
      <c r="G48" s="35"/>
      <c r="H48" s="266">
        <f>SUM(H49:H51)</f>
        <v>27898.100000000002</v>
      </c>
    </row>
    <row r="49" spans="1:8" ht="36" x14ac:dyDescent="0.35">
      <c r="A49" s="431"/>
      <c r="B49" s="264" t="s">
        <v>56</v>
      </c>
      <c r="C49" s="251" t="s">
        <v>40</v>
      </c>
      <c r="D49" s="252" t="s">
        <v>46</v>
      </c>
      <c r="E49" s="252" t="s">
        <v>40</v>
      </c>
      <c r="F49" s="253" t="s">
        <v>275</v>
      </c>
      <c r="G49" s="35" t="s">
        <v>57</v>
      </c>
      <c r="H49" s="266">
        <f>'прил9 (ведом 22)'!M498</f>
        <v>409.70000000000005</v>
      </c>
    </row>
    <row r="50" spans="1:8" ht="36" x14ac:dyDescent="0.35">
      <c r="A50" s="431"/>
      <c r="B50" s="447" t="s">
        <v>204</v>
      </c>
      <c r="C50" s="251" t="s">
        <v>40</v>
      </c>
      <c r="D50" s="252" t="s">
        <v>46</v>
      </c>
      <c r="E50" s="252" t="s">
        <v>40</v>
      </c>
      <c r="F50" s="253" t="s">
        <v>275</v>
      </c>
      <c r="G50" s="35" t="s">
        <v>205</v>
      </c>
      <c r="H50" s="266">
        <f>'прил9 (ведом 22)'!M499+'прил9 (ведом 22)'!M417</f>
        <v>13613.2</v>
      </c>
    </row>
    <row r="51" spans="1:8" ht="38.4" customHeight="1" x14ac:dyDescent="0.35">
      <c r="A51" s="431"/>
      <c r="B51" s="442" t="s">
        <v>77</v>
      </c>
      <c r="C51" s="251" t="s">
        <v>40</v>
      </c>
      <c r="D51" s="252" t="s">
        <v>46</v>
      </c>
      <c r="E51" s="252" t="s">
        <v>40</v>
      </c>
      <c r="F51" s="253" t="s">
        <v>275</v>
      </c>
      <c r="G51" s="35" t="s">
        <v>78</v>
      </c>
      <c r="H51" s="266">
        <f>'прил9 (ведом 22)'!M500</f>
        <v>13875.2</v>
      </c>
    </row>
    <row r="52" spans="1:8" ht="58.95" customHeight="1" x14ac:dyDescent="0.35">
      <c r="A52" s="431"/>
      <c r="B52" s="264" t="s">
        <v>584</v>
      </c>
      <c r="C52" s="251" t="s">
        <v>40</v>
      </c>
      <c r="D52" s="252" t="s">
        <v>46</v>
      </c>
      <c r="E52" s="252" t="s">
        <v>40</v>
      </c>
      <c r="F52" s="253" t="s">
        <v>585</v>
      </c>
      <c r="G52" s="35"/>
      <c r="H52" s="254">
        <f>H53</f>
        <v>30</v>
      </c>
    </row>
    <row r="53" spans="1:8" ht="38.4" customHeight="1" x14ac:dyDescent="0.35">
      <c r="A53" s="431"/>
      <c r="B53" s="264" t="s">
        <v>77</v>
      </c>
      <c r="C53" s="251" t="s">
        <v>40</v>
      </c>
      <c r="D53" s="252" t="s">
        <v>46</v>
      </c>
      <c r="E53" s="252" t="s">
        <v>40</v>
      </c>
      <c r="F53" s="253" t="s">
        <v>585</v>
      </c>
      <c r="G53" s="35" t="s">
        <v>78</v>
      </c>
      <c r="H53" s="254">
        <f>'прил9 (ведом 22)'!M502</f>
        <v>30</v>
      </c>
    </row>
    <row r="54" spans="1:8" ht="144" x14ac:dyDescent="0.35">
      <c r="A54" s="431"/>
      <c r="B54" s="264" t="s">
        <v>587</v>
      </c>
      <c r="C54" s="251" t="s">
        <v>40</v>
      </c>
      <c r="D54" s="252" t="s">
        <v>46</v>
      </c>
      <c r="E54" s="252" t="s">
        <v>40</v>
      </c>
      <c r="F54" s="253" t="s">
        <v>586</v>
      </c>
      <c r="G54" s="35"/>
      <c r="H54" s="266">
        <f>H55+H56</f>
        <v>35206.1</v>
      </c>
    </row>
    <row r="55" spans="1:8" ht="71.400000000000006" customHeight="1" x14ac:dyDescent="0.35">
      <c r="A55" s="431"/>
      <c r="B55" s="264" t="s">
        <v>50</v>
      </c>
      <c r="C55" s="251" t="s">
        <v>40</v>
      </c>
      <c r="D55" s="252" t="s">
        <v>46</v>
      </c>
      <c r="E55" s="252" t="s">
        <v>40</v>
      </c>
      <c r="F55" s="253" t="s">
        <v>586</v>
      </c>
      <c r="G55" s="35" t="s">
        <v>51</v>
      </c>
      <c r="H55" s="266">
        <f>'прил9 (ведом 22)'!M504</f>
        <v>2890.3999999999996</v>
      </c>
    </row>
    <row r="56" spans="1:8" ht="33" customHeight="1" x14ac:dyDescent="0.35">
      <c r="A56" s="431"/>
      <c r="B56" s="264" t="s">
        <v>77</v>
      </c>
      <c r="C56" s="251" t="s">
        <v>40</v>
      </c>
      <c r="D56" s="252" t="s">
        <v>46</v>
      </c>
      <c r="E56" s="252" t="s">
        <v>40</v>
      </c>
      <c r="F56" s="253" t="s">
        <v>586</v>
      </c>
      <c r="G56" s="35" t="s">
        <v>78</v>
      </c>
      <c r="H56" s="266">
        <f>'прил9 (ведом 22)'!M505</f>
        <v>32315.699999999997</v>
      </c>
    </row>
    <row r="57" spans="1:8" ht="162" x14ac:dyDescent="0.35">
      <c r="A57" s="431"/>
      <c r="B57" s="442" t="s">
        <v>269</v>
      </c>
      <c r="C57" s="251" t="s">
        <v>40</v>
      </c>
      <c r="D57" s="252" t="s">
        <v>46</v>
      </c>
      <c r="E57" s="252" t="s">
        <v>40</v>
      </c>
      <c r="F57" s="253" t="s">
        <v>270</v>
      </c>
      <c r="G57" s="35"/>
      <c r="H57" s="266">
        <f>SUM(H58:H60)</f>
        <v>1595.1</v>
      </c>
    </row>
    <row r="58" spans="1:8" ht="90" x14ac:dyDescent="0.35">
      <c r="A58" s="431"/>
      <c r="B58" s="264" t="s">
        <v>50</v>
      </c>
      <c r="C58" s="251" t="s">
        <v>40</v>
      </c>
      <c r="D58" s="252" t="s">
        <v>46</v>
      </c>
      <c r="E58" s="252" t="s">
        <v>40</v>
      </c>
      <c r="F58" s="253" t="s">
        <v>270</v>
      </c>
      <c r="G58" s="35" t="s">
        <v>51</v>
      </c>
      <c r="H58" s="266">
        <f>'прил9 (ведом 22)'!M507</f>
        <v>99.7</v>
      </c>
    </row>
    <row r="59" spans="1:8" ht="18.600000000000001" customHeight="1" x14ac:dyDescent="0.35">
      <c r="A59" s="431"/>
      <c r="B59" s="264" t="s">
        <v>121</v>
      </c>
      <c r="C59" s="251" t="s">
        <v>40</v>
      </c>
      <c r="D59" s="252" t="s">
        <v>46</v>
      </c>
      <c r="E59" s="252" t="s">
        <v>40</v>
      </c>
      <c r="F59" s="253" t="s">
        <v>270</v>
      </c>
      <c r="G59" s="35" t="s">
        <v>122</v>
      </c>
      <c r="H59" s="266">
        <f>'прил9 (ведом 22)'!M508</f>
        <v>6.6</v>
      </c>
    </row>
    <row r="60" spans="1:8" ht="42" customHeight="1" x14ac:dyDescent="0.35">
      <c r="A60" s="431"/>
      <c r="B60" s="442" t="s">
        <v>77</v>
      </c>
      <c r="C60" s="251" t="s">
        <v>40</v>
      </c>
      <c r="D60" s="252" t="s">
        <v>46</v>
      </c>
      <c r="E60" s="252" t="s">
        <v>40</v>
      </c>
      <c r="F60" s="253" t="s">
        <v>270</v>
      </c>
      <c r="G60" s="35" t="s">
        <v>78</v>
      </c>
      <c r="H60" s="266">
        <f>'прил9 (ведом 22)'!M509</f>
        <v>1488.8</v>
      </c>
    </row>
    <row r="61" spans="1:8" ht="99" customHeight="1" x14ac:dyDescent="0.35">
      <c r="A61" s="431"/>
      <c r="B61" s="442" t="s">
        <v>352</v>
      </c>
      <c r="C61" s="251" t="s">
        <v>40</v>
      </c>
      <c r="D61" s="252" t="s">
        <v>46</v>
      </c>
      <c r="E61" s="252" t="s">
        <v>40</v>
      </c>
      <c r="F61" s="253" t="s">
        <v>271</v>
      </c>
      <c r="G61" s="35"/>
      <c r="H61" s="266">
        <f>SUM(H62:H64)</f>
        <v>410065</v>
      </c>
    </row>
    <row r="62" spans="1:8" ht="90" x14ac:dyDescent="0.35">
      <c r="A62" s="431"/>
      <c r="B62" s="442" t="s">
        <v>50</v>
      </c>
      <c r="C62" s="251" t="s">
        <v>40</v>
      </c>
      <c r="D62" s="252" t="s">
        <v>46</v>
      </c>
      <c r="E62" s="252" t="s">
        <v>40</v>
      </c>
      <c r="F62" s="253" t="s">
        <v>271</v>
      </c>
      <c r="G62" s="35" t="s">
        <v>51</v>
      </c>
      <c r="H62" s="266">
        <f>'прил9 (ведом 22)'!M511</f>
        <v>26756.6</v>
      </c>
    </row>
    <row r="63" spans="1:8" ht="36" x14ac:dyDescent="0.35">
      <c r="A63" s="431"/>
      <c r="B63" s="442" t="s">
        <v>56</v>
      </c>
      <c r="C63" s="251" t="s">
        <v>40</v>
      </c>
      <c r="D63" s="252" t="s">
        <v>46</v>
      </c>
      <c r="E63" s="252" t="s">
        <v>40</v>
      </c>
      <c r="F63" s="253" t="s">
        <v>271</v>
      </c>
      <c r="G63" s="35" t="s">
        <v>57</v>
      </c>
      <c r="H63" s="266">
        <f>'прил9 (ведом 22)'!M512</f>
        <v>3737.7</v>
      </c>
    </row>
    <row r="64" spans="1:8" ht="41.25" customHeight="1" x14ac:dyDescent="0.35">
      <c r="A64" s="431"/>
      <c r="B64" s="442" t="s">
        <v>77</v>
      </c>
      <c r="C64" s="251" t="s">
        <v>40</v>
      </c>
      <c r="D64" s="252" t="s">
        <v>46</v>
      </c>
      <c r="E64" s="252" t="s">
        <v>40</v>
      </c>
      <c r="F64" s="253" t="s">
        <v>271</v>
      </c>
      <c r="G64" s="35" t="s">
        <v>78</v>
      </c>
      <c r="H64" s="266">
        <f>'прил9 (ведом 22)'!M513</f>
        <v>379570.7</v>
      </c>
    </row>
    <row r="65" spans="1:8" ht="70.2" customHeight="1" x14ac:dyDescent="0.35">
      <c r="A65" s="431"/>
      <c r="B65" s="442" t="s">
        <v>210</v>
      </c>
      <c r="C65" s="639" t="s">
        <v>40</v>
      </c>
      <c r="D65" s="639" t="s">
        <v>46</v>
      </c>
      <c r="E65" s="639" t="s">
        <v>40</v>
      </c>
      <c r="F65" s="640" t="s">
        <v>276</v>
      </c>
      <c r="G65" s="291"/>
      <c r="H65" s="266">
        <f>SUM(H66:H67)</f>
        <v>2260.9</v>
      </c>
    </row>
    <row r="66" spans="1:8" ht="36" x14ac:dyDescent="0.35">
      <c r="A66" s="431"/>
      <c r="B66" s="264" t="s">
        <v>56</v>
      </c>
      <c r="C66" s="251" t="s">
        <v>40</v>
      </c>
      <c r="D66" s="252" t="s">
        <v>46</v>
      </c>
      <c r="E66" s="252" t="s">
        <v>40</v>
      </c>
      <c r="F66" s="253" t="s">
        <v>276</v>
      </c>
      <c r="G66" s="35" t="s">
        <v>57</v>
      </c>
      <c r="H66" s="266">
        <f>'прил9 (ведом 22)'!M515</f>
        <v>106.9</v>
      </c>
    </row>
    <row r="67" spans="1:8" ht="41.25" customHeight="1" x14ac:dyDescent="0.35">
      <c r="A67" s="431"/>
      <c r="B67" s="442" t="s">
        <v>77</v>
      </c>
      <c r="C67" s="639" t="s">
        <v>40</v>
      </c>
      <c r="D67" s="639" t="s">
        <v>46</v>
      </c>
      <c r="E67" s="639" t="s">
        <v>40</v>
      </c>
      <c r="F67" s="640" t="s">
        <v>276</v>
      </c>
      <c r="G67" s="291" t="s">
        <v>78</v>
      </c>
      <c r="H67" s="266">
        <f>'прил9 (ведом 22)'!M516</f>
        <v>2154</v>
      </c>
    </row>
    <row r="68" spans="1:8" ht="54" x14ac:dyDescent="0.35">
      <c r="A68" s="431"/>
      <c r="B68" s="24" t="s">
        <v>684</v>
      </c>
      <c r="C68" s="644" t="s">
        <v>40</v>
      </c>
      <c r="D68" s="645" t="s">
        <v>46</v>
      </c>
      <c r="E68" s="645" t="s">
        <v>40</v>
      </c>
      <c r="F68" s="646" t="s">
        <v>683</v>
      </c>
      <c r="G68" s="10"/>
      <c r="H68" s="266">
        <f>H69+H70</f>
        <v>3050</v>
      </c>
    </row>
    <row r="69" spans="1:8" ht="36" x14ac:dyDescent="0.35">
      <c r="A69" s="431"/>
      <c r="B69" s="24" t="s">
        <v>56</v>
      </c>
      <c r="C69" s="644" t="s">
        <v>40</v>
      </c>
      <c r="D69" s="645" t="s">
        <v>46</v>
      </c>
      <c r="E69" s="645" t="s">
        <v>40</v>
      </c>
      <c r="F69" s="646" t="s">
        <v>683</v>
      </c>
      <c r="G69" s="10" t="s">
        <v>57</v>
      </c>
      <c r="H69" s="266">
        <f>'прил9 (ведом 22)'!M518</f>
        <v>1100</v>
      </c>
    </row>
    <row r="70" spans="1:8" ht="36" x14ac:dyDescent="0.35">
      <c r="A70" s="431"/>
      <c r="B70" s="24" t="s">
        <v>77</v>
      </c>
      <c r="C70" s="644" t="s">
        <v>40</v>
      </c>
      <c r="D70" s="645" t="s">
        <v>46</v>
      </c>
      <c r="E70" s="645" t="s">
        <v>40</v>
      </c>
      <c r="F70" s="646" t="s">
        <v>683</v>
      </c>
      <c r="G70" s="10" t="s">
        <v>78</v>
      </c>
      <c r="H70" s="266">
        <f>'прил9 (ведом 22)'!M519</f>
        <v>1950</v>
      </c>
    </row>
    <row r="71" spans="1:8" ht="142.94999999999999" customHeight="1" x14ac:dyDescent="0.35">
      <c r="A71" s="431"/>
      <c r="B71" s="24" t="s">
        <v>623</v>
      </c>
      <c r="C71" s="644" t="s">
        <v>40</v>
      </c>
      <c r="D71" s="645" t="s">
        <v>46</v>
      </c>
      <c r="E71" s="645" t="s">
        <v>40</v>
      </c>
      <c r="F71" s="646" t="s">
        <v>622</v>
      </c>
      <c r="G71" s="291"/>
      <c r="H71" s="266">
        <f>H72+H73</f>
        <v>2026.1999999999998</v>
      </c>
    </row>
    <row r="72" spans="1:8" ht="41.25" customHeight="1" x14ac:dyDescent="0.35">
      <c r="A72" s="431"/>
      <c r="B72" s="24" t="s">
        <v>56</v>
      </c>
      <c r="C72" s="644" t="s">
        <v>40</v>
      </c>
      <c r="D72" s="645" t="s">
        <v>46</v>
      </c>
      <c r="E72" s="645" t="s">
        <v>40</v>
      </c>
      <c r="F72" s="646" t="s">
        <v>622</v>
      </c>
      <c r="G72" s="10" t="s">
        <v>57</v>
      </c>
      <c r="H72" s="266">
        <f>'прил9 (ведом 22)'!M521</f>
        <v>76</v>
      </c>
    </row>
    <row r="73" spans="1:8" ht="41.25" customHeight="1" x14ac:dyDescent="0.35">
      <c r="A73" s="431"/>
      <c r="B73" s="24" t="s">
        <v>77</v>
      </c>
      <c r="C73" s="644" t="s">
        <v>40</v>
      </c>
      <c r="D73" s="645" t="s">
        <v>46</v>
      </c>
      <c r="E73" s="645" t="s">
        <v>40</v>
      </c>
      <c r="F73" s="646" t="s">
        <v>622</v>
      </c>
      <c r="G73" s="10" t="s">
        <v>78</v>
      </c>
      <c r="H73" s="266">
        <f>'прил9 (ведом 22)'!M522</f>
        <v>1950.1999999999998</v>
      </c>
    </row>
    <row r="74" spans="1:8" ht="75" customHeight="1" x14ac:dyDescent="0.35">
      <c r="A74" s="431"/>
      <c r="B74" s="264" t="s">
        <v>480</v>
      </c>
      <c r="C74" s="251" t="s">
        <v>40</v>
      </c>
      <c r="D74" s="252" t="s">
        <v>46</v>
      </c>
      <c r="E74" s="252" t="s">
        <v>40</v>
      </c>
      <c r="F74" s="253" t="s">
        <v>479</v>
      </c>
      <c r="G74" s="35"/>
      <c r="H74" s="266">
        <f>H75+H76</f>
        <v>57440.1</v>
      </c>
    </row>
    <row r="75" spans="1:8" ht="38.25" customHeight="1" x14ac:dyDescent="0.35">
      <c r="A75" s="431"/>
      <c r="B75" s="264" t="s">
        <v>56</v>
      </c>
      <c r="C75" s="251" t="s">
        <v>40</v>
      </c>
      <c r="D75" s="252" t="s">
        <v>46</v>
      </c>
      <c r="E75" s="252" t="s">
        <v>40</v>
      </c>
      <c r="F75" s="253" t="s">
        <v>479</v>
      </c>
      <c r="G75" s="35" t="s">
        <v>57</v>
      </c>
      <c r="H75" s="266">
        <f>'прил9 (ведом 22)'!M524</f>
        <v>1844</v>
      </c>
    </row>
    <row r="76" spans="1:8" ht="39" customHeight="1" x14ac:dyDescent="0.35">
      <c r="A76" s="431"/>
      <c r="B76" s="264" t="s">
        <v>77</v>
      </c>
      <c r="C76" s="251" t="s">
        <v>40</v>
      </c>
      <c r="D76" s="252" t="s">
        <v>46</v>
      </c>
      <c r="E76" s="252" t="s">
        <v>40</v>
      </c>
      <c r="F76" s="253" t="s">
        <v>479</v>
      </c>
      <c r="G76" s="35" t="s">
        <v>78</v>
      </c>
      <c r="H76" s="266">
        <f>'прил9 (ведом 22)'!M525</f>
        <v>55596.1</v>
      </c>
    </row>
    <row r="77" spans="1:8" ht="72" x14ac:dyDescent="0.35">
      <c r="A77" s="431"/>
      <c r="B77" s="24" t="s">
        <v>620</v>
      </c>
      <c r="C77" s="644" t="s">
        <v>40</v>
      </c>
      <c r="D77" s="645" t="s">
        <v>46</v>
      </c>
      <c r="E77" s="645" t="s">
        <v>40</v>
      </c>
      <c r="F77" s="646" t="s">
        <v>619</v>
      </c>
      <c r="G77" s="35"/>
      <c r="H77" s="266">
        <f>H78+H79+H80</f>
        <v>12776.5</v>
      </c>
    </row>
    <row r="78" spans="1:8" ht="39" customHeight="1" x14ac:dyDescent="0.35">
      <c r="A78" s="431"/>
      <c r="B78" s="24" t="s">
        <v>56</v>
      </c>
      <c r="C78" s="644" t="s">
        <v>40</v>
      </c>
      <c r="D78" s="645" t="s">
        <v>46</v>
      </c>
      <c r="E78" s="645" t="s">
        <v>40</v>
      </c>
      <c r="F78" s="646" t="s">
        <v>619</v>
      </c>
      <c r="G78" s="10" t="s">
        <v>57</v>
      </c>
      <c r="H78" s="266">
        <f>'прил9 (ведом 22)'!M527</f>
        <v>81.7</v>
      </c>
    </row>
    <row r="79" spans="1:8" ht="18" x14ac:dyDescent="0.35">
      <c r="A79" s="431"/>
      <c r="B79" s="24" t="s">
        <v>121</v>
      </c>
      <c r="C79" s="644" t="s">
        <v>40</v>
      </c>
      <c r="D79" s="645" t="s">
        <v>46</v>
      </c>
      <c r="E79" s="645" t="s">
        <v>40</v>
      </c>
      <c r="F79" s="646" t="s">
        <v>619</v>
      </c>
      <c r="G79" s="10" t="s">
        <v>122</v>
      </c>
      <c r="H79" s="266">
        <f>'прил9 (ведом 22)'!M528</f>
        <v>65.2</v>
      </c>
    </row>
    <row r="80" spans="1:8" ht="36" x14ac:dyDescent="0.35">
      <c r="A80" s="431"/>
      <c r="B80" s="24" t="s">
        <v>77</v>
      </c>
      <c r="C80" s="644" t="s">
        <v>40</v>
      </c>
      <c r="D80" s="645" t="s">
        <v>46</v>
      </c>
      <c r="E80" s="645" t="s">
        <v>40</v>
      </c>
      <c r="F80" s="646" t="s">
        <v>619</v>
      </c>
      <c r="G80" s="10" t="s">
        <v>78</v>
      </c>
      <c r="H80" s="266">
        <f>'прил9 (ведом 22)'!M529</f>
        <v>12629.6</v>
      </c>
    </row>
    <row r="81" spans="1:8" ht="18" x14ac:dyDescent="0.35">
      <c r="A81" s="431"/>
      <c r="B81" s="442" t="s">
        <v>211</v>
      </c>
      <c r="C81" s="251" t="s">
        <v>40</v>
      </c>
      <c r="D81" s="252" t="s">
        <v>90</v>
      </c>
      <c r="E81" s="252" t="s">
        <v>44</v>
      </c>
      <c r="F81" s="253" t="s">
        <v>45</v>
      </c>
      <c r="G81" s="291"/>
      <c r="H81" s="266">
        <f>H82+H104</f>
        <v>68710.385000000009</v>
      </c>
    </row>
    <row r="82" spans="1:8" ht="36" x14ac:dyDescent="0.35">
      <c r="A82" s="431"/>
      <c r="B82" s="442" t="s">
        <v>277</v>
      </c>
      <c r="C82" s="251" t="s">
        <v>40</v>
      </c>
      <c r="D82" s="252" t="s">
        <v>90</v>
      </c>
      <c r="E82" s="252" t="s">
        <v>38</v>
      </c>
      <c r="F82" s="253" t="s">
        <v>45</v>
      </c>
      <c r="G82" s="291"/>
      <c r="H82" s="266">
        <f>H83+H98+H90+H100+H93+H95+H102+H88</f>
        <v>68656.385000000009</v>
      </c>
    </row>
    <row r="83" spans="1:8" ht="36" x14ac:dyDescent="0.35">
      <c r="A83" s="431"/>
      <c r="B83" s="442" t="s">
        <v>490</v>
      </c>
      <c r="C83" s="251" t="s">
        <v>40</v>
      </c>
      <c r="D83" s="252" t="s">
        <v>90</v>
      </c>
      <c r="E83" s="252" t="s">
        <v>38</v>
      </c>
      <c r="F83" s="253" t="s">
        <v>92</v>
      </c>
      <c r="G83" s="35"/>
      <c r="H83" s="266">
        <f>SUM(H84:H87)</f>
        <v>46130.385000000009</v>
      </c>
    </row>
    <row r="84" spans="1:8" ht="90" x14ac:dyDescent="0.35">
      <c r="A84" s="431"/>
      <c r="B84" s="264" t="s">
        <v>50</v>
      </c>
      <c r="C84" s="251" t="s">
        <v>40</v>
      </c>
      <c r="D84" s="252" t="s">
        <v>90</v>
      </c>
      <c r="E84" s="252" t="s">
        <v>38</v>
      </c>
      <c r="F84" s="253" t="s">
        <v>92</v>
      </c>
      <c r="G84" s="35" t="s">
        <v>51</v>
      </c>
      <c r="H84" s="266">
        <f>'прил9 (ведом 22)'!M549</f>
        <v>19991.800000000003</v>
      </c>
    </row>
    <row r="85" spans="1:8" ht="36" x14ac:dyDescent="0.35">
      <c r="A85" s="431"/>
      <c r="B85" s="264" t="s">
        <v>56</v>
      </c>
      <c r="C85" s="251" t="s">
        <v>40</v>
      </c>
      <c r="D85" s="252" t="s">
        <v>90</v>
      </c>
      <c r="E85" s="252" t="s">
        <v>38</v>
      </c>
      <c r="F85" s="253" t="s">
        <v>92</v>
      </c>
      <c r="G85" s="35" t="s">
        <v>57</v>
      </c>
      <c r="H85" s="266">
        <f>'прил9 (ведом 22)'!M550</f>
        <v>2459.7849999999999</v>
      </c>
    </row>
    <row r="86" spans="1:8" ht="38.25" customHeight="1" x14ac:dyDescent="0.35">
      <c r="A86" s="431"/>
      <c r="B86" s="442" t="s">
        <v>77</v>
      </c>
      <c r="C86" s="251" t="s">
        <v>40</v>
      </c>
      <c r="D86" s="252" t="s">
        <v>90</v>
      </c>
      <c r="E86" s="252" t="s">
        <v>38</v>
      </c>
      <c r="F86" s="253" t="s">
        <v>92</v>
      </c>
      <c r="G86" s="35" t="s">
        <v>78</v>
      </c>
      <c r="H86" s="266">
        <f>'прил9 (ведом 22)'!M551</f>
        <v>23565.5</v>
      </c>
    </row>
    <row r="87" spans="1:8" ht="18" x14ac:dyDescent="0.35">
      <c r="A87" s="431"/>
      <c r="B87" s="264" t="s">
        <v>58</v>
      </c>
      <c r="C87" s="251" t="s">
        <v>40</v>
      </c>
      <c r="D87" s="252" t="s">
        <v>90</v>
      </c>
      <c r="E87" s="252" t="s">
        <v>38</v>
      </c>
      <c r="F87" s="253" t="s">
        <v>92</v>
      </c>
      <c r="G87" s="35" t="s">
        <v>59</v>
      </c>
      <c r="H87" s="266">
        <f>'прил9 (ведом 22)'!M552</f>
        <v>113.3</v>
      </c>
    </row>
    <row r="88" spans="1:8" ht="18" x14ac:dyDescent="0.35">
      <c r="A88" s="431"/>
      <c r="B88" s="24" t="s">
        <v>491</v>
      </c>
      <c r="C88" s="644" t="s">
        <v>40</v>
      </c>
      <c r="D88" s="645" t="s">
        <v>90</v>
      </c>
      <c r="E88" s="645" t="s">
        <v>38</v>
      </c>
      <c r="F88" s="646" t="s">
        <v>394</v>
      </c>
      <c r="G88" s="10"/>
      <c r="H88" s="266">
        <f>H89</f>
        <v>890.6</v>
      </c>
    </row>
    <row r="89" spans="1:8" ht="36" x14ac:dyDescent="0.35">
      <c r="A89" s="431"/>
      <c r="B89" s="24" t="s">
        <v>56</v>
      </c>
      <c r="C89" s="644" t="s">
        <v>40</v>
      </c>
      <c r="D89" s="645" t="s">
        <v>90</v>
      </c>
      <c r="E89" s="645" t="s">
        <v>38</v>
      </c>
      <c r="F89" s="646" t="s">
        <v>394</v>
      </c>
      <c r="G89" s="10" t="s">
        <v>57</v>
      </c>
      <c r="H89" s="266">
        <f>'прил9 (ведом 22)'!M554</f>
        <v>890.6</v>
      </c>
    </row>
    <row r="90" spans="1:8" ht="44.25" customHeight="1" x14ac:dyDescent="0.35">
      <c r="A90" s="431"/>
      <c r="B90" s="264" t="s">
        <v>208</v>
      </c>
      <c r="C90" s="251" t="s">
        <v>40</v>
      </c>
      <c r="D90" s="252" t="s">
        <v>90</v>
      </c>
      <c r="E90" s="252" t="s">
        <v>38</v>
      </c>
      <c r="F90" s="253" t="s">
        <v>274</v>
      </c>
      <c r="G90" s="35"/>
      <c r="H90" s="266">
        <f>SUM(H91:H92)</f>
        <v>4203.6000000000004</v>
      </c>
    </row>
    <row r="91" spans="1:8" ht="36" x14ac:dyDescent="0.35">
      <c r="A91" s="431"/>
      <c r="B91" s="264" t="s">
        <v>56</v>
      </c>
      <c r="C91" s="251" t="s">
        <v>40</v>
      </c>
      <c r="D91" s="252" t="s">
        <v>90</v>
      </c>
      <c r="E91" s="252" t="s">
        <v>38</v>
      </c>
      <c r="F91" s="253" t="s">
        <v>274</v>
      </c>
      <c r="G91" s="35" t="s">
        <v>57</v>
      </c>
      <c r="H91" s="266">
        <f>'прил9 (ведом 22)'!M556</f>
        <v>1815</v>
      </c>
    </row>
    <row r="92" spans="1:8" ht="42" customHeight="1" x14ac:dyDescent="0.35">
      <c r="A92" s="431"/>
      <c r="B92" s="449" t="s">
        <v>77</v>
      </c>
      <c r="C92" s="251" t="s">
        <v>40</v>
      </c>
      <c r="D92" s="252" t="s">
        <v>90</v>
      </c>
      <c r="E92" s="252" t="s">
        <v>38</v>
      </c>
      <c r="F92" s="253" t="s">
        <v>274</v>
      </c>
      <c r="G92" s="35" t="s">
        <v>78</v>
      </c>
      <c r="H92" s="266">
        <f>'прил9 (ведом 22)'!M557</f>
        <v>2388.6</v>
      </c>
    </row>
    <row r="93" spans="1:8" ht="42" customHeight="1" x14ac:dyDescent="0.35">
      <c r="A93" s="431"/>
      <c r="B93" s="264" t="s">
        <v>209</v>
      </c>
      <c r="C93" s="251" t="s">
        <v>40</v>
      </c>
      <c r="D93" s="252" t="s">
        <v>90</v>
      </c>
      <c r="E93" s="252" t="s">
        <v>38</v>
      </c>
      <c r="F93" s="253" t="s">
        <v>275</v>
      </c>
      <c r="G93" s="35"/>
      <c r="H93" s="266">
        <f>H94</f>
        <v>17</v>
      </c>
    </row>
    <row r="94" spans="1:8" ht="42" customHeight="1" x14ac:dyDescent="0.35">
      <c r="A94" s="431"/>
      <c r="B94" s="449" t="s">
        <v>77</v>
      </c>
      <c r="C94" s="251" t="s">
        <v>40</v>
      </c>
      <c r="D94" s="252" t="s">
        <v>90</v>
      </c>
      <c r="E94" s="252" t="s">
        <v>38</v>
      </c>
      <c r="F94" s="253" t="s">
        <v>275</v>
      </c>
      <c r="G94" s="35" t="s">
        <v>78</v>
      </c>
      <c r="H94" s="266">
        <f>'прил9 (ведом 22)'!M559</f>
        <v>17</v>
      </c>
    </row>
    <row r="95" spans="1:8" ht="56.4" customHeight="1" x14ac:dyDescent="0.35">
      <c r="A95" s="431"/>
      <c r="B95" s="449" t="s">
        <v>597</v>
      </c>
      <c r="C95" s="251" t="s">
        <v>40</v>
      </c>
      <c r="D95" s="252" t="s">
        <v>90</v>
      </c>
      <c r="E95" s="252" t="s">
        <v>38</v>
      </c>
      <c r="F95" s="253" t="s">
        <v>596</v>
      </c>
      <c r="G95" s="35"/>
      <c r="H95" s="266">
        <f>H96+H97</f>
        <v>4940.4000000000005</v>
      </c>
    </row>
    <row r="96" spans="1:8" ht="42" customHeight="1" x14ac:dyDescent="0.35">
      <c r="A96" s="431"/>
      <c r="B96" s="449" t="s">
        <v>77</v>
      </c>
      <c r="C96" s="251" t="s">
        <v>40</v>
      </c>
      <c r="D96" s="252" t="s">
        <v>90</v>
      </c>
      <c r="E96" s="252" t="s">
        <v>38</v>
      </c>
      <c r="F96" s="253" t="s">
        <v>596</v>
      </c>
      <c r="G96" s="35" t="s">
        <v>78</v>
      </c>
      <c r="H96" s="266">
        <f>'прил9 (ведом 22)'!M561</f>
        <v>4829.1000000000004</v>
      </c>
    </row>
    <row r="97" spans="1:8" ht="18" x14ac:dyDescent="0.35">
      <c r="A97" s="431"/>
      <c r="B97" s="264" t="s">
        <v>58</v>
      </c>
      <c r="C97" s="251" t="s">
        <v>40</v>
      </c>
      <c r="D97" s="252" t="s">
        <v>90</v>
      </c>
      <c r="E97" s="252" t="s">
        <v>38</v>
      </c>
      <c r="F97" s="253" t="s">
        <v>596</v>
      </c>
      <c r="G97" s="35" t="s">
        <v>59</v>
      </c>
      <c r="H97" s="266">
        <f>'прил9 (ведом 22)'!M562</f>
        <v>111.3</v>
      </c>
    </row>
    <row r="98" spans="1:8" ht="162" x14ac:dyDescent="0.35">
      <c r="A98" s="431"/>
      <c r="B98" s="442" t="s">
        <v>269</v>
      </c>
      <c r="C98" s="251" t="s">
        <v>40</v>
      </c>
      <c r="D98" s="252" t="s">
        <v>90</v>
      </c>
      <c r="E98" s="252" t="s">
        <v>38</v>
      </c>
      <c r="F98" s="253" t="s">
        <v>270</v>
      </c>
      <c r="G98" s="35"/>
      <c r="H98" s="266">
        <f>H99</f>
        <v>83</v>
      </c>
    </row>
    <row r="99" spans="1:8" ht="36" x14ac:dyDescent="0.35">
      <c r="A99" s="431"/>
      <c r="B99" s="264" t="s">
        <v>77</v>
      </c>
      <c r="C99" s="251" t="s">
        <v>40</v>
      </c>
      <c r="D99" s="252" t="s">
        <v>90</v>
      </c>
      <c r="E99" s="252" t="s">
        <v>38</v>
      </c>
      <c r="F99" s="253" t="s">
        <v>270</v>
      </c>
      <c r="G99" s="35" t="s">
        <v>78</v>
      </c>
      <c r="H99" s="266">
        <f>'прил9 (ведом 22)'!M564</f>
        <v>83</v>
      </c>
    </row>
    <row r="100" spans="1:8" ht="88.2" customHeight="1" x14ac:dyDescent="0.35">
      <c r="A100" s="431"/>
      <c r="B100" s="264" t="s">
        <v>352</v>
      </c>
      <c r="C100" s="251" t="s">
        <v>40</v>
      </c>
      <c r="D100" s="252" t="s">
        <v>90</v>
      </c>
      <c r="E100" s="252" t="s">
        <v>38</v>
      </c>
      <c r="F100" s="253" t="s">
        <v>271</v>
      </c>
      <c r="G100" s="35"/>
      <c r="H100" s="266">
        <f>H101</f>
        <v>11191.4</v>
      </c>
    </row>
    <row r="101" spans="1:8" ht="34.950000000000003" customHeight="1" x14ac:dyDescent="0.35">
      <c r="A101" s="431"/>
      <c r="B101" s="264" t="s">
        <v>77</v>
      </c>
      <c r="C101" s="251" t="s">
        <v>40</v>
      </c>
      <c r="D101" s="252" t="s">
        <v>90</v>
      </c>
      <c r="E101" s="252" t="s">
        <v>38</v>
      </c>
      <c r="F101" s="253" t="s">
        <v>271</v>
      </c>
      <c r="G101" s="35" t="s">
        <v>78</v>
      </c>
      <c r="H101" s="266">
        <f>'прил9 (ведом 22)'!M566</f>
        <v>11191.4</v>
      </c>
    </row>
    <row r="102" spans="1:8" ht="34.950000000000003" customHeight="1" x14ac:dyDescent="0.35">
      <c r="A102" s="431"/>
      <c r="B102" s="24" t="s">
        <v>684</v>
      </c>
      <c r="C102" s="644" t="s">
        <v>40</v>
      </c>
      <c r="D102" s="645" t="s">
        <v>90</v>
      </c>
      <c r="E102" s="645" t="s">
        <v>38</v>
      </c>
      <c r="F102" s="646" t="s">
        <v>683</v>
      </c>
      <c r="G102" s="10"/>
      <c r="H102" s="266">
        <f>H103</f>
        <v>1200</v>
      </c>
    </row>
    <row r="103" spans="1:8" ht="34.950000000000003" customHeight="1" x14ac:dyDescent="0.35">
      <c r="A103" s="431"/>
      <c r="B103" s="24" t="s">
        <v>77</v>
      </c>
      <c r="C103" s="644" t="s">
        <v>40</v>
      </c>
      <c r="D103" s="645" t="s">
        <v>90</v>
      </c>
      <c r="E103" s="645" t="s">
        <v>38</v>
      </c>
      <c r="F103" s="646" t="s">
        <v>683</v>
      </c>
      <c r="G103" s="10" t="s">
        <v>78</v>
      </c>
      <c r="H103" s="266">
        <f>'прил9 (ведом 22)'!M568</f>
        <v>1200</v>
      </c>
    </row>
    <row r="104" spans="1:8" ht="18" x14ac:dyDescent="0.35">
      <c r="A104" s="431"/>
      <c r="B104" s="264" t="s">
        <v>278</v>
      </c>
      <c r="C104" s="251" t="s">
        <v>40</v>
      </c>
      <c r="D104" s="252" t="s">
        <v>90</v>
      </c>
      <c r="E104" s="252" t="s">
        <v>40</v>
      </c>
      <c r="F104" s="253" t="s">
        <v>45</v>
      </c>
      <c r="G104" s="35"/>
      <c r="H104" s="266">
        <f>H105</f>
        <v>54</v>
      </c>
    </row>
    <row r="105" spans="1:8" ht="36" x14ac:dyDescent="0.35">
      <c r="A105" s="431"/>
      <c r="B105" s="264" t="s">
        <v>279</v>
      </c>
      <c r="C105" s="251" t="s">
        <v>40</v>
      </c>
      <c r="D105" s="252" t="s">
        <v>90</v>
      </c>
      <c r="E105" s="252" t="s">
        <v>40</v>
      </c>
      <c r="F105" s="253" t="s">
        <v>280</v>
      </c>
      <c r="G105" s="35"/>
      <c r="H105" s="266">
        <f>H106</f>
        <v>54</v>
      </c>
    </row>
    <row r="106" spans="1:8" ht="20.25" customHeight="1" x14ac:dyDescent="0.35">
      <c r="A106" s="431"/>
      <c r="B106" s="264" t="s">
        <v>121</v>
      </c>
      <c r="C106" s="251" t="s">
        <v>40</v>
      </c>
      <c r="D106" s="252" t="s">
        <v>90</v>
      </c>
      <c r="E106" s="252" t="s">
        <v>40</v>
      </c>
      <c r="F106" s="253" t="s">
        <v>280</v>
      </c>
      <c r="G106" s="35" t="s">
        <v>122</v>
      </c>
      <c r="H106" s="266">
        <f>'прил9 (ведом 22)'!M582</f>
        <v>54</v>
      </c>
    </row>
    <row r="107" spans="1:8" ht="43.5" customHeight="1" x14ac:dyDescent="0.35">
      <c r="A107" s="431"/>
      <c r="B107" s="442" t="s">
        <v>213</v>
      </c>
      <c r="C107" s="251" t="s">
        <v>40</v>
      </c>
      <c r="D107" s="252" t="s">
        <v>31</v>
      </c>
      <c r="E107" s="252" t="s">
        <v>44</v>
      </c>
      <c r="F107" s="253" t="s">
        <v>45</v>
      </c>
      <c r="G107" s="291"/>
      <c r="H107" s="266">
        <f>H108+H130+H135+H138+H141</f>
        <v>82571.166999999987</v>
      </c>
    </row>
    <row r="108" spans="1:8" ht="36" x14ac:dyDescent="0.35">
      <c r="A108" s="431"/>
      <c r="B108" s="442" t="s">
        <v>283</v>
      </c>
      <c r="C108" s="251" t="s">
        <v>40</v>
      </c>
      <c r="D108" s="252" t="s">
        <v>31</v>
      </c>
      <c r="E108" s="252" t="s">
        <v>38</v>
      </c>
      <c r="F108" s="253" t="s">
        <v>45</v>
      </c>
      <c r="G108" s="291"/>
      <c r="H108" s="266">
        <f>H109+H118+H113+H127+H124+H120+H122</f>
        <v>74354.066999999995</v>
      </c>
    </row>
    <row r="109" spans="1:8" ht="36" x14ac:dyDescent="0.35">
      <c r="A109" s="431"/>
      <c r="B109" s="442" t="s">
        <v>48</v>
      </c>
      <c r="C109" s="251" t="s">
        <v>40</v>
      </c>
      <c r="D109" s="252" t="s">
        <v>31</v>
      </c>
      <c r="E109" s="252" t="s">
        <v>38</v>
      </c>
      <c r="F109" s="253" t="s">
        <v>49</v>
      </c>
      <c r="G109" s="35"/>
      <c r="H109" s="266">
        <f>SUM(H110:H112)</f>
        <v>11700.627999999999</v>
      </c>
    </row>
    <row r="110" spans="1:8" ht="90" x14ac:dyDescent="0.35">
      <c r="A110" s="431"/>
      <c r="B110" s="442" t="s">
        <v>50</v>
      </c>
      <c r="C110" s="251" t="s">
        <v>40</v>
      </c>
      <c r="D110" s="252" t="s">
        <v>31</v>
      </c>
      <c r="E110" s="252" t="s">
        <v>38</v>
      </c>
      <c r="F110" s="253" t="s">
        <v>49</v>
      </c>
      <c r="G110" s="35" t="s">
        <v>51</v>
      </c>
      <c r="H110" s="266">
        <f>'прил9 (ведом 22)'!M586</f>
        <v>10911.199999999999</v>
      </c>
    </row>
    <row r="111" spans="1:8" ht="36" x14ac:dyDescent="0.35">
      <c r="A111" s="431"/>
      <c r="B111" s="442" t="s">
        <v>56</v>
      </c>
      <c r="C111" s="251" t="s">
        <v>40</v>
      </c>
      <c r="D111" s="252" t="s">
        <v>31</v>
      </c>
      <c r="E111" s="252" t="s">
        <v>38</v>
      </c>
      <c r="F111" s="253" t="s">
        <v>49</v>
      </c>
      <c r="G111" s="35" t="s">
        <v>57</v>
      </c>
      <c r="H111" s="266">
        <f>'прил9 (ведом 22)'!M587</f>
        <v>772.428</v>
      </c>
    </row>
    <row r="112" spans="1:8" ht="18" x14ac:dyDescent="0.35">
      <c r="A112" s="431"/>
      <c r="B112" s="442" t="s">
        <v>58</v>
      </c>
      <c r="C112" s="251" t="s">
        <v>40</v>
      </c>
      <c r="D112" s="252" t="s">
        <v>31</v>
      </c>
      <c r="E112" s="252" t="s">
        <v>38</v>
      </c>
      <c r="F112" s="253" t="s">
        <v>49</v>
      </c>
      <c r="G112" s="35" t="s">
        <v>59</v>
      </c>
      <c r="H112" s="266">
        <f>'прил9 (ведом 22)'!M588</f>
        <v>17</v>
      </c>
    </row>
    <row r="113" spans="1:8" ht="36" x14ac:dyDescent="0.35">
      <c r="A113" s="431"/>
      <c r="B113" s="442" t="s">
        <v>490</v>
      </c>
      <c r="C113" s="251" t="s">
        <v>40</v>
      </c>
      <c r="D113" s="252" t="s">
        <v>31</v>
      </c>
      <c r="E113" s="252" t="s">
        <v>38</v>
      </c>
      <c r="F113" s="253" t="s">
        <v>92</v>
      </c>
      <c r="G113" s="35"/>
      <c r="H113" s="266">
        <f>SUM(H114:H117)</f>
        <v>52180.539000000004</v>
      </c>
    </row>
    <row r="114" spans="1:8" ht="90" x14ac:dyDescent="0.35">
      <c r="A114" s="431"/>
      <c r="B114" s="442" t="s">
        <v>50</v>
      </c>
      <c r="C114" s="251" t="s">
        <v>40</v>
      </c>
      <c r="D114" s="252" t="s">
        <v>31</v>
      </c>
      <c r="E114" s="252" t="s">
        <v>38</v>
      </c>
      <c r="F114" s="253" t="s">
        <v>92</v>
      </c>
      <c r="G114" s="35" t="s">
        <v>51</v>
      </c>
      <c r="H114" s="266">
        <f>'прил9 (ведом 22)'!M590</f>
        <v>29804.100000000006</v>
      </c>
    </row>
    <row r="115" spans="1:8" ht="36" x14ac:dyDescent="0.35">
      <c r="A115" s="431"/>
      <c r="B115" s="442" t="s">
        <v>56</v>
      </c>
      <c r="C115" s="251" t="s">
        <v>40</v>
      </c>
      <c r="D115" s="252" t="s">
        <v>31</v>
      </c>
      <c r="E115" s="252" t="s">
        <v>38</v>
      </c>
      <c r="F115" s="253" t="s">
        <v>92</v>
      </c>
      <c r="G115" s="35" t="s">
        <v>57</v>
      </c>
      <c r="H115" s="266">
        <f>'прил9 (ведом 22)'!M591</f>
        <v>3063.3389999999999</v>
      </c>
    </row>
    <row r="116" spans="1:8" ht="34.200000000000003" customHeight="1" x14ac:dyDescent="0.35">
      <c r="A116" s="431"/>
      <c r="B116" s="264" t="s">
        <v>77</v>
      </c>
      <c r="C116" s="251" t="s">
        <v>40</v>
      </c>
      <c r="D116" s="252" t="s">
        <v>31</v>
      </c>
      <c r="E116" s="252" t="s">
        <v>38</v>
      </c>
      <c r="F116" s="253" t="s">
        <v>92</v>
      </c>
      <c r="G116" s="35" t="s">
        <v>78</v>
      </c>
      <c r="H116" s="266">
        <f>'прил9 (ведом 22)'!M592</f>
        <v>19306.899999999998</v>
      </c>
    </row>
    <row r="117" spans="1:8" ht="18" x14ac:dyDescent="0.35">
      <c r="A117" s="431"/>
      <c r="B117" s="442" t="s">
        <v>58</v>
      </c>
      <c r="C117" s="251" t="s">
        <v>40</v>
      </c>
      <c r="D117" s="252" t="s">
        <v>31</v>
      </c>
      <c r="E117" s="252" t="s">
        <v>38</v>
      </c>
      <c r="F117" s="253" t="s">
        <v>92</v>
      </c>
      <c r="G117" s="35" t="s">
        <v>59</v>
      </c>
      <c r="H117" s="266">
        <f>'прил9 (ведом 22)'!M593</f>
        <v>6.2</v>
      </c>
    </row>
    <row r="118" spans="1:8" ht="18" x14ac:dyDescent="0.35">
      <c r="A118" s="431"/>
      <c r="B118" s="264" t="s">
        <v>491</v>
      </c>
      <c r="C118" s="251" t="s">
        <v>40</v>
      </c>
      <c r="D118" s="252" t="s">
        <v>31</v>
      </c>
      <c r="E118" s="252" t="s">
        <v>38</v>
      </c>
      <c r="F118" s="253" t="s">
        <v>394</v>
      </c>
      <c r="G118" s="35"/>
      <c r="H118" s="266">
        <f>H119</f>
        <v>550.9</v>
      </c>
    </row>
    <row r="119" spans="1:8" ht="36" x14ac:dyDescent="0.35">
      <c r="A119" s="431"/>
      <c r="B119" s="264" t="s">
        <v>56</v>
      </c>
      <c r="C119" s="251" t="s">
        <v>40</v>
      </c>
      <c r="D119" s="252" t="s">
        <v>31</v>
      </c>
      <c r="E119" s="252" t="s">
        <v>38</v>
      </c>
      <c r="F119" s="253" t="s">
        <v>394</v>
      </c>
      <c r="G119" s="35" t="s">
        <v>57</v>
      </c>
      <c r="H119" s="266">
        <f>'прил9 (ведом 22)'!M595</f>
        <v>550.9</v>
      </c>
    </row>
    <row r="120" spans="1:8" ht="36" x14ac:dyDescent="0.35">
      <c r="A120" s="431"/>
      <c r="B120" s="264" t="s">
        <v>209</v>
      </c>
      <c r="C120" s="251" t="s">
        <v>40</v>
      </c>
      <c r="D120" s="252" t="s">
        <v>31</v>
      </c>
      <c r="E120" s="252" t="s">
        <v>38</v>
      </c>
      <c r="F120" s="253" t="s">
        <v>275</v>
      </c>
      <c r="G120" s="35"/>
      <c r="H120" s="266">
        <f>H121</f>
        <v>10</v>
      </c>
    </row>
    <row r="121" spans="1:8" ht="36" x14ac:dyDescent="0.35">
      <c r="A121" s="431"/>
      <c r="B121" s="264" t="s">
        <v>56</v>
      </c>
      <c r="C121" s="251" t="s">
        <v>40</v>
      </c>
      <c r="D121" s="252" t="s">
        <v>31</v>
      </c>
      <c r="E121" s="252" t="s">
        <v>38</v>
      </c>
      <c r="F121" s="253" t="s">
        <v>275</v>
      </c>
      <c r="G121" s="35" t="s">
        <v>57</v>
      </c>
      <c r="H121" s="266">
        <f>'прил9 (ведом 22)'!M597</f>
        <v>10</v>
      </c>
    </row>
    <row r="122" spans="1:8" ht="36" x14ac:dyDescent="0.35">
      <c r="A122" s="431"/>
      <c r="B122" s="24" t="s">
        <v>690</v>
      </c>
      <c r="C122" s="644" t="s">
        <v>40</v>
      </c>
      <c r="D122" s="645" t="s">
        <v>31</v>
      </c>
      <c r="E122" s="645" t="s">
        <v>38</v>
      </c>
      <c r="F122" s="646" t="s">
        <v>689</v>
      </c>
      <c r="G122" s="10"/>
      <c r="H122" s="266">
        <f>H123</f>
        <v>518.4</v>
      </c>
    </row>
    <row r="123" spans="1:8" ht="38.4" customHeight="1" x14ac:dyDescent="0.35">
      <c r="A123" s="431"/>
      <c r="B123" s="24" t="s">
        <v>77</v>
      </c>
      <c r="C123" s="644" t="s">
        <v>40</v>
      </c>
      <c r="D123" s="645" t="s">
        <v>31</v>
      </c>
      <c r="E123" s="645" t="s">
        <v>38</v>
      </c>
      <c r="F123" s="646" t="s">
        <v>689</v>
      </c>
      <c r="G123" s="10" t="s">
        <v>78</v>
      </c>
      <c r="H123" s="266">
        <f>'прил9 (ведом 22)'!M599</f>
        <v>518.4</v>
      </c>
    </row>
    <row r="124" spans="1:8" ht="87.6" customHeight="1" x14ac:dyDescent="0.35">
      <c r="A124" s="431"/>
      <c r="B124" s="264" t="s">
        <v>352</v>
      </c>
      <c r="C124" s="251" t="s">
        <v>40</v>
      </c>
      <c r="D124" s="252" t="s">
        <v>31</v>
      </c>
      <c r="E124" s="252" t="s">
        <v>38</v>
      </c>
      <c r="F124" s="253" t="s">
        <v>271</v>
      </c>
      <c r="G124" s="35"/>
      <c r="H124" s="266">
        <f>H125+H126</f>
        <v>6318.7999999999993</v>
      </c>
    </row>
    <row r="125" spans="1:8" ht="90" x14ac:dyDescent="0.35">
      <c r="A125" s="431"/>
      <c r="B125" s="264" t="s">
        <v>50</v>
      </c>
      <c r="C125" s="251" t="s">
        <v>40</v>
      </c>
      <c r="D125" s="252" t="s">
        <v>31</v>
      </c>
      <c r="E125" s="252" t="s">
        <v>38</v>
      </c>
      <c r="F125" s="253" t="s">
        <v>271</v>
      </c>
      <c r="G125" s="35" t="s">
        <v>51</v>
      </c>
      <c r="H125" s="266">
        <f>'прил9 (ведом 22)'!M601</f>
        <v>6189.9</v>
      </c>
    </row>
    <row r="126" spans="1:8" ht="36" x14ac:dyDescent="0.35">
      <c r="A126" s="431"/>
      <c r="B126" s="24" t="s">
        <v>56</v>
      </c>
      <c r="C126" s="251" t="s">
        <v>40</v>
      </c>
      <c r="D126" s="252" t="s">
        <v>31</v>
      </c>
      <c r="E126" s="252" t="s">
        <v>38</v>
      </c>
      <c r="F126" s="253" t="s">
        <v>271</v>
      </c>
      <c r="G126" s="10" t="s">
        <v>57</v>
      </c>
      <c r="H126" s="266">
        <f>'прил9 (ведом 22)'!M602</f>
        <v>128.9</v>
      </c>
    </row>
    <row r="127" spans="1:8" ht="216" x14ac:dyDescent="0.35">
      <c r="A127" s="431"/>
      <c r="B127" s="264" t="s">
        <v>459</v>
      </c>
      <c r="C127" s="251" t="s">
        <v>40</v>
      </c>
      <c r="D127" s="252" t="s">
        <v>31</v>
      </c>
      <c r="E127" s="252" t="s">
        <v>38</v>
      </c>
      <c r="F127" s="253" t="s">
        <v>353</v>
      </c>
      <c r="G127" s="35"/>
      <c r="H127" s="266">
        <f>SUM(H128:H129)</f>
        <v>3074.8</v>
      </c>
    </row>
    <row r="128" spans="1:8" ht="90" x14ac:dyDescent="0.35">
      <c r="A128" s="431"/>
      <c r="B128" s="264" t="s">
        <v>50</v>
      </c>
      <c r="C128" s="251" t="s">
        <v>40</v>
      </c>
      <c r="D128" s="252" t="s">
        <v>31</v>
      </c>
      <c r="E128" s="252" t="s">
        <v>38</v>
      </c>
      <c r="F128" s="253" t="s">
        <v>353</v>
      </c>
      <c r="G128" s="35" t="s">
        <v>51</v>
      </c>
      <c r="H128" s="266">
        <f>'прил9 (ведом 22)'!M533</f>
        <v>8.1244800000000001</v>
      </c>
    </row>
    <row r="129" spans="1:8" ht="42.75" customHeight="1" x14ac:dyDescent="0.35">
      <c r="A129" s="431"/>
      <c r="B129" s="442" t="s">
        <v>77</v>
      </c>
      <c r="C129" s="251" t="s">
        <v>40</v>
      </c>
      <c r="D129" s="252" t="s">
        <v>31</v>
      </c>
      <c r="E129" s="252" t="s">
        <v>38</v>
      </c>
      <c r="F129" s="253" t="s">
        <v>353</v>
      </c>
      <c r="G129" s="35" t="s">
        <v>78</v>
      </c>
      <c r="H129" s="266">
        <f>'прил9 (ведом 22)'!M534</f>
        <v>3066.6755200000002</v>
      </c>
    </row>
    <row r="130" spans="1:8" ht="42.75" customHeight="1" x14ac:dyDescent="0.35">
      <c r="A130" s="431"/>
      <c r="B130" s="264" t="s">
        <v>282</v>
      </c>
      <c r="C130" s="251" t="s">
        <v>40</v>
      </c>
      <c r="D130" s="252" t="s">
        <v>31</v>
      </c>
      <c r="E130" s="252" t="s">
        <v>40</v>
      </c>
      <c r="F130" s="253" t="s">
        <v>45</v>
      </c>
      <c r="G130" s="35"/>
      <c r="H130" s="266">
        <f>H131+H133</f>
        <v>7913.4</v>
      </c>
    </row>
    <row r="131" spans="1:8" ht="42.75" customHeight="1" x14ac:dyDescent="0.35">
      <c r="A131" s="431"/>
      <c r="B131" s="264" t="s">
        <v>503</v>
      </c>
      <c r="C131" s="251" t="s">
        <v>40</v>
      </c>
      <c r="D131" s="252" t="s">
        <v>31</v>
      </c>
      <c r="E131" s="252" t="s">
        <v>40</v>
      </c>
      <c r="F131" s="253" t="s">
        <v>502</v>
      </c>
      <c r="G131" s="35"/>
      <c r="H131" s="266">
        <f>H132</f>
        <v>2607.3000000000002</v>
      </c>
    </row>
    <row r="132" spans="1:8" ht="39.6" customHeight="1" x14ac:dyDescent="0.35">
      <c r="A132" s="431"/>
      <c r="B132" s="264" t="s">
        <v>77</v>
      </c>
      <c r="C132" s="251" t="s">
        <v>40</v>
      </c>
      <c r="D132" s="252" t="s">
        <v>31</v>
      </c>
      <c r="E132" s="252" t="s">
        <v>40</v>
      </c>
      <c r="F132" s="253" t="s">
        <v>502</v>
      </c>
      <c r="G132" s="35" t="s">
        <v>78</v>
      </c>
      <c r="H132" s="266">
        <f>'прил9 (ведом 22)'!M574</f>
        <v>2607.3000000000002</v>
      </c>
    </row>
    <row r="133" spans="1:8" ht="113.25" customHeight="1" x14ac:dyDescent="0.35">
      <c r="A133" s="431"/>
      <c r="B133" s="264" t="s">
        <v>464</v>
      </c>
      <c r="C133" s="251" t="s">
        <v>40</v>
      </c>
      <c r="D133" s="252" t="s">
        <v>31</v>
      </c>
      <c r="E133" s="252" t="s">
        <v>40</v>
      </c>
      <c r="F133" s="253" t="s">
        <v>463</v>
      </c>
      <c r="G133" s="35"/>
      <c r="H133" s="266">
        <f>H134</f>
        <v>5306.0999999999995</v>
      </c>
    </row>
    <row r="134" spans="1:8" ht="34.5" customHeight="1" x14ac:dyDescent="0.35">
      <c r="A134" s="431"/>
      <c r="B134" s="264" t="s">
        <v>77</v>
      </c>
      <c r="C134" s="251" t="s">
        <v>40</v>
      </c>
      <c r="D134" s="252" t="s">
        <v>31</v>
      </c>
      <c r="E134" s="252" t="s">
        <v>40</v>
      </c>
      <c r="F134" s="253" t="s">
        <v>463</v>
      </c>
      <c r="G134" s="35" t="s">
        <v>78</v>
      </c>
      <c r="H134" s="266">
        <f>'прил9 (ведом 22)'!M576</f>
        <v>5306.0999999999995</v>
      </c>
    </row>
    <row r="135" spans="1:8" ht="39" customHeight="1" x14ac:dyDescent="0.35">
      <c r="A135" s="431"/>
      <c r="B135" s="290" t="s">
        <v>358</v>
      </c>
      <c r="C135" s="638" t="s">
        <v>40</v>
      </c>
      <c r="D135" s="639" t="s">
        <v>31</v>
      </c>
      <c r="E135" s="639" t="s">
        <v>64</v>
      </c>
      <c r="F135" s="640" t="s">
        <v>45</v>
      </c>
      <c r="G135" s="291"/>
      <c r="H135" s="266">
        <f>H136</f>
        <v>173.9</v>
      </c>
    </row>
    <row r="136" spans="1:8" ht="51" customHeight="1" x14ac:dyDescent="0.35">
      <c r="A136" s="431"/>
      <c r="B136" s="290" t="s">
        <v>505</v>
      </c>
      <c r="C136" s="638" t="s">
        <v>40</v>
      </c>
      <c r="D136" s="639" t="s">
        <v>31</v>
      </c>
      <c r="E136" s="639" t="s">
        <v>64</v>
      </c>
      <c r="F136" s="640" t="s">
        <v>106</v>
      </c>
      <c r="G136" s="291"/>
      <c r="H136" s="266">
        <f>H137</f>
        <v>173.9</v>
      </c>
    </row>
    <row r="137" spans="1:8" ht="36" customHeight="1" x14ac:dyDescent="0.35">
      <c r="A137" s="431"/>
      <c r="B137" s="290" t="s">
        <v>56</v>
      </c>
      <c r="C137" s="638" t="s">
        <v>40</v>
      </c>
      <c r="D137" s="639" t="s">
        <v>31</v>
      </c>
      <c r="E137" s="639" t="s">
        <v>64</v>
      </c>
      <c r="F137" s="640" t="s">
        <v>106</v>
      </c>
      <c r="G137" s="291" t="s">
        <v>57</v>
      </c>
      <c r="H137" s="266">
        <f>'прил9 (ведом 22)'!M446</f>
        <v>173.9</v>
      </c>
    </row>
    <row r="138" spans="1:8" ht="34.5" customHeight="1" x14ac:dyDescent="0.35">
      <c r="A138" s="431"/>
      <c r="B138" s="290" t="s">
        <v>494</v>
      </c>
      <c r="C138" s="638" t="s">
        <v>40</v>
      </c>
      <c r="D138" s="639" t="s">
        <v>31</v>
      </c>
      <c r="E138" s="639" t="s">
        <v>53</v>
      </c>
      <c r="F138" s="640" t="s">
        <v>45</v>
      </c>
      <c r="G138" s="291"/>
      <c r="H138" s="266">
        <f>H139</f>
        <v>24</v>
      </c>
    </row>
    <row r="139" spans="1:8" ht="15.75" customHeight="1" x14ac:dyDescent="0.35">
      <c r="A139" s="431"/>
      <c r="B139" s="290" t="s">
        <v>506</v>
      </c>
      <c r="C139" s="638" t="s">
        <v>40</v>
      </c>
      <c r="D139" s="639" t="s">
        <v>31</v>
      </c>
      <c r="E139" s="639" t="s">
        <v>53</v>
      </c>
      <c r="F139" s="640" t="s">
        <v>493</v>
      </c>
      <c r="G139" s="291"/>
      <c r="H139" s="266">
        <f>H140</f>
        <v>24</v>
      </c>
    </row>
    <row r="140" spans="1:8" ht="34.5" customHeight="1" x14ac:dyDescent="0.35">
      <c r="A140" s="431"/>
      <c r="B140" s="290" t="s">
        <v>56</v>
      </c>
      <c r="C140" s="638" t="s">
        <v>40</v>
      </c>
      <c r="D140" s="639" t="s">
        <v>31</v>
      </c>
      <c r="E140" s="639" t="s">
        <v>53</v>
      </c>
      <c r="F140" s="640" t="s">
        <v>493</v>
      </c>
      <c r="G140" s="291" t="s">
        <v>57</v>
      </c>
      <c r="H140" s="266">
        <f>'прил9 (ведом 22)'!M449</f>
        <v>24</v>
      </c>
    </row>
    <row r="141" spans="1:8" ht="36.75" customHeight="1" x14ac:dyDescent="0.35">
      <c r="A141" s="431"/>
      <c r="B141" s="290" t="s">
        <v>504</v>
      </c>
      <c r="C141" s="638" t="s">
        <v>40</v>
      </c>
      <c r="D141" s="639" t="s">
        <v>31</v>
      </c>
      <c r="E141" s="639" t="s">
        <v>66</v>
      </c>
      <c r="F141" s="640" t="s">
        <v>45</v>
      </c>
      <c r="G141" s="291"/>
      <c r="H141" s="266">
        <f>H142</f>
        <v>105.8</v>
      </c>
    </row>
    <row r="142" spans="1:8" ht="33" customHeight="1" x14ac:dyDescent="0.35">
      <c r="A142" s="431"/>
      <c r="B142" s="290" t="s">
        <v>128</v>
      </c>
      <c r="C142" s="638" t="s">
        <v>40</v>
      </c>
      <c r="D142" s="639" t="s">
        <v>31</v>
      </c>
      <c r="E142" s="639" t="s">
        <v>66</v>
      </c>
      <c r="F142" s="640" t="s">
        <v>91</v>
      </c>
      <c r="G142" s="291"/>
      <c r="H142" s="266">
        <f>H143</f>
        <v>105.8</v>
      </c>
    </row>
    <row r="143" spans="1:8" ht="33.75" customHeight="1" x14ac:dyDescent="0.35">
      <c r="A143" s="431"/>
      <c r="B143" s="290" t="s">
        <v>56</v>
      </c>
      <c r="C143" s="638" t="s">
        <v>40</v>
      </c>
      <c r="D143" s="639" t="s">
        <v>31</v>
      </c>
      <c r="E143" s="639" t="s">
        <v>66</v>
      </c>
      <c r="F143" s="640" t="s">
        <v>91</v>
      </c>
      <c r="G143" s="291" t="s">
        <v>57</v>
      </c>
      <c r="H143" s="266">
        <f>'прил9 (ведом 22)'!M452</f>
        <v>105.8</v>
      </c>
    </row>
    <row r="144" spans="1:8" ht="16.95" customHeight="1" x14ac:dyDescent="0.35">
      <c r="A144" s="431"/>
      <c r="B144" s="450"/>
      <c r="C144" s="638"/>
      <c r="D144" s="639"/>
      <c r="E144" s="639"/>
      <c r="F144" s="640"/>
      <c r="G144" s="291"/>
      <c r="H144" s="266"/>
    </row>
    <row r="145" spans="1:8" s="441" customFormat="1" ht="53.4" customHeight="1" x14ac:dyDescent="0.3">
      <c r="A145" s="451">
        <v>2</v>
      </c>
      <c r="B145" s="370" t="s">
        <v>214</v>
      </c>
      <c r="C145" s="452" t="s">
        <v>64</v>
      </c>
      <c r="D145" s="452" t="s">
        <v>43</v>
      </c>
      <c r="E145" s="452" t="s">
        <v>44</v>
      </c>
      <c r="F145" s="453" t="s">
        <v>45</v>
      </c>
      <c r="G145" s="440"/>
      <c r="H145" s="316">
        <f>H146+H178+H185</f>
        <v>107961.00000000001</v>
      </c>
    </row>
    <row r="146" spans="1:8" s="441" customFormat="1" ht="54" x14ac:dyDescent="0.35">
      <c r="A146" s="431"/>
      <c r="B146" s="454" t="s">
        <v>215</v>
      </c>
      <c r="C146" s="251" t="s">
        <v>64</v>
      </c>
      <c r="D146" s="252" t="s">
        <v>46</v>
      </c>
      <c r="E146" s="252" t="s">
        <v>44</v>
      </c>
      <c r="F146" s="253" t="s">
        <v>45</v>
      </c>
      <c r="G146" s="291"/>
      <c r="H146" s="266">
        <f>H147+H154+H157+H166+H175</f>
        <v>94026.335000000006</v>
      </c>
    </row>
    <row r="147" spans="1:8" s="441" customFormat="1" ht="34.200000000000003" customHeight="1" x14ac:dyDescent="0.35">
      <c r="A147" s="431"/>
      <c r="B147" s="454" t="s">
        <v>277</v>
      </c>
      <c r="C147" s="251" t="s">
        <v>64</v>
      </c>
      <c r="D147" s="252" t="s">
        <v>46</v>
      </c>
      <c r="E147" s="252" t="s">
        <v>38</v>
      </c>
      <c r="F147" s="253" t="s">
        <v>45</v>
      </c>
      <c r="G147" s="291"/>
      <c r="H147" s="266">
        <f>H148+H152+H150</f>
        <v>61332</v>
      </c>
    </row>
    <row r="148" spans="1:8" s="441" customFormat="1" ht="36" x14ac:dyDescent="0.35">
      <c r="A148" s="431"/>
      <c r="B148" s="442" t="s">
        <v>490</v>
      </c>
      <c r="C148" s="251" t="s">
        <v>64</v>
      </c>
      <c r="D148" s="252" t="s">
        <v>46</v>
      </c>
      <c r="E148" s="252" t="s">
        <v>38</v>
      </c>
      <c r="F148" s="253" t="s">
        <v>92</v>
      </c>
      <c r="G148" s="35"/>
      <c r="H148" s="266">
        <f>H149</f>
        <v>56070.8</v>
      </c>
    </row>
    <row r="149" spans="1:8" s="441" customFormat="1" ht="32.4" customHeight="1" x14ac:dyDescent="0.35">
      <c r="A149" s="431"/>
      <c r="B149" s="448" t="s">
        <v>77</v>
      </c>
      <c r="C149" s="251" t="s">
        <v>64</v>
      </c>
      <c r="D149" s="252" t="s">
        <v>46</v>
      </c>
      <c r="E149" s="252" t="s">
        <v>38</v>
      </c>
      <c r="F149" s="253" t="s">
        <v>92</v>
      </c>
      <c r="G149" s="35" t="s">
        <v>78</v>
      </c>
      <c r="H149" s="266">
        <f>'прил9 (ведом 22)'!M632</f>
        <v>56070.8</v>
      </c>
    </row>
    <row r="150" spans="1:8" s="441" customFormat="1" ht="20.25" customHeight="1" x14ac:dyDescent="0.35">
      <c r="A150" s="431"/>
      <c r="B150" s="455" t="s">
        <v>491</v>
      </c>
      <c r="C150" s="251" t="s">
        <v>64</v>
      </c>
      <c r="D150" s="252" t="s">
        <v>46</v>
      </c>
      <c r="E150" s="252" t="s">
        <v>38</v>
      </c>
      <c r="F150" s="253" t="s">
        <v>394</v>
      </c>
      <c r="G150" s="35"/>
      <c r="H150" s="266">
        <f>H151</f>
        <v>1357.5</v>
      </c>
    </row>
    <row r="151" spans="1:8" s="441" customFormat="1" ht="37.950000000000003" customHeight="1" x14ac:dyDescent="0.35">
      <c r="A151" s="431"/>
      <c r="B151" s="455" t="s">
        <v>77</v>
      </c>
      <c r="C151" s="251" t="s">
        <v>64</v>
      </c>
      <c r="D151" s="252" t="s">
        <v>46</v>
      </c>
      <c r="E151" s="252" t="s">
        <v>38</v>
      </c>
      <c r="F151" s="253" t="s">
        <v>394</v>
      </c>
      <c r="G151" s="35" t="s">
        <v>78</v>
      </c>
      <c r="H151" s="266">
        <f>'прил9 (ведом 22)'!M634</f>
        <v>1357.5</v>
      </c>
    </row>
    <row r="152" spans="1:8" s="441" customFormat="1" ht="36" x14ac:dyDescent="0.35">
      <c r="A152" s="431"/>
      <c r="B152" s="455" t="s">
        <v>318</v>
      </c>
      <c r="C152" s="251" t="s">
        <v>64</v>
      </c>
      <c r="D152" s="252" t="s">
        <v>46</v>
      </c>
      <c r="E152" s="252" t="s">
        <v>38</v>
      </c>
      <c r="F152" s="253" t="s">
        <v>319</v>
      </c>
      <c r="G152" s="35"/>
      <c r="H152" s="266">
        <f>H153</f>
        <v>3903.7000000000003</v>
      </c>
    </row>
    <row r="153" spans="1:8" s="441" customFormat="1" ht="35.4" customHeight="1" x14ac:dyDescent="0.35">
      <c r="A153" s="431"/>
      <c r="B153" s="455" t="s">
        <v>77</v>
      </c>
      <c r="C153" s="251" t="s">
        <v>64</v>
      </c>
      <c r="D153" s="252" t="s">
        <v>46</v>
      </c>
      <c r="E153" s="252" t="s">
        <v>38</v>
      </c>
      <c r="F153" s="253" t="s">
        <v>319</v>
      </c>
      <c r="G153" s="35" t="s">
        <v>78</v>
      </c>
      <c r="H153" s="266">
        <f>'прил9 (ведом 22)'!M636</f>
        <v>3903.7000000000003</v>
      </c>
    </row>
    <row r="154" spans="1:8" ht="18" x14ac:dyDescent="0.35">
      <c r="A154" s="541"/>
      <c r="B154" s="448" t="s">
        <v>278</v>
      </c>
      <c r="C154" s="251" t="s">
        <v>64</v>
      </c>
      <c r="D154" s="252" t="s">
        <v>46</v>
      </c>
      <c r="E154" s="252" t="s">
        <v>40</v>
      </c>
      <c r="F154" s="253" t="s">
        <v>45</v>
      </c>
      <c r="G154" s="35"/>
      <c r="H154" s="542">
        <f>H155</f>
        <v>285</v>
      </c>
    </row>
    <row r="155" spans="1:8" s="441" customFormat="1" ht="36" x14ac:dyDescent="0.35">
      <c r="A155" s="431"/>
      <c r="B155" s="448" t="s">
        <v>212</v>
      </c>
      <c r="C155" s="251" t="s">
        <v>64</v>
      </c>
      <c r="D155" s="252" t="s">
        <v>46</v>
      </c>
      <c r="E155" s="252" t="s">
        <v>40</v>
      </c>
      <c r="F155" s="253" t="s">
        <v>280</v>
      </c>
      <c r="G155" s="35"/>
      <c r="H155" s="266">
        <f>H156</f>
        <v>285</v>
      </c>
    </row>
    <row r="156" spans="1:8" s="441" customFormat="1" ht="19.95" customHeight="1" x14ac:dyDescent="0.35">
      <c r="A156" s="431"/>
      <c r="B156" s="448" t="s">
        <v>121</v>
      </c>
      <c r="C156" s="251" t="s">
        <v>64</v>
      </c>
      <c r="D156" s="252" t="s">
        <v>46</v>
      </c>
      <c r="E156" s="252" t="s">
        <v>40</v>
      </c>
      <c r="F156" s="253" t="s">
        <v>280</v>
      </c>
      <c r="G156" s="35" t="s">
        <v>122</v>
      </c>
      <c r="H156" s="266">
        <f>'прил9 (ведом 22)'!M648</f>
        <v>285</v>
      </c>
    </row>
    <row r="157" spans="1:8" s="441" customFormat="1" ht="18" x14ac:dyDescent="0.35">
      <c r="A157" s="431"/>
      <c r="B157" s="442" t="s">
        <v>320</v>
      </c>
      <c r="C157" s="456" t="s">
        <v>64</v>
      </c>
      <c r="D157" s="457" t="s">
        <v>46</v>
      </c>
      <c r="E157" s="457" t="s">
        <v>64</v>
      </c>
      <c r="F157" s="458" t="s">
        <v>45</v>
      </c>
      <c r="G157" s="459"/>
      <c r="H157" s="266">
        <f>H158+H160+H162+H164</f>
        <v>12830.323</v>
      </c>
    </row>
    <row r="158" spans="1:8" s="441" customFormat="1" ht="36" x14ac:dyDescent="0.35">
      <c r="A158" s="431"/>
      <c r="B158" s="442" t="s">
        <v>490</v>
      </c>
      <c r="C158" s="456" t="s">
        <v>64</v>
      </c>
      <c r="D158" s="457" t="s">
        <v>46</v>
      </c>
      <c r="E158" s="457" t="s">
        <v>64</v>
      </c>
      <c r="F158" s="458" t="s">
        <v>92</v>
      </c>
      <c r="G158" s="459"/>
      <c r="H158" s="266">
        <f>H159</f>
        <v>11539.9</v>
      </c>
    </row>
    <row r="159" spans="1:8" s="441" customFormat="1" ht="34.950000000000003" customHeight="1" x14ac:dyDescent="0.35">
      <c r="A159" s="431"/>
      <c r="B159" s="448" t="s">
        <v>77</v>
      </c>
      <c r="C159" s="251" t="s">
        <v>64</v>
      </c>
      <c r="D159" s="252" t="s">
        <v>46</v>
      </c>
      <c r="E159" s="252" t="s">
        <v>64</v>
      </c>
      <c r="F159" s="253" t="s">
        <v>92</v>
      </c>
      <c r="G159" s="35" t="s">
        <v>78</v>
      </c>
      <c r="H159" s="266">
        <f>'прил9 (ведом 22)'!M655</f>
        <v>11539.9</v>
      </c>
    </row>
    <row r="160" spans="1:8" s="441" customFormat="1" ht="36" x14ac:dyDescent="0.35">
      <c r="A160" s="431"/>
      <c r="B160" s="448" t="s">
        <v>318</v>
      </c>
      <c r="C160" s="456" t="s">
        <v>64</v>
      </c>
      <c r="D160" s="457" t="s">
        <v>46</v>
      </c>
      <c r="E160" s="457" t="s">
        <v>64</v>
      </c>
      <c r="F160" s="458" t="s">
        <v>319</v>
      </c>
      <c r="G160" s="459"/>
      <c r="H160" s="266">
        <f>H161</f>
        <v>258.2</v>
      </c>
    </row>
    <row r="161" spans="1:8" s="441" customFormat="1" ht="36" x14ac:dyDescent="0.35">
      <c r="A161" s="431"/>
      <c r="B161" s="448" t="s">
        <v>77</v>
      </c>
      <c r="C161" s="456" t="s">
        <v>64</v>
      </c>
      <c r="D161" s="457" t="s">
        <v>46</v>
      </c>
      <c r="E161" s="457" t="s">
        <v>64</v>
      </c>
      <c r="F161" s="458" t="s">
        <v>319</v>
      </c>
      <c r="G161" s="459" t="s">
        <v>78</v>
      </c>
      <c r="H161" s="266">
        <f>'прил9 (ведом 22)'!M657</f>
        <v>258.2</v>
      </c>
    </row>
    <row r="162" spans="1:8" s="441" customFormat="1" ht="54" x14ac:dyDescent="0.35">
      <c r="A162" s="431"/>
      <c r="B162" s="448" t="s">
        <v>216</v>
      </c>
      <c r="C162" s="251" t="s">
        <v>64</v>
      </c>
      <c r="D162" s="252" t="s">
        <v>46</v>
      </c>
      <c r="E162" s="252" t="s">
        <v>64</v>
      </c>
      <c r="F162" s="253" t="s">
        <v>321</v>
      </c>
      <c r="G162" s="35"/>
      <c r="H162" s="266">
        <f>H163</f>
        <v>471</v>
      </c>
    </row>
    <row r="163" spans="1:8" s="441" customFormat="1" ht="36" x14ac:dyDescent="0.35">
      <c r="A163" s="431"/>
      <c r="B163" s="448" t="s">
        <v>77</v>
      </c>
      <c r="C163" s="251" t="s">
        <v>64</v>
      </c>
      <c r="D163" s="252" t="s">
        <v>46</v>
      </c>
      <c r="E163" s="252" t="s">
        <v>64</v>
      </c>
      <c r="F163" s="253" t="s">
        <v>321</v>
      </c>
      <c r="G163" s="35" t="s">
        <v>78</v>
      </c>
      <c r="H163" s="266">
        <f>'прил9 (ведом 22)'!M659</f>
        <v>471</v>
      </c>
    </row>
    <row r="164" spans="1:8" s="441" customFormat="1" ht="18" x14ac:dyDescent="0.35">
      <c r="A164" s="431"/>
      <c r="B164" s="28" t="s">
        <v>664</v>
      </c>
      <c r="C164" s="644" t="s">
        <v>64</v>
      </c>
      <c r="D164" s="645" t="s">
        <v>46</v>
      </c>
      <c r="E164" s="645" t="s">
        <v>64</v>
      </c>
      <c r="F164" s="646" t="s">
        <v>663</v>
      </c>
      <c r="G164" s="10"/>
      <c r="H164" s="266">
        <f>H165</f>
        <v>561.22300000000007</v>
      </c>
    </row>
    <row r="165" spans="1:8" s="441" customFormat="1" ht="36" x14ac:dyDescent="0.35">
      <c r="A165" s="431"/>
      <c r="B165" s="28" t="s">
        <v>77</v>
      </c>
      <c r="C165" s="644" t="s">
        <v>64</v>
      </c>
      <c r="D165" s="645" t="s">
        <v>46</v>
      </c>
      <c r="E165" s="645" t="s">
        <v>64</v>
      </c>
      <c r="F165" s="646" t="s">
        <v>663</v>
      </c>
      <c r="G165" s="10" t="s">
        <v>78</v>
      </c>
      <c r="H165" s="266">
        <f>'прил9 (ведом 22)'!M661</f>
        <v>561.22300000000007</v>
      </c>
    </row>
    <row r="166" spans="1:8" s="441" customFormat="1" ht="36" x14ac:dyDescent="0.35">
      <c r="A166" s="431"/>
      <c r="B166" s="448" t="s">
        <v>322</v>
      </c>
      <c r="C166" s="456" t="s">
        <v>64</v>
      </c>
      <c r="D166" s="457" t="s">
        <v>46</v>
      </c>
      <c r="E166" s="457" t="s">
        <v>53</v>
      </c>
      <c r="F166" s="253" t="s">
        <v>45</v>
      </c>
      <c r="G166" s="35"/>
      <c r="H166" s="266">
        <f>H167+H171+H173</f>
        <v>19290.011999999999</v>
      </c>
    </row>
    <row r="167" spans="1:8" s="441" customFormat="1" ht="36" x14ac:dyDescent="0.35">
      <c r="A167" s="431"/>
      <c r="B167" s="442" t="s">
        <v>490</v>
      </c>
      <c r="C167" s="456" t="s">
        <v>64</v>
      </c>
      <c r="D167" s="457" t="s">
        <v>46</v>
      </c>
      <c r="E167" s="457" t="s">
        <v>53</v>
      </c>
      <c r="F167" s="458" t="s">
        <v>92</v>
      </c>
      <c r="G167" s="459"/>
      <c r="H167" s="266">
        <f>SUM(H168:H170)</f>
        <v>13342.9</v>
      </c>
    </row>
    <row r="168" spans="1:8" s="441" customFormat="1" ht="90" x14ac:dyDescent="0.35">
      <c r="A168" s="431"/>
      <c r="B168" s="264" t="s">
        <v>50</v>
      </c>
      <c r="C168" s="251" t="s">
        <v>64</v>
      </c>
      <c r="D168" s="252" t="s">
        <v>46</v>
      </c>
      <c r="E168" s="252" t="s">
        <v>53</v>
      </c>
      <c r="F168" s="253" t="s">
        <v>92</v>
      </c>
      <c r="G168" s="35" t="s">
        <v>51</v>
      </c>
      <c r="H168" s="266">
        <f>'прил9 (ведом 22)'!M664</f>
        <v>12238.6</v>
      </c>
    </row>
    <row r="169" spans="1:8" s="441" customFormat="1" ht="36" x14ac:dyDescent="0.35">
      <c r="A169" s="431"/>
      <c r="B169" s="264" t="s">
        <v>56</v>
      </c>
      <c r="C169" s="251" t="s">
        <v>64</v>
      </c>
      <c r="D169" s="252" t="s">
        <v>46</v>
      </c>
      <c r="E169" s="252" t="s">
        <v>53</v>
      </c>
      <c r="F169" s="253" t="s">
        <v>92</v>
      </c>
      <c r="G169" s="35" t="s">
        <v>57</v>
      </c>
      <c r="H169" s="266">
        <f>'прил9 (ведом 22)'!M665</f>
        <v>1057.3</v>
      </c>
    </row>
    <row r="170" spans="1:8" s="441" customFormat="1" ht="18" x14ac:dyDescent="0.35">
      <c r="A170" s="431"/>
      <c r="B170" s="264" t="s">
        <v>58</v>
      </c>
      <c r="C170" s="251" t="s">
        <v>64</v>
      </c>
      <c r="D170" s="252" t="s">
        <v>46</v>
      </c>
      <c r="E170" s="252" t="s">
        <v>53</v>
      </c>
      <c r="F170" s="253" t="s">
        <v>92</v>
      </c>
      <c r="G170" s="35" t="s">
        <v>59</v>
      </c>
      <c r="H170" s="266">
        <f>'прил9 (ведом 22)'!M666</f>
        <v>47</v>
      </c>
    </row>
    <row r="171" spans="1:8" s="441" customFormat="1" ht="18" x14ac:dyDescent="0.35">
      <c r="A171" s="431"/>
      <c r="B171" s="24" t="s">
        <v>491</v>
      </c>
      <c r="C171" s="644" t="s">
        <v>64</v>
      </c>
      <c r="D171" s="645" t="s">
        <v>46</v>
      </c>
      <c r="E171" s="645" t="s">
        <v>53</v>
      </c>
      <c r="F171" s="646" t="s">
        <v>394</v>
      </c>
      <c r="G171" s="10"/>
      <c r="H171" s="266">
        <f>H172</f>
        <v>1700</v>
      </c>
    </row>
    <row r="172" spans="1:8" s="441" customFormat="1" ht="36" x14ac:dyDescent="0.35">
      <c r="A172" s="431"/>
      <c r="B172" s="24" t="s">
        <v>56</v>
      </c>
      <c r="C172" s="644" t="s">
        <v>64</v>
      </c>
      <c r="D172" s="645" t="s">
        <v>46</v>
      </c>
      <c r="E172" s="645" t="s">
        <v>53</v>
      </c>
      <c r="F172" s="646" t="s">
        <v>394</v>
      </c>
      <c r="G172" s="10" t="s">
        <v>57</v>
      </c>
      <c r="H172" s="266">
        <f>'прил9 (ведом 22)'!M668</f>
        <v>1700</v>
      </c>
    </row>
    <row r="173" spans="1:8" s="441" customFormat="1" ht="90" x14ac:dyDescent="0.35">
      <c r="A173" s="431"/>
      <c r="B173" s="264" t="s">
        <v>604</v>
      </c>
      <c r="C173" s="251" t="s">
        <v>64</v>
      </c>
      <c r="D173" s="252" t="s">
        <v>46</v>
      </c>
      <c r="E173" s="252" t="s">
        <v>53</v>
      </c>
      <c r="F173" s="253" t="s">
        <v>605</v>
      </c>
      <c r="G173" s="35"/>
      <c r="H173" s="266">
        <f>H174</f>
        <v>4247.1120000000001</v>
      </c>
    </row>
    <row r="174" spans="1:8" s="441" customFormat="1" ht="36" x14ac:dyDescent="0.35">
      <c r="A174" s="431"/>
      <c r="B174" s="264" t="s">
        <v>56</v>
      </c>
      <c r="C174" s="251" t="s">
        <v>64</v>
      </c>
      <c r="D174" s="252" t="s">
        <v>46</v>
      </c>
      <c r="E174" s="252" t="s">
        <v>53</v>
      </c>
      <c r="F174" s="253" t="s">
        <v>605</v>
      </c>
      <c r="G174" s="35" t="s">
        <v>57</v>
      </c>
      <c r="H174" s="266">
        <f>'прил9 (ведом 22)'!M670</f>
        <v>4247.1120000000001</v>
      </c>
    </row>
    <row r="175" spans="1:8" s="441" customFormat="1" ht="32.4" customHeight="1" x14ac:dyDescent="0.35">
      <c r="A175" s="431"/>
      <c r="B175" s="455" t="s">
        <v>282</v>
      </c>
      <c r="C175" s="251" t="s">
        <v>64</v>
      </c>
      <c r="D175" s="252" t="s">
        <v>46</v>
      </c>
      <c r="E175" s="252" t="s">
        <v>66</v>
      </c>
      <c r="F175" s="253" t="s">
        <v>45</v>
      </c>
      <c r="G175" s="35"/>
      <c r="H175" s="266">
        <f>H176</f>
        <v>289</v>
      </c>
    </row>
    <row r="176" spans="1:8" s="441" customFormat="1" ht="36" x14ac:dyDescent="0.35">
      <c r="A176" s="431"/>
      <c r="B176" s="455" t="s">
        <v>503</v>
      </c>
      <c r="C176" s="251" t="s">
        <v>64</v>
      </c>
      <c r="D176" s="252" t="s">
        <v>46</v>
      </c>
      <c r="E176" s="252" t="s">
        <v>66</v>
      </c>
      <c r="F176" s="253" t="s">
        <v>502</v>
      </c>
      <c r="G176" s="35"/>
      <c r="H176" s="266">
        <f>H177</f>
        <v>289</v>
      </c>
    </row>
    <row r="177" spans="1:8" s="441" customFormat="1" ht="39" customHeight="1" x14ac:dyDescent="0.35">
      <c r="A177" s="431"/>
      <c r="B177" s="455" t="s">
        <v>77</v>
      </c>
      <c r="C177" s="251" t="s">
        <v>64</v>
      </c>
      <c r="D177" s="252" t="s">
        <v>46</v>
      </c>
      <c r="E177" s="252" t="s">
        <v>66</v>
      </c>
      <c r="F177" s="253" t="s">
        <v>502</v>
      </c>
      <c r="G177" s="35" t="s">
        <v>78</v>
      </c>
      <c r="H177" s="266">
        <f>'прил9 (ведом 22)'!M642</f>
        <v>289</v>
      </c>
    </row>
    <row r="178" spans="1:8" ht="36" x14ac:dyDescent="0.35">
      <c r="A178" s="431"/>
      <c r="B178" s="442" t="s">
        <v>329</v>
      </c>
      <c r="C178" s="456" t="s">
        <v>64</v>
      </c>
      <c r="D178" s="457" t="s">
        <v>90</v>
      </c>
      <c r="E178" s="457" t="s">
        <v>44</v>
      </c>
      <c r="F178" s="253" t="s">
        <v>45</v>
      </c>
      <c r="G178" s="459"/>
      <c r="H178" s="266">
        <f>H179</f>
        <v>1877.365</v>
      </c>
    </row>
    <row r="179" spans="1:8" ht="90" x14ac:dyDescent="0.35">
      <c r="A179" s="431"/>
      <c r="B179" s="448" t="s">
        <v>323</v>
      </c>
      <c r="C179" s="456" t="s">
        <v>64</v>
      </c>
      <c r="D179" s="457" t="s">
        <v>90</v>
      </c>
      <c r="E179" s="457" t="s">
        <v>64</v>
      </c>
      <c r="F179" s="253" t="s">
        <v>45</v>
      </c>
      <c r="G179" s="459"/>
      <c r="H179" s="266">
        <f>H180+H183</f>
        <v>1877.365</v>
      </c>
    </row>
    <row r="180" spans="1:8" ht="36" x14ac:dyDescent="0.35">
      <c r="A180" s="431"/>
      <c r="B180" s="448" t="s">
        <v>318</v>
      </c>
      <c r="C180" s="456" t="s">
        <v>64</v>
      </c>
      <c r="D180" s="457" t="s">
        <v>90</v>
      </c>
      <c r="E180" s="457" t="s">
        <v>64</v>
      </c>
      <c r="F180" s="458" t="s">
        <v>319</v>
      </c>
      <c r="G180" s="291"/>
      <c r="H180" s="266">
        <f>SUM(H181:H182)</f>
        <v>1835.259</v>
      </c>
    </row>
    <row r="181" spans="1:8" ht="36" x14ac:dyDescent="0.35">
      <c r="A181" s="431"/>
      <c r="B181" s="442" t="s">
        <v>56</v>
      </c>
      <c r="C181" s="251" t="s">
        <v>64</v>
      </c>
      <c r="D181" s="252" t="s">
        <v>90</v>
      </c>
      <c r="E181" s="252" t="s">
        <v>64</v>
      </c>
      <c r="F181" s="253" t="s">
        <v>319</v>
      </c>
      <c r="G181" s="291" t="s">
        <v>57</v>
      </c>
      <c r="H181" s="266">
        <f>'прил9 (ведом 22)'!M683+'прил9 (ведом 22)'!M674</f>
        <v>1817.365</v>
      </c>
    </row>
    <row r="182" spans="1:8" ht="39.75" customHeight="1" x14ac:dyDescent="0.35">
      <c r="A182" s="431"/>
      <c r="B182" s="448" t="s">
        <v>77</v>
      </c>
      <c r="C182" s="251" t="s">
        <v>64</v>
      </c>
      <c r="D182" s="252" t="s">
        <v>90</v>
      </c>
      <c r="E182" s="252" t="s">
        <v>64</v>
      </c>
      <c r="F182" s="253" t="s">
        <v>319</v>
      </c>
      <c r="G182" s="35" t="s">
        <v>78</v>
      </c>
      <c r="H182" s="266">
        <f>'прил9 (ведом 22)'!M675</f>
        <v>17.893999999999998</v>
      </c>
    </row>
    <row r="183" spans="1:8" ht="40.5" customHeight="1" x14ac:dyDescent="0.35">
      <c r="A183" s="431"/>
      <c r="B183" s="455" t="s">
        <v>433</v>
      </c>
      <c r="C183" s="251" t="s">
        <v>64</v>
      </c>
      <c r="D183" s="252" t="s">
        <v>90</v>
      </c>
      <c r="E183" s="252" t="s">
        <v>64</v>
      </c>
      <c r="F183" s="253" t="s">
        <v>434</v>
      </c>
      <c r="G183" s="35"/>
      <c r="H183" s="266">
        <f>H184</f>
        <v>42.106000000000002</v>
      </c>
    </row>
    <row r="184" spans="1:8" ht="41.25" customHeight="1" x14ac:dyDescent="0.35">
      <c r="A184" s="431"/>
      <c r="B184" s="455" t="s">
        <v>77</v>
      </c>
      <c r="C184" s="251" t="s">
        <v>64</v>
      </c>
      <c r="D184" s="252" t="s">
        <v>90</v>
      </c>
      <c r="E184" s="252" t="s">
        <v>64</v>
      </c>
      <c r="F184" s="253" t="s">
        <v>434</v>
      </c>
      <c r="G184" s="35" t="s">
        <v>78</v>
      </c>
      <c r="H184" s="266">
        <f>'прил9 (ведом 22)'!M677</f>
        <v>42.106000000000002</v>
      </c>
    </row>
    <row r="185" spans="1:8" s="441" customFormat="1" ht="37.200000000000003" customHeight="1" x14ac:dyDescent="0.35">
      <c r="A185" s="431"/>
      <c r="B185" s="442" t="s">
        <v>217</v>
      </c>
      <c r="C185" s="251" t="s">
        <v>64</v>
      </c>
      <c r="D185" s="252" t="s">
        <v>31</v>
      </c>
      <c r="E185" s="252" t="s">
        <v>44</v>
      </c>
      <c r="F185" s="253" t="s">
        <v>45</v>
      </c>
      <c r="G185" s="291"/>
      <c r="H185" s="266">
        <f>H186+H199+H202</f>
        <v>12057.300000000001</v>
      </c>
    </row>
    <row r="186" spans="1:8" s="441" customFormat="1" ht="36" x14ac:dyDescent="0.35">
      <c r="A186" s="431"/>
      <c r="B186" s="442" t="s">
        <v>283</v>
      </c>
      <c r="C186" s="251" t="s">
        <v>64</v>
      </c>
      <c r="D186" s="252" t="s">
        <v>31</v>
      </c>
      <c r="E186" s="252" t="s">
        <v>38</v>
      </c>
      <c r="F186" s="253" t="s">
        <v>45</v>
      </c>
      <c r="G186" s="35"/>
      <c r="H186" s="266">
        <f>H187+H191+H195+H197</f>
        <v>11905.900000000001</v>
      </c>
    </row>
    <row r="187" spans="1:8" ht="36" x14ac:dyDescent="0.35">
      <c r="A187" s="431"/>
      <c r="B187" s="442" t="s">
        <v>48</v>
      </c>
      <c r="C187" s="251" t="s">
        <v>64</v>
      </c>
      <c r="D187" s="252" t="s">
        <v>31</v>
      </c>
      <c r="E187" s="252" t="s">
        <v>38</v>
      </c>
      <c r="F187" s="253" t="s">
        <v>49</v>
      </c>
      <c r="G187" s="459"/>
      <c r="H187" s="266">
        <f>SUM(H188:H190)</f>
        <v>3290.1</v>
      </c>
    </row>
    <row r="188" spans="1:8" ht="90" x14ac:dyDescent="0.35">
      <c r="A188" s="431"/>
      <c r="B188" s="442" t="s">
        <v>50</v>
      </c>
      <c r="C188" s="251" t="s">
        <v>64</v>
      </c>
      <c r="D188" s="252" t="s">
        <v>31</v>
      </c>
      <c r="E188" s="252" t="s">
        <v>38</v>
      </c>
      <c r="F188" s="253" t="s">
        <v>49</v>
      </c>
      <c r="G188" s="459" t="s">
        <v>51</v>
      </c>
      <c r="H188" s="266">
        <f>'прил9 (ведом 22)'!M687</f>
        <v>3109.3999999999996</v>
      </c>
    </row>
    <row r="189" spans="1:8" ht="36" x14ac:dyDescent="0.35">
      <c r="A189" s="431"/>
      <c r="B189" s="442" t="s">
        <v>56</v>
      </c>
      <c r="C189" s="251" t="s">
        <v>64</v>
      </c>
      <c r="D189" s="252" t="s">
        <v>31</v>
      </c>
      <c r="E189" s="252" t="s">
        <v>38</v>
      </c>
      <c r="F189" s="253" t="s">
        <v>49</v>
      </c>
      <c r="G189" s="459" t="s">
        <v>57</v>
      </c>
      <c r="H189" s="266">
        <f>'прил9 (ведом 22)'!M688</f>
        <v>176.3</v>
      </c>
    </row>
    <row r="190" spans="1:8" ht="18" x14ac:dyDescent="0.35">
      <c r="A190" s="431"/>
      <c r="B190" s="442" t="s">
        <v>58</v>
      </c>
      <c r="C190" s="251" t="s">
        <v>64</v>
      </c>
      <c r="D190" s="252" t="s">
        <v>31</v>
      </c>
      <c r="E190" s="252" t="s">
        <v>38</v>
      </c>
      <c r="F190" s="253" t="s">
        <v>49</v>
      </c>
      <c r="G190" s="35" t="s">
        <v>59</v>
      </c>
      <c r="H190" s="266">
        <f>'прил9 (ведом 22)'!M689</f>
        <v>4.4000000000000057</v>
      </c>
    </row>
    <row r="191" spans="1:8" ht="36" x14ac:dyDescent="0.35">
      <c r="A191" s="431"/>
      <c r="B191" s="442" t="s">
        <v>490</v>
      </c>
      <c r="C191" s="251" t="s">
        <v>64</v>
      </c>
      <c r="D191" s="252" t="s">
        <v>31</v>
      </c>
      <c r="E191" s="252" t="s">
        <v>38</v>
      </c>
      <c r="F191" s="253" t="s">
        <v>92</v>
      </c>
      <c r="G191" s="35"/>
      <c r="H191" s="266">
        <f>SUM(H192:H194)</f>
        <v>7686.2000000000007</v>
      </c>
    </row>
    <row r="192" spans="1:8" ht="90" x14ac:dyDescent="0.35">
      <c r="A192" s="431"/>
      <c r="B192" s="442" t="s">
        <v>50</v>
      </c>
      <c r="C192" s="251" t="s">
        <v>64</v>
      </c>
      <c r="D192" s="252" t="s">
        <v>31</v>
      </c>
      <c r="E192" s="252" t="s">
        <v>38</v>
      </c>
      <c r="F192" s="253" t="s">
        <v>92</v>
      </c>
      <c r="G192" s="459" t="s">
        <v>51</v>
      </c>
      <c r="H192" s="266">
        <f>'прил9 (ведом 22)'!M691</f>
        <v>6996.9000000000005</v>
      </c>
    </row>
    <row r="193" spans="1:8" ht="36" x14ac:dyDescent="0.35">
      <c r="A193" s="431"/>
      <c r="B193" s="442" t="s">
        <v>56</v>
      </c>
      <c r="C193" s="251" t="s">
        <v>64</v>
      </c>
      <c r="D193" s="252" t="s">
        <v>31</v>
      </c>
      <c r="E193" s="252" t="s">
        <v>38</v>
      </c>
      <c r="F193" s="253" t="s">
        <v>92</v>
      </c>
      <c r="G193" s="459" t="s">
        <v>57</v>
      </c>
      <c r="H193" s="266">
        <f>'прил9 (ведом 22)'!M692</f>
        <v>687.6</v>
      </c>
    </row>
    <row r="194" spans="1:8" ht="18" x14ac:dyDescent="0.35">
      <c r="A194" s="431"/>
      <c r="B194" s="442" t="s">
        <v>58</v>
      </c>
      <c r="C194" s="251" t="s">
        <v>64</v>
      </c>
      <c r="D194" s="252" t="s">
        <v>31</v>
      </c>
      <c r="E194" s="252" t="s">
        <v>38</v>
      </c>
      <c r="F194" s="253" t="s">
        <v>92</v>
      </c>
      <c r="G194" s="35" t="s">
        <v>59</v>
      </c>
      <c r="H194" s="266">
        <f>'прил9 (ведом 22)'!M693</f>
        <v>1.7</v>
      </c>
    </row>
    <row r="195" spans="1:8" ht="18" x14ac:dyDescent="0.35">
      <c r="A195" s="431"/>
      <c r="B195" s="543" t="s">
        <v>491</v>
      </c>
      <c r="C195" s="251" t="s">
        <v>64</v>
      </c>
      <c r="D195" s="252" t="s">
        <v>31</v>
      </c>
      <c r="E195" s="252" t="s">
        <v>38</v>
      </c>
      <c r="F195" s="544" t="s">
        <v>394</v>
      </c>
      <c r="G195" s="545"/>
      <c r="H195" s="266">
        <f>H196</f>
        <v>400.6</v>
      </c>
    </row>
    <row r="196" spans="1:8" ht="36" x14ac:dyDescent="0.35">
      <c r="A196" s="431"/>
      <c r="B196" s="264" t="s">
        <v>56</v>
      </c>
      <c r="C196" s="251" t="s">
        <v>64</v>
      </c>
      <c r="D196" s="252" t="s">
        <v>31</v>
      </c>
      <c r="E196" s="252" t="s">
        <v>38</v>
      </c>
      <c r="F196" s="546" t="s">
        <v>394</v>
      </c>
      <c r="G196" s="547" t="s">
        <v>57</v>
      </c>
      <c r="H196" s="266">
        <f>'прил9 (ведом 22)'!M695</f>
        <v>400.6</v>
      </c>
    </row>
    <row r="197" spans="1:8" ht="54" x14ac:dyDescent="0.35">
      <c r="A197" s="431"/>
      <c r="B197" s="24" t="s">
        <v>393</v>
      </c>
      <c r="C197" s="251" t="s">
        <v>64</v>
      </c>
      <c r="D197" s="252" t="s">
        <v>31</v>
      </c>
      <c r="E197" s="252" t="s">
        <v>38</v>
      </c>
      <c r="F197" s="253" t="s">
        <v>392</v>
      </c>
      <c r="G197" s="20"/>
      <c r="H197" s="266">
        <f>H198</f>
        <v>529</v>
      </c>
    </row>
    <row r="198" spans="1:8" ht="36" x14ac:dyDescent="0.35">
      <c r="A198" s="431"/>
      <c r="B198" s="24" t="s">
        <v>56</v>
      </c>
      <c r="C198" s="251" t="s">
        <v>64</v>
      </c>
      <c r="D198" s="252" t="s">
        <v>31</v>
      </c>
      <c r="E198" s="252" t="s">
        <v>38</v>
      </c>
      <c r="F198" s="253" t="s">
        <v>392</v>
      </c>
      <c r="G198" s="35" t="s">
        <v>57</v>
      </c>
      <c r="H198" s="266">
        <f>'прил9 (ведом 22)'!M619</f>
        <v>529</v>
      </c>
    </row>
    <row r="199" spans="1:8" ht="36" x14ac:dyDescent="0.35">
      <c r="A199" s="431"/>
      <c r="B199" s="264" t="s">
        <v>358</v>
      </c>
      <c r="C199" s="251" t="s">
        <v>64</v>
      </c>
      <c r="D199" s="252" t="s">
        <v>31</v>
      </c>
      <c r="E199" s="252" t="s">
        <v>40</v>
      </c>
      <c r="F199" s="253" t="s">
        <v>45</v>
      </c>
      <c r="G199" s="186"/>
      <c r="H199" s="266">
        <f>H200</f>
        <v>53.3</v>
      </c>
    </row>
    <row r="200" spans="1:8" ht="54" x14ac:dyDescent="0.35">
      <c r="A200" s="431"/>
      <c r="B200" s="264" t="s">
        <v>359</v>
      </c>
      <c r="C200" s="251" t="s">
        <v>64</v>
      </c>
      <c r="D200" s="252" t="s">
        <v>31</v>
      </c>
      <c r="E200" s="252" t="s">
        <v>40</v>
      </c>
      <c r="F200" s="253" t="s">
        <v>106</v>
      </c>
      <c r="G200" s="186"/>
      <c r="H200" s="266">
        <f>H201</f>
        <v>53.3</v>
      </c>
    </row>
    <row r="201" spans="1:8" ht="36" x14ac:dyDescent="0.35">
      <c r="A201" s="431"/>
      <c r="B201" s="264" t="s">
        <v>56</v>
      </c>
      <c r="C201" s="251" t="s">
        <v>64</v>
      </c>
      <c r="D201" s="252" t="s">
        <v>31</v>
      </c>
      <c r="E201" s="252" t="s">
        <v>40</v>
      </c>
      <c r="F201" s="253" t="s">
        <v>106</v>
      </c>
      <c r="G201" s="35" t="s">
        <v>57</v>
      </c>
      <c r="H201" s="266">
        <f>'прил9 (ведом 22)'!M622</f>
        <v>53.3</v>
      </c>
    </row>
    <row r="202" spans="1:8" ht="18" x14ac:dyDescent="0.35">
      <c r="A202" s="431"/>
      <c r="B202" s="24" t="s">
        <v>381</v>
      </c>
      <c r="C202" s="479" t="s">
        <v>64</v>
      </c>
      <c r="D202" s="479" t="s">
        <v>31</v>
      </c>
      <c r="E202" s="252" t="s">
        <v>64</v>
      </c>
      <c r="F202" s="253" t="s">
        <v>45</v>
      </c>
      <c r="G202" s="35"/>
      <c r="H202" s="266">
        <f>H203</f>
        <v>98.1</v>
      </c>
    </row>
    <row r="203" spans="1:8" ht="36" x14ac:dyDescent="0.35">
      <c r="A203" s="431"/>
      <c r="B203" s="24" t="s">
        <v>341</v>
      </c>
      <c r="C203" s="479" t="s">
        <v>64</v>
      </c>
      <c r="D203" s="479" t="s">
        <v>31</v>
      </c>
      <c r="E203" s="252" t="s">
        <v>64</v>
      </c>
      <c r="F203" s="253" t="s">
        <v>340</v>
      </c>
      <c r="G203" s="35"/>
      <c r="H203" s="266">
        <f>H204</f>
        <v>98.1</v>
      </c>
    </row>
    <row r="204" spans="1:8" ht="18" x14ac:dyDescent="0.35">
      <c r="A204" s="431"/>
      <c r="B204" s="24" t="s">
        <v>58</v>
      </c>
      <c r="C204" s="479" t="s">
        <v>64</v>
      </c>
      <c r="D204" s="479" t="s">
        <v>31</v>
      </c>
      <c r="E204" s="252" t="s">
        <v>64</v>
      </c>
      <c r="F204" s="253" t="s">
        <v>340</v>
      </c>
      <c r="G204" s="35" t="s">
        <v>59</v>
      </c>
      <c r="H204" s="266">
        <f>'прил9 (ведом 22)'!M625</f>
        <v>98.1</v>
      </c>
    </row>
    <row r="205" spans="1:8" ht="18" x14ac:dyDescent="0.35">
      <c r="A205" s="431"/>
      <c r="B205" s="450"/>
      <c r="C205" s="460"/>
      <c r="D205" s="460"/>
      <c r="E205" s="376"/>
      <c r="F205" s="461"/>
      <c r="G205" s="291"/>
      <c r="H205" s="266"/>
    </row>
    <row r="206" spans="1:8" s="441" customFormat="1" ht="52.2" x14ac:dyDescent="0.3">
      <c r="A206" s="451">
        <v>3</v>
      </c>
      <c r="B206" s="462" t="s">
        <v>218</v>
      </c>
      <c r="C206" s="452" t="s">
        <v>53</v>
      </c>
      <c r="D206" s="452" t="s">
        <v>43</v>
      </c>
      <c r="E206" s="452" t="s">
        <v>44</v>
      </c>
      <c r="F206" s="453" t="s">
        <v>45</v>
      </c>
      <c r="G206" s="440"/>
      <c r="H206" s="316">
        <f>H207+H214+H243</f>
        <v>48100.299999999988</v>
      </c>
    </row>
    <row r="207" spans="1:8" ht="24" customHeight="1" x14ac:dyDescent="0.35">
      <c r="A207" s="431"/>
      <c r="B207" s="454" t="s">
        <v>219</v>
      </c>
      <c r="C207" s="251" t="s">
        <v>53</v>
      </c>
      <c r="D207" s="252" t="s">
        <v>46</v>
      </c>
      <c r="E207" s="252" t="s">
        <v>44</v>
      </c>
      <c r="F207" s="253" t="s">
        <v>45</v>
      </c>
      <c r="G207" s="291"/>
      <c r="H207" s="266">
        <f>H208+H211</f>
        <v>1094.9000000000001</v>
      </c>
    </row>
    <row r="208" spans="1:8" ht="18" x14ac:dyDescent="0.35">
      <c r="A208" s="431"/>
      <c r="B208" s="442" t="s">
        <v>278</v>
      </c>
      <c r="C208" s="251" t="s">
        <v>53</v>
      </c>
      <c r="D208" s="252" t="s">
        <v>46</v>
      </c>
      <c r="E208" s="252" t="s">
        <v>38</v>
      </c>
      <c r="F208" s="253" t="s">
        <v>45</v>
      </c>
      <c r="G208" s="291"/>
      <c r="H208" s="266">
        <f>H209</f>
        <v>231</v>
      </c>
    </row>
    <row r="209" spans="1:8" ht="36" x14ac:dyDescent="0.35">
      <c r="A209" s="431"/>
      <c r="B209" s="442" t="s">
        <v>279</v>
      </c>
      <c r="C209" s="251" t="s">
        <v>53</v>
      </c>
      <c r="D209" s="252" t="s">
        <v>46</v>
      </c>
      <c r="E209" s="252" t="s">
        <v>38</v>
      </c>
      <c r="F209" s="253" t="s">
        <v>280</v>
      </c>
      <c r="G209" s="35"/>
      <c r="H209" s="266">
        <f>H210</f>
        <v>231</v>
      </c>
    </row>
    <row r="210" spans="1:8" ht="22.5" customHeight="1" x14ac:dyDescent="0.35">
      <c r="A210" s="431"/>
      <c r="B210" s="442" t="s">
        <v>121</v>
      </c>
      <c r="C210" s="251" t="s">
        <v>53</v>
      </c>
      <c r="D210" s="252" t="s">
        <v>46</v>
      </c>
      <c r="E210" s="252" t="s">
        <v>38</v>
      </c>
      <c r="F210" s="253" t="s">
        <v>280</v>
      </c>
      <c r="G210" s="35" t="s">
        <v>122</v>
      </c>
      <c r="H210" s="266">
        <f>'прил9 (ведом 22)'!M711</f>
        <v>231</v>
      </c>
    </row>
    <row r="211" spans="1:8" ht="34.200000000000003" customHeight="1" x14ac:dyDescent="0.35">
      <c r="A211" s="431"/>
      <c r="B211" s="442" t="s">
        <v>293</v>
      </c>
      <c r="C211" s="251" t="s">
        <v>53</v>
      </c>
      <c r="D211" s="252" t="s">
        <v>46</v>
      </c>
      <c r="E211" s="252" t="s">
        <v>40</v>
      </c>
      <c r="F211" s="253" t="s">
        <v>45</v>
      </c>
      <c r="G211" s="35"/>
      <c r="H211" s="266">
        <f>H212</f>
        <v>863.90000000000009</v>
      </c>
    </row>
    <row r="212" spans="1:8" ht="42" customHeight="1" x14ac:dyDescent="0.35">
      <c r="A212" s="431"/>
      <c r="B212" s="442" t="s">
        <v>220</v>
      </c>
      <c r="C212" s="251" t="s">
        <v>53</v>
      </c>
      <c r="D212" s="252" t="s">
        <v>46</v>
      </c>
      <c r="E212" s="252" t="s">
        <v>40</v>
      </c>
      <c r="F212" s="253" t="s">
        <v>294</v>
      </c>
      <c r="G212" s="35"/>
      <c r="H212" s="266">
        <f>SUM(H213:H213)</f>
        <v>863.90000000000009</v>
      </c>
    </row>
    <row r="213" spans="1:8" ht="36" x14ac:dyDescent="0.35">
      <c r="A213" s="431"/>
      <c r="B213" s="442" t="s">
        <v>56</v>
      </c>
      <c r="C213" s="251" t="s">
        <v>53</v>
      </c>
      <c r="D213" s="252" t="s">
        <v>46</v>
      </c>
      <c r="E213" s="252" t="s">
        <v>40</v>
      </c>
      <c r="F213" s="253" t="s">
        <v>294</v>
      </c>
      <c r="G213" s="35" t="s">
        <v>57</v>
      </c>
      <c r="H213" s="266">
        <f>'прил9 (ведом 22)'!M744</f>
        <v>863.90000000000009</v>
      </c>
    </row>
    <row r="214" spans="1:8" ht="22.5" customHeight="1" x14ac:dyDescent="0.35">
      <c r="A214" s="431"/>
      <c r="B214" s="442" t="s">
        <v>221</v>
      </c>
      <c r="C214" s="251" t="s">
        <v>53</v>
      </c>
      <c r="D214" s="252" t="s">
        <v>90</v>
      </c>
      <c r="E214" s="252" t="s">
        <v>44</v>
      </c>
      <c r="F214" s="253" t="s">
        <v>45</v>
      </c>
      <c r="G214" s="291"/>
      <c r="H214" s="266">
        <f>H215+H220+H233+H236</f>
        <v>44261.799999999988</v>
      </c>
    </row>
    <row r="215" spans="1:8" ht="36" x14ac:dyDescent="0.35">
      <c r="A215" s="431"/>
      <c r="B215" s="442" t="s">
        <v>283</v>
      </c>
      <c r="C215" s="251" t="s">
        <v>53</v>
      </c>
      <c r="D215" s="252" t="s">
        <v>90</v>
      </c>
      <c r="E215" s="252" t="s">
        <v>38</v>
      </c>
      <c r="F215" s="253" t="s">
        <v>45</v>
      </c>
      <c r="G215" s="35"/>
      <c r="H215" s="266">
        <f>H216</f>
        <v>2858.1</v>
      </c>
    </row>
    <row r="216" spans="1:8" ht="36" x14ac:dyDescent="0.35">
      <c r="A216" s="431"/>
      <c r="B216" s="442" t="s">
        <v>48</v>
      </c>
      <c r="C216" s="251" t="s">
        <v>53</v>
      </c>
      <c r="D216" s="252" t="s">
        <v>90</v>
      </c>
      <c r="E216" s="252" t="s">
        <v>38</v>
      </c>
      <c r="F216" s="253" t="s">
        <v>49</v>
      </c>
      <c r="G216" s="35"/>
      <c r="H216" s="266">
        <f>SUM(H217:H219)</f>
        <v>2858.1</v>
      </c>
    </row>
    <row r="217" spans="1:8" ht="90" x14ac:dyDescent="0.35">
      <c r="A217" s="431"/>
      <c r="B217" s="442" t="s">
        <v>50</v>
      </c>
      <c r="C217" s="251" t="s">
        <v>53</v>
      </c>
      <c r="D217" s="252" t="s">
        <v>90</v>
      </c>
      <c r="E217" s="252" t="s">
        <v>38</v>
      </c>
      <c r="F217" s="253" t="s">
        <v>49</v>
      </c>
      <c r="G217" s="35" t="s">
        <v>51</v>
      </c>
      <c r="H217" s="266">
        <f>'прил9 (ведом 22)'!M750</f>
        <v>2798.9</v>
      </c>
    </row>
    <row r="218" spans="1:8" ht="36" x14ac:dyDescent="0.35">
      <c r="A218" s="431"/>
      <c r="B218" s="442" t="s">
        <v>56</v>
      </c>
      <c r="C218" s="251" t="s">
        <v>53</v>
      </c>
      <c r="D218" s="252" t="s">
        <v>90</v>
      </c>
      <c r="E218" s="252" t="s">
        <v>38</v>
      </c>
      <c r="F218" s="253" t="s">
        <v>49</v>
      </c>
      <c r="G218" s="35" t="s">
        <v>57</v>
      </c>
      <c r="H218" s="266">
        <f>'прил9 (ведом 22)'!M751</f>
        <v>57.2</v>
      </c>
    </row>
    <row r="219" spans="1:8" ht="18" x14ac:dyDescent="0.35">
      <c r="A219" s="431"/>
      <c r="B219" s="442" t="s">
        <v>58</v>
      </c>
      <c r="C219" s="251" t="s">
        <v>53</v>
      </c>
      <c r="D219" s="252" t="s">
        <v>90</v>
      </c>
      <c r="E219" s="252" t="s">
        <v>38</v>
      </c>
      <c r="F219" s="253" t="s">
        <v>49</v>
      </c>
      <c r="G219" s="35" t="s">
        <v>59</v>
      </c>
      <c r="H219" s="266">
        <f>'прил9 (ведом 22)'!M752</f>
        <v>2</v>
      </c>
    </row>
    <row r="220" spans="1:8" ht="18" x14ac:dyDescent="0.35">
      <c r="A220" s="431"/>
      <c r="B220" s="442" t="s">
        <v>368</v>
      </c>
      <c r="C220" s="251" t="s">
        <v>53</v>
      </c>
      <c r="D220" s="252" t="s">
        <v>90</v>
      </c>
      <c r="E220" s="252" t="s">
        <v>40</v>
      </c>
      <c r="F220" s="253" t="s">
        <v>45</v>
      </c>
      <c r="G220" s="35"/>
      <c r="H220" s="266">
        <f>H221+H229+H225+H227+H231</f>
        <v>37594.399999999994</v>
      </c>
    </row>
    <row r="221" spans="1:8" ht="36" x14ac:dyDescent="0.35">
      <c r="A221" s="431"/>
      <c r="B221" s="442" t="s">
        <v>490</v>
      </c>
      <c r="C221" s="251" t="s">
        <v>53</v>
      </c>
      <c r="D221" s="252" t="s">
        <v>90</v>
      </c>
      <c r="E221" s="252" t="s">
        <v>40</v>
      </c>
      <c r="F221" s="253" t="s">
        <v>92</v>
      </c>
      <c r="G221" s="35"/>
      <c r="H221" s="266">
        <f>SUM(H222:H224)</f>
        <v>24488.899999999998</v>
      </c>
    </row>
    <row r="222" spans="1:8" ht="90" x14ac:dyDescent="0.35">
      <c r="A222" s="431"/>
      <c r="B222" s="442" t="s">
        <v>50</v>
      </c>
      <c r="C222" s="251" t="s">
        <v>53</v>
      </c>
      <c r="D222" s="252" t="s">
        <v>90</v>
      </c>
      <c r="E222" s="252" t="s">
        <v>40</v>
      </c>
      <c r="F222" s="253" t="s">
        <v>92</v>
      </c>
      <c r="G222" s="35" t="s">
        <v>51</v>
      </c>
      <c r="H222" s="266">
        <f>'прил9 (ведом 22)'!M715</f>
        <v>18612.099999999999</v>
      </c>
    </row>
    <row r="223" spans="1:8" ht="36" x14ac:dyDescent="0.35">
      <c r="A223" s="431"/>
      <c r="B223" s="442" t="s">
        <v>56</v>
      </c>
      <c r="C223" s="251" t="s">
        <v>53</v>
      </c>
      <c r="D223" s="252" t="s">
        <v>90</v>
      </c>
      <c r="E223" s="252" t="s">
        <v>40</v>
      </c>
      <c r="F223" s="253" t="s">
        <v>92</v>
      </c>
      <c r="G223" s="35" t="s">
        <v>57</v>
      </c>
      <c r="H223" s="266">
        <f>'прил9 (ведом 22)'!M716</f>
        <v>5810.5</v>
      </c>
    </row>
    <row r="224" spans="1:8" ht="18" x14ac:dyDescent="0.35">
      <c r="A224" s="431"/>
      <c r="B224" s="442" t="s">
        <v>58</v>
      </c>
      <c r="C224" s="251" t="s">
        <v>53</v>
      </c>
      <c r="D224" s="252" t="s">
        <v>90</v>
      </c>
      <c r="E224" s="252" t="s">
        <v>40</v>
      </c>
      <c r="F224" s="253" t="s">
        <v>92</v>
      </c>
      <c r="G224" s="35" t="s">
        <v>59</v>
      </c>
      <c r="H224" s="266">
        <f>'прил9 (ведом 22)'!M717</f>
        <v>66.3</v>
      </c>
    </row>
    <row r="225" spans="1:8" ht="36" x14ac:dyDescent="0.35">
      <c r="A225" s="431"/>
      <c r="B225" s="264" t="s">
        <v>220</v>
      </c>
      <c r="C225" s="251" t="s">
        <v>53</v>
      </c>
      <c r="D225" s="252" t="s">
        <v>90</v>
      </c>
      <c r="E225" s="252" t="s">
        <v>40</v>
      </c>
      <c r="F225" s="253" t="s">
        <v>294</v>
      </c>
      <c r="G225" s="35"/>
      <c r="H225" s="266">
        <f>H226</f>
        <v>6801.2</v>
      </c>
    </row>
    <row r="226" spans="1:8" ht="36" x14ac:dyDescent="0.35">
      <c r="A226" s="431"/>
      <c r="B226" s="264" t="s">
        <v>56</v>
      </c>
      <c r="C226" s="251" t="s">
        <v>53</v>
      </c>
      <c r="D226" s="252" t="s">
        <v>90</v>
      </c>
      <c r="E226" s="252" t="s">
        <v>40</v>
      </c>
      <c r="F226" s="253" t="s">
        <v>294</v>
      </c>
      <c r="G226" s="35" t="s">
        <v>57</v>
      </c>
      <c r="H226" s="266">
        <f>'прил9 (ведом 22)'!M721</f>
        <v>6801.2</v>
      </c>
    </row>
    <row r="227" spans="1:8" ht="180" x14ac:dyDescent="0.35">
      <c r="A227" s="431"/>
      <c r="B227" s="264" t="s">
        <v>460</v>
      </c>
      <c r="C227" s="251" t="s">
        <v>53</v>
      </c>
      <c r="D227" s="252" t="s">
        <v>90</v>
      </c>
      <c r="E227" s="252" t="s">
        <v>40</v>
      </c>
      <c r="F227" s="253" t="s">
        <v>409</v>
      </c>
      <c r="G227" s="35"/>
      <c r="H227" s="266">
        <f>H228</f>
        <v>156.30000000000001</v>
      </c>
    </row>
    <row r="228" spans="1:8" ht="90" x14ac:dyDescent="0.35">
      <c r="A228" s="431"/>
      <c r="B228" s="264" t="s">
        <v>50</v>
      </c>
      <c r="C228" s="251" t="s">
        <v>53</v>
      </c>
      <c r="D228" s="252" t="s">
        <v>90</v>
      </c>
      <c r="E228" s="252" t="s">
        <v>40</v>
      </c>
      <c r="F228" s="253" t="s">
        <v>409</v>
      </c>
      <c r="G228" s="35" t="s">
        <v>51</v>
      </c>
      <c r="H228" s="266">
        <f>'прил9 (ведом 22)'!M723</f>
        <v>156.30000000000001</v>
      </c>
    </row>
    <row r="229" spans="1:8" ht="58.2" customHeight="1" x14ac:dyDescent="0.35">
      <c r="A229" s="431"/>
      <c r="B229" s="264" t="s">
        <v>462</v>
      </c>
      <c r="C229" s="251" t="s">
        <v>53</v>
      </c>
      <c r="D229" s="252" t="s">
        <v>90</v>
      </c>
      <c r="E229" s="252" t="s">
        <v>40</v>
      </c>
      <c r="F229" s="253" t="s">
        <v>430</v>
      </c>
      <c r="G229" s="35"/>
      <c r="H229" s="266">
        <f>H230</f>
        <v>1028</v>
      </c>
    </row>
    <row r="230" spans="1:8" ht="90" x14ac:dyDescent="0.35">
      <c r="A230" s="431"/>
      <c r="B230" s="264" t="s">
        <v>50</v>
      </c>
      <c r="C230" s="251" t="s">
        <v>53</v>
      </c>
      <c r="D230" s="252" t="s">
        <v>90</v>
      </c>
      <c r="E230" s="252" t="s">
        <v>40</v>
      </c>
      <c r="F230" s="253" t="s">
        <v>430</v>
      </c>
      <c r="G230" s="35" t="s">
        <v>51</v>
      </c>
      <c r="H230" s="266">
        <f>'прил9 (ведом 22)'!M725</f>
        <v>1028</v>
      </c>
    </row>
    <row r="231" spans="1:8" ht="144" x14ac:dyDescent="0.35">
      <c r="A231" s="431"/>
      <c r="B231" s="24" t="s">
        <v>682</v>
      </c>
      <c r="C231" s="644" t="s">
        <v>53</v>
      </c>
      <c r="D231" s="645" t="s">
        <v>90</v>
      </c>
      <c r="E231" s="645" t="s">
        <v>40</v>
      </c>
      <c r="F231" s="646" t="s">
        <v>676</v>
      </c>
      <c r="G231" s="10"/>
      <c r="H231" s="266">
        <f>H232</f>
        <v>5120</v>
      </c>
    </row>
    <row r="232" spans="1:8" ht="36" x14ac:dyDescent="0.35">
      <c r="A232" s="431"/>
      <c r="B232" s="24" t="s">
        <v>56</v>
      </c>
      <c r="C232" s="644" t="s">
        <v>53</v>
      </c>
      <c r="D232" s="645" t="s">
        <v>90</v>
      </c>
      <c r="E232" s="645" t="s">
        <v>40</v>
      </c>
      <c r="F232" s="646" t="s">
        <v>676</v>
      </c>
      <c r="G232" s="10" t="s">
        <v>57</v>
      </c>
      <c r="H232" s="266">
        <f>'прил9 (ведом 22)'!M727</f>
        <v>5120</v>
      </c>
    </row>
    <row r="233" spans="1:8" ht="36" x14ac:dyDescent="0.35">
      <c r="A233" s="431"/>
      <c r="B233" s="264" t="s">
        <v>358</v>
      </c>
      <c r="C233" s="251" t="s">
        <v>53</v>
      </c>
      <c r="D233" s="252" t="s">
        <v>90</v>
      </c>
      <c r="E233" s="252" t="s">
        <v>64</v>
      </c>
      <c r="F233" s="253" t="s">
        <v>45</v>
      </c>
      <c r="G233" s="35"/>
      <c r="H233" s="266">
        <f>H234</f>
        <v>35.6</v>
      </c>
    </row>
    <row r="234" spans="1:8" ht="54" x14ac:dyDescent="0.35">
      <c r="A234" s="431"/>
      <c r="B234" s="465" t="s">
        <v>359</v>
      </c>
      <c r="C234" s="251" t="s">
        <v>53</v>
      </c>
      <c r="D234" s="252" t="s">
        <v>90</v>
      </c>
      <c r="E234" s="252" t="s">
        <v>64</v>
      </c>
      <c r="F234" s="253" t="s">
        <v>106</v>
      </c>
      <c r="G234" s="35"/>
      <c r="H234" s="266">
        <f>H235</f>
        <v>35.6</v>
      </c>
    </row>
    <row r="235" spans="1:8" ht="36" x14ac:dyDescent="0.35">
      <c r="A235" s="431"/>
      <c r="B235" s="264" t="s">
        <v>56</v>
      </c>
      <c r="C235" s="251" t="s">
        <v>53</v>
      </c>
      <c r="D235" s="252" t="s">
        <v>90</v>
      </c>
      <c r="E235" s="252" t="s">
        <v>64</v>
      </c>
      <c r="F235" s="253" t="s">
        <v>106</v>
      </c>
      <c r="G235" s="35" t="s">
        <v>57</v>
      </c>
      <c r="H235" s="266">
        <f>'прил9 (ведом 22)'!M704</f>
        <v>35.6</v>
      </c>
    </row>
    <row r="236" spans="1:8" ht="18" x14ac:dyDescent="0.35">
      <c r="A236" s="431"/>
      <c r="B236" s="24" t="s">
        <v>643</v>
      </c>
      <c r="C236" s="644" t="s">
        <v>53</v>
      </c>
      <c r="D236" s="645" t="s">
        <v>90</v>
      </c>
      <c r="E236" s="645" t="s">
        <v>53</v>
      </c>
      <c r="F236" s="646" t="s">
        <v>45</v>
      </c>
      <c r="G236" s="10"/>
      <c r="H236" s="266">
        <f>H237+H241</f>
        <v>3773.7000000000003</v>
      </c>
    </row>
    <row r="237" spans="1:8" ht="36" x14ac:dyDescent="0.35">
      <c r="A237" s="431"/>
      <c r="B237" s="24" t="s">
        <v>490</v>
      </c>
      <c r="C237" s="644" t="s">
        <v>53</v>
      </c>
      <c r="D237" s="645" t="s">
        <v>90</v>
      </c>
      <c r="E237" s="645" t="s">
        <v>53</v>
      </c>
      <c r="F237" s="646" t="s">
        <v>92</v>
      </c>
      <c r="G237" s="10"/>
      <c r="H237" s="266">
        <f>H238+H239+H240</f>
        <v>3133.7000000000003</v>
      </c>
    </row>
    <row r="238" spans="1:8" ht="90" x14ac:dyDescent="0.35">
      <c r="A238" s="431"/>
      <c r="B238" s="24" t="s">
        <v>50</v>
      </c>
      <c r="C238" s="644" t="s">
        <v>53</v>
      </c>
      <c r="D238" s="645" t="s">
        <v>90</v>
      </c>
      <c r="E238" s="645" t="s">
        <v>53</v>
      </c>
      <c r="F238" s="646" t="s">
        <v>92</v>
      </c>
      <c r="G238" s="10" t="s">
        <v>51</v>
      </c>
      <c r="H238" s="266">
        <f>'прил9 (ведом 22)'!M730</f>
        <v>1696.6000000000001</v>
      </c>
    </row>
    <row r="239" spans="1:8" ht="36" x14ac:dyDescent="0.35">
      <c r="A239" s="431"/>
      <c r="B239" s="24" t="s">
        <v>56</v>
      </c>
      <c r="C239" s="644" t="s">
        <v>53</v>
      </c>
      <c r="D239" s="645" t="s">
        <v>90</v>
      </c>
      <c r="E239" s="645" t="s">
        <v>53</v>
      </c>
      <c r="F239" s="646" t="s">
        <v>92</v>
      </c>
      <c r="G239" s="10" t="s">
        <v>57</v>
      </c>
      <c r="H239" s="266">
        <f>'прил9 (ведом 22)'!M731</f>
        <v>1313.8</v>
      </c>
    </row>
    <row r="240" spans="1:8" ht="18" x14ac:dyDescent="0.35">
      <c r="A240" s="431"/>
      <c r="B240" s="24" t="s">
        <v>58</v>
      </c>
      <c r="C240" s="644" t="s">
        <v>53</v>
      </c>
      <c r="D240" s="645" t="s">
        <v>90</v>
      </c>
      <c r="E240" s="645" t="s">
        <v>53</v>
      </c>
      <c r="F240" s="646" t="s">
        <v>92</v>
      </c>
      <c r="G240" s="10" t="s">
        <v>59</v>
      </c>
      <c r="H240" s="266">
        <f>'прил9 (ведом 22)'!M732</f>
        <v>123.3</v>
      </c>
    </row>
    <row r="241" spans="1:8" ht="36" x14ac:dyDescent="0.35">
      <c r="A241" s="431"/>
      <c r="B241" s="24" t="s">
        <v>220</v>
      </c>
      <c r="C241" s="644" t="s">
        <v>53</v>
      </c>
      <c r="D241" s="645" t="s">
        <v>90</v>
      </c>
      <c r="E241" s="645" t="s">
        <v>53</v>
      </c>
      <c r="F241" s="646" t="s">
        <v>294</v>
      </c>
      <c r="G241" s="10"/>
      <c r="H241" s="266">
        <f>H242</f>
        <v>640</v>
      </c>
    </row>
    <row r="242" spans="1:8" ht="36" x14ac:dyDescent="0.35">
      <c r="A242" s="431"/>
      <c r="B242" s="24" t="s">
        <v>56</v>
      </c>
      <c r="C242" s="644" t="s">
        <v>53</v>
      </c>
      <c r="D242" s="645" t="s">
        <v>90</v>
      </c>
      <c r="E242" s="645" t="s">
        <v>53</v>
      </c>
      <c r="F242" s="646" t="s">
        <v>294</v>
      </c>
      <c r="G242" s="10" t="s">
        <v>57</v>
      </c>
      <c r="H242" s="266">
        <f>'прил9 (ведом 22)'!M734</f>
        <v>640</v>
      </c>
    </row>
    <row r="243" spans="1:8" ht="18" x14ac:dyDescent="0.35">
      <c r="A243" s="431"/>
      <c r="B243" s="264" t="s">
        <v>343</v>
      </c>
      <c r="C243" s="251" t="s">
        <v>53</v>
      </c>
      <c r="D243" s="252" t="s">
        <v>32</v>
      </c>
      <c r="E243" s="252" t="s">
        <v>44</v>
      </c>
      <c r="F243" s="253" t="s">
        <v>45</v>
      </c>
      <c r="G243" s="35"/>
      <c r="H243" s="266">
        <f>H244</f>
        <v>2743.6</v>
      </c>
    </row>
    <row r="244" spans="1:8" ht="59.25" customHeight="1" x14ac:dyDescent="0.35">
      <c r="A244" s="431"/>
      <c r="B244" s="264" t="s">
        <v>431</v>
      </c>
      <c r="C244" s="251" t="s">
        <v>53</v>
      </c>
      <c r="D244" s="252" t="s">
        <v>32</v>
      </c>
      <c r="E244" s="252" t="s">
        <v>64</v>
      </c>
      <c r="F244" s="253" t="s">
        <v>45</v>
      </c>
      <c r="G244" s="35"/>
      <c r="H244" s="266">
        <f>H245</f>
        <v>2743.6</v>
      </c>
    </row>
    <row r="245" spans="1:8" ht="41.25" customHeight="1" x14ac:dyDescent="0.35">
      <c r="A245" s="431"/>
      <c r="B245" s="264" t="s">
        <v>220</v>
      </c>
      <c r="C245" s="251" t="s">
        <v>53</v>
      </c>
      <c r="D245" s="252" t="s">
        <v>32</v>
      </c>
      <c r="E245" s="252" t="s">
        <v>64</v>
      </c>
      <c r="F245" s="253" t="s">
        <v>294</v>
      </c>
      <c r="G245" s="35"/>
      <c r="H245" s="266">
        <f>H246</f>
        <v>2743.6</v>
      </c>
    </row>
    <row r="246" spans="1:8" ht="35.25" customHeight="1" x14ac:dyDescent="0.35">
      <c r="A246" s="431"/>
      <c r="B246" s="264" t="s">
        <v>204</v>
      </c>
      <c r="C246" s="251" t="s">
        <v>53</v>
      </c>
      <c r="D246" s="252" t="s">
        <v>32</v>
      </c>
      <c r="E246" s="252" t="s">
        <v>64</v>
      </c>
      <c r="F246" s="253" t="s">
        <v>294</v>
      </c>
      <c r="G246" s="35" t="s">
        <v>205</v>
      </c>
      <c r="H246" s="266">
        <f>'прил9 (ведом 22)'!M738+'прил9 (ведом 22)'!M437</f>
        <v>2743.6</v>
      </c>
    </row>
    <row r="247" spans="1:8" s="441" customFormat="1" ht="52.2" x14ac:dyDescent="0.3">
      <c r="A247" s="451">
        <v>4</v>
      </c>
      <c r="B247" s="370" t="s">
        <v>222</v>
      </c>
      <c r="C247" s="438" t="s">
        <v>66</v>
      </c>
      <c r="D247" s="438" t="s">
        <v>43</v>
      </c>
      <c r="E247" s="438" t="s">
        <v>44</v>
      </c>
      <c r="F247" s="439" t="s">
        <v>45</v>
      </c>
      <c r="G247" s="440"/>
      <c r="H247" s="316">
        <f>H248+H256</f>
        <v>7738.8000000000011</v>
      </c>
    </row>
    <row r="248" spans="1:8" s="441" customFormat="1" ht="18" x14ac:dyDescent="0.35">
      <c r="A248" s="431"/>
      <c r="B248" s="442" t="s">
        <v>223</v>
      </c>
      <c r="C248" s="251" t="s">
        <v>66</v>
      </c>
      <c r="D248" s="252" t="s">
        <v>46</v>
      </c>
      <c r="E248" s="252" t="s">
        <v>44</v>
      </c>
      <c r="F248" s="253" t="s">
        <v>45</v>
      </c>
      <c r="G248" s="291"/>
      <c r="H248" s="266">
        <f>H249</f>
        <v>4219.5</v>
      </c>
    </row>
    <row r="249" spans="1:8" s="441" customFormat="1" ht="72" x14ac:dyDescent="0.35">
      <c r="A249" s="431"/>
      <c r="B249" s="442" t="s">
        <v>289</v>
      </c>
      <c r="C249" s="251" t="s">
        <v>66</v>
      </c>
      <c r="D249" s="252" t="s">
        <v>46</v>
      </c>
      <c r="E249" s="252" t="s">
        <v>38</v>
      </c>
      <c r="F249" s="253" t="s">
        <v>45</v>
      </c>
      <c r="G249" s="35"/>
      <c r="H249" s="266">
        <f>H250+H254</f>
        <v>4219.5</v>
      </c>
    </row>
    <row r="250" spans="1:8" ht="36" x14ac:dyDescent="0.35">
      <c r="A250" s="431"/>
      <c r="B250" s="442" t="s">
        <v>490</v>
      </c>
      <c r="C250" s="251" t="s">
        <v>66</v>
      </c>
      <c r="D250" s="252" t="s">
        <v>46</v>
      </c>
      <c r="E250" s="252" t="s">
        <v>38</v>
      </c>
      <c r="F250" s="253" t="s">
        <v>92</v>
      </c>
      <c r="G250" s="35"/>
      <c r="H250" s="266">
        <f>H251+H252+H253</f>
        <v>3591.2</v>
      </c>
    </row>
    <row r="251" spans="1:8" ht="90" x14ac:dyDescent="0.35">
      <c r="A251" s="431"/>
      <c r="B251" s="442" t="s">
        <v>50</v>
      </c>
      <c r="C251" s="251" t="s">
        <v>66</v>
      </c>
      <c r="D251" s="252" t="s">
        <v>46</v>
      </c>
      <c r="E251" s="252" t="s">
        <v>38</v>
      </c>
      <c r="F251" s="253" t="s">
        <v>92</v>
      </c>
      <c r="G251" s="35" t="s">
        <v>51</v>
      </c>
      <c r="H251" s="266">
        <f>'прил9 (ведом 22)'!M774</f>
        <v>3276.8</v>
      </c>
    </row>
    <row r="252" spans="1:8" ht="36" x14ac:dyDescent="0.35">
      <c r="A252" s="431"/>
      <c r="B252" s="442" t="s">
        <v>56</v>
      </c>
      <c r="C252" s="251" t="s">
        <v>66</v>
      </c>
      <c r="D252" s="252" t="s">
        <v>46</v>
      </c>
      <c r="E252" s="252" t="s">
        <v>38</v>
      </c>
      <c r="F252" s="253" t="s">
        <v>92</v>
      </c>
      <c r="G252" s="35" t="s">
        <v>57</v>
      </c>
      <c r="H252" s="266">
        <f>'прил9 (ведом 22)'!M775</f>
        <v>311.7</v>
      </c>
    </row>
    <row r="253" spans="1:8" ht="18" x14ac:dyDescent="0.35">
      <c r="A253" s="431"/>
      <c r="B253" s="264" t="s">
        <v>58</v>
      </c>
      <c r="C253" s="251" t="s">
        <v>66</v>
      </c>
      <c r="D253" s="252" t="s">
        <v>46</v>
      </c>
      <c r="E253" s="252" t="s">
        <v>38</v>
      </c>
      <c r="F253" s="253" t="s">
        <v>92</v>
      </c>
      <c r="G253" s="35" t="s">
        <v>59</v>
      </c>
      <c r="H253" s="266">
        <f>'прил9 (ведом 22)'!M776</f>
        <v>2.7</v>
      </c>
    </row>
    <row r="254" spans="1:8" ht="36" x14ac:dyDescent="0.35">
      <c r="A254" s="431"/>
      <c r="B254" s="442" t="s">
        <v>290</v>
      </c>
      <c r="C254" s="251" t="s">
        <v>66</v>
      </c>
      <c r="D254" s="252" t="s">
        <v>46</v>
      </c>
      <c r="E254" s="252" t="s">
        <v>38</v>
      </c>
      <c r="F254" s="253" t="s">
        <v>291</v>
      </c>
      <c r="G254" s="35"/>
      <c r="H254" s="266">
        <f>H255</f>
        <v>628.29999999999995</v>
      </c>
    </row>
    <row r="255" spans="1:8" ht="36" x14ac:dyDescent="0.35">
      <c r="A255" s="431"/>
      <c r="B255" s="442" t="s">
        <v>56</v>
      </c>
      <c r="C255" s="251" t="s">
        <v>66</v>
      </c>
      <c r="D255" s="252" t="s">
        <v>46</v>
      </c>
      <c r="E255" s="252" t="s">
        <v>38</v>
      </c>
      <c r="F255" s="253" t="s">
        <v>291</v>
      </c>
      <c r="G255" s="35" t="s">
        <v>57</v>
      </c>
      <c r="H255" s="266">
        <f>'прил9 (ведом 22)'!M778</f>
        <v>628.29999999999995</v>
      </c>
    </row>
    <row r="256" spans="1:8" s="441" customFormat="1" ht="21" customHeight="1" x14ac:dyDescent="0.35">
      <c r="A256" s="431"/>
      <c r="B256" s="442" t="s">
        <v>221</v>
      </c>
      <c r="C256" s="251" t="s">
        <v>66</v>
      </c>
      <c r="D256" s="252" t="s">
        <v>90</v>
      </c>
      <c r="E256" s="252" t="s">
        <v>44</v>
      </c>
      <c r="F256" s="253" t="s">
        <v>45</v>
      </c>
      <c r="G256" s="35"/>
      <c r="H256" s="266">
        <f>H257+H262+H265+H268</f>
        <v>3519.3000000000006</v>
      </c>
    </row>
    <row r="257" spans="1:8" s="441" customFormat="1" ht="36" x14ac:dyDescent="0.35">
      <c r="A257" s="431"/>
      <c r="B257" s="442" t="s">
        <v>283</v>
      </c>
      <c r="C257" s="251" t="s">
        <v>66</v>
      </c>
      <c r="D257" s="252" t="s">
        <v>90</v>
      </c>
      <c r="E257" s="252" t="s">
        <v>38</v>
      </c>
      <c r="F257" s="253" t="s">
        <v>45</v>
      </c>
      <c r="G257" s="35"/>
      <c r="H257" s="266">
        <f>H258</f>
        <v>3396.6000000000004</v>
      </c>
    </row>
    <row r="258" spans="1:8" s="441" customFormat="1" ht="36" x14ac:dyDescent="0.35">
      <c r="A258" s="431"/>
      <c r="B258" s="442" t="s">
        <v>48</v>
      </c>
      <c r="C258" s="251" t="s">
        <v>66</v>
      </c>
      <c r="D258" s="252" t="s">
        <v>90</v>
      </c>
      <c r="E258" s="252" t="s">
        <v>38</v>
      </c>
      <c r="F258" s="253" t="s">
        <v>49</v>
      </c>
      <c r="G258" s="35"/>
      <c r="H258" s="266">
        <f>SUM(H259:H261)</f>
        <v>3396.6000000000004</v>
      </c>
    </row>
    <row r="259" spans="1:8" s="441" customFormat="1" ht="90" x14ac:dyDescent="0.35">
      <c r="A259" s="431"/>
      <c r="B259" s="442" t="s">
        <v>50</v>
      </c>
      <c r="C259" s="251" t="s">
        <v>66</v>
      </c>
      <c r="D259" s="252" t="s">
        <v>90</v>
      </c>
      <c r="E259" s="252" t="s">
        <v>38</v>
      </c>
      <c r="F259" s="253" t="s">
        <v>49</v>
      </c>
      <c r="G259" s="35" t="s">
        <v>51</v>
      </c>
      <c r="H259" s="266">
        <f>'прил9 (ведом 22)'!M784</f>
        <v>3045.5</v>
      </c>
    </row>
    <row r="260" spans="1:8" ht="36" x14ac:dyDescent="0.35">
      <c r="A260" s="431"/>
      <c r="B260" s="442" t="s">
        <v>56</v>
      </c>
      <c r="C260" s="251" t="s">
        <v>66</v>
      </c>
      <c r="D260" s="252" t="s">
        <v>90</v>
      </c>
      <c r="E260" s="252" t="s">
        <v>38</v>
      </c>
      <c r="F260" s="253" t="s">
        <v>49</v>
      </c>
      <c r="G260" s="35" t="s">
        <v>57</v>
      </c>
      <c r="H260" s="266">
        <f>'прил9 (ведом 22)'!M785</f>
        <v>349.8</v>
      </c>
    </row>
    <row r="261" spans="1:8" ht="18" x14ac:dyDescent="0.35">
      <c r="A261" s="431"/>
      <c r="B261" s="442" t="s">
        <v>58</v>
      </c>
      <c r="C261" s="251" t="s">
        <v>66</v>
      </c>
      <c r="D261" s="252" t="s">
        <v>90</v>
      </c>
      <c r="E261" s="252" t="s">
        <v>38</v>
      </c>
      <c r="F261" s="253" t="s">
        <v>49</v>
      </c>
      <c r="G261" s="35" t="s">
        <v>59</v>
      </c>
      <c r="H261" s="266">
        <f>'прил9 (ведом 22)'!M786</f>
        <v>1.3</v>
      </c>
    </row>
    <row r="262" spans="1:8" ht="36" x14ac:dyDescent="0.35">
      <c r="A262" s="431"/>
      <c r="B262" s="465" t="s">
        <v>358</v>
      </c>
      <c r="C262" s="252" t="s">
        <v>66</v>
      </c>
      <c r="D262" s="252" t="s">
        <v>90</v>
      </c>
      <c r="E262" s="252" t="s">
        <v>40</v>
      </c>
      <c r="F262" s="253" t="s">
        <v>45</v>
      </c>
      <c r="G262" s="35"/>
      <c r="H262" s="266">
        <f>H263</f>
        <v>65.400000000000006</v>
      </c>
    </row>
    <row r="263" spans="1:8" ht="54" x14ac:dyDescent="0.35">
      <c r="A263" s="431"/>
      <c r="B263" s="465" t="s">
        <v>359</v>
      </c>
      <c r="C263" s="251" t="s">
        <v>66</v>
      </c>
      <c r="D263" s="252" t="s">
        <v>90</v>
      </c>
      <c r="E263" s="252" t="s">
        <v>40</v>
      </c>
      <c r="F263" s="253" t="s">
        <v>106</v>
      </c>
      <c r="G263" s="35"/>
      <c r="H263" s="266">
        <f>H264</f>
        <v>65.400000000000006</v>
      </c>
    </row>
    <row r="264" spans="1:8" ht="36" x14ac:dyDescent="0.35">
      <c r="A264" s="431"/>
      <c r="B264" s="465" t="s">
        <v>56</v>
      </c>
      <c r="C264" s="251" t="s">
        <v>66</v>
      </c>
      <c r="D264" s="252" t="s">
        <v>90</v>
      </c>
      <c r="E264" s="252" t="s">
        <v>40</v>
      </c>
      <c r="F264" s="253" t="s">
        <v>106</v>
      </c>
      <c r="G264" s="35" t="s">
        <v>57</v>
      </c>
      <c r="H264" s="266">
        <f>'прил9 (ведом 22)'!M761</f>
        <v>65.400000000000006</v>
      </c>
    </row>
    <row r="265" spans="1:8" ht="36" x14ac:dyDescent="0.35">
      <c r="A265" s="431"/>
      <c r="B265" s="264" t="s">
        <v>494</v>
      </c>
      <c r="C265" s="252" t="s">
        <v>66</v>
      </c>
      <c r="D265" s="252" t="s">
        <v>90</v>
      </c>
      <c r="E265" s="252" t="s">
        <v>64</v>
      </c>
      <c r="F265" s="253" t="s">
        <v>45</v>
      </c>
      <c r="G265" s="35"/>
      <c r="H265" s="266">
        <f>H266</f>
        <v>14.8</v>
      </c>
    </row>
    <row r="266" spans="1:8" ht="18" x14ac:dyDescent="0.35">
      <c r="A266" s="431"/>
      <c r="B266" s="264" t="s">
        <v>492</v>
      </c>
      <c r="C266" s="252" t="s">
        <v>66</v>
      </c>
      <c r="D266" s="252" t="s">
        <v>90</v>
      </c>
      <c r="E266" s="252" t="s">
        <v>64</v>
      </c>
      <c r="F266" s="253" t="s">
        <v>493</v>
      </c>
      <c r="G266" s="35"/>
      <c r="H266" s="266">
        <f>H267</f>
        <v>14.8</v>
      </c>
    </row>
    <row r="267" spans="1:8" ht="36" x14ac:dyDescent="0.35">
      <c r="A267" s="431"/>
      <c r="B267" s="465" t="s">
        <v>56</v>
      </c>
      <c r="C267" s="252" t="s">
        <v>66</v>
      </c>
      <c r="D267" s="252" t="s">
        <v>90</v>
      </c>
      <c r="E267" s="252" t="s">
        <v>64</v>
      </c>
      <c r="F267" s="253" t="s">
        <v>493</v>
      </c>
      <c r="G267" s="35" t="s">
        <v>57</v>
      </c>
      <c r="H267" s="266">
        <f>'прил9 (ведом 22)'!M764</f>
        <v>14.8</v>
      </c>
    </row>
    <row r="268" spans="1:8" ht="36" x14ac:dyDescent="0.35">
      <c r="A268" s="431"/>
      <c r="B268" s="465" t="s">
        <v>504</v>
      </c>
      <c r="C268" s="252" t="s">
        <v>66</v>
      </c>
      <c r="D268" s="252" t="s">
        <v>90</v>
      </c>
      <c r="E268" s="252" t="s">
        <v>53</v>
      </c>
      <c r="F268" s="640" t="s">
        <v>45</v>
      </c>
      <c r="G268" s="291"/>
      <c r="H268" s="266">
        <f>H269</f>
        <v>42.5</v>
      </c>
    </row>
    <row r="269" spans="1:8" ht="36" x14ac:dyDescent="0.35">
      <c r="A269" s="431"/>
      <c r="B269" s="466" t="s">
        <v>128</v>
      </c>
      <c r="C269" s="252" t="s">
        <v>66</v>
      </c>
      <c r="D269" s="252" t="s">
        <v>90</v>
      </c>
      <c r="E269" s="252" t="s">
        <v>53</v>
      </c>
      <c r="F269" s="467" t="s">
        <v>91</v>
      </c>
      <c r="G269" s="291"/>
      <c r="H269" s="266">
        <f>H270</f>
        <v>42.5</v>
      </c>
    </row>
    <row r="270" spans="1:8" ht="36" x14ac:dyDescent="0.35">
      <c r="A270" s="431"/>
      <c r="B270" s="465" t="s">
        <v>56</v>
      </c>
      <c r="C270" s="252" t="s">
        <v>66</v>
      </c>
      <c r="D270" s="252" t="s">
        <v>90</v>
      </c>
      <c r="E270" s="252" t="s">
        <v>53</v>
      </c>
      <c r="F270" s="640" t="s">
        <v>91</v>
      </c>
      <c r="G270" s="291" t="s">
        <v>57</v>
      </c>
      <c r="H270" s="266">
        <f>'прил9 (ведом 22)'!M767</f>
        <v>42.5</v>
      </c>
    </row>
    <row r="271" spans="1:8" ht="18" x14ac:dyDescent="0.35">
      <c r="A271" s="431"/>
      <c r="B271" s="465"/>
      <c r="C271" s="251"/>
      <c r="D271" s="252"/>
      <c r="E271" s="252"/>
      <c r="F271" s="640"/>
      <c r="G271" s="291"/>
      <c r="H271" s="266"/>
    </row>
    <row r="272" spans="1:8" s="441" customFormat="1" ht="52.2" x14ac:dyDescent="0.3">
      <c r="A272" s="451">
        <v>5</v>
      </c>
      <c r="B272" s="370" t="s">
        <v>81</v>
      </c>
      <c r="C272" s="452" t="s">
        <v>82</v>
      </c>
      <c r="D272" s="452" t="s">
        <v>43</v>
      </c>
      <c r="E272" s="452" t="s">
        <v>44</v>
      </c>
      <c r="F272" s="453" t="s">
        <v>45</v>
      </c>
      <c r="G272" s="440"/>
      <c r="H272" s="316">
        <f>H283+H273+H298+H307</f>
        <v>42726</v>
      </c>
    </row>
    <row r="273" spans="1:8" ht="54" x14ac:dyDescent="0.35">
      <c r="A273" s="431"/>
      <c r="B273" s="454" t="s">
        <v>83</v>
      </c>
      <c r="C273" s="251" t="s">
        <v>82</v>
      </c>
      <c r="D273" s="252" t="s">
        <v>46</v>
      </c>
      <c r="E273" s="252" t="s">
        <v>44</v>
      </c>
      <c r="F273" s="253" t="s">
        <v>45</v>
      </c>
      <c r="G273" s="291"/>
      <c r="H273" s="266">
        <f>H274</f>
        <v>11875.199999999999</v>
      </c>
    </row>
    <row r="274" spans="1:8" ht="72" x14ac:dyDescent="0.35">
      <c r="A274" s="431"/>
      <c r="B274" s="442" t="s">
        <v>84</v>
      </c>
      <c r="C274" s="251" t="s">
        <v>82</v>
      </c>
      <c r="D274" s="252" t="s">
        <v>46</v>
      </c>
      <c r="E274" s="252" t="s">
        <v>38</v>
      </c>
      <c r="F274" s="253" t="s">
        <v>45</v>
      </c>
      <c r="G274" s="35"/>
      <c r="H274" s="266">
        <f>H275+H277+H279+H281</f>
        <v>11875.199999999999</v>
      </c>
    </row>
    <row r="275" spans="1:8" ht="36" x14ac:dyDescent="0.35">
      <c r="A275" s="431"/>
      <c r="B275" s="454" t="s">
        <v>475</v>
      </c>
      <c r="C275" s="251" t="s">
        <v>82</v>
      </c>
      <c r="D275" s="252" t="s">
        <v>46</v>
      </c>
      <c r="E275" s="252" t="s">
        <v>38</v>
      </c>
      <c r="F275" s="253" t="s">
        <v>85</v>
      </c>
      <c r="G275" s="35"/>
      <c r="H275" s="266">
        <f>H276</f>
        <v>298.39999999999998</v>
      </c>
    </row>
    <row r="276" spans="1:8" ht="36" x14ac:dyDescent="0.35">
      <c r="A276" s="431"/>
      <c r="B276" s="442" t="s">
        <v>56</v>
      </c>
      <c r="C276" s="251" t="s">
        <v>82</v>
      </c>
      <c r="D276" s="252" t="s">
        <v>46</v>
      </c>
      <c r="E276" s="252" t="s">
        <v>38</v>
      </c>
      <c r="F276" s="253" t="s">
        <v>85</v>
      </c>
      <c r="G276" s="35" t="s">
        <v>57</v>
      </c>
      <c r="H276" s="266">
        <f>'прил9 (ведом 22)'!M103</f>
        <v>298.39999999999998</v>
      </c>
    </row>
    <row r="277" spans="1:8" ht="36" x14ac:dyDescent="0.35">
      <c r="A277" s="431"/>
      <c r="B277" s="442" t="s">
        <v>86</v>
      </c>
      <c r="C277" s="251" t="s">
        <v>82</v>
      </c>
      <c r="D277" s="252" t="s">
        <v>46</v>
      </c>
      <c r="E277" s="252" t="s">
        <v>38</v>
      </c>
      <c r="F277" s="253" t="s">
        <v>87</v>
      </c>
      <c r="G277" s="35"/>
      <c r="H277" s="266">
        <f>H278</f>
        <v>223.9</v>
      </c>
    </row>
    <row r="278" spans="1:8" ht="36" x14ac:dyDescent="0.35">
      <c r="A278" s="431"/>
      <c r="B278" s="442" t="s">
        <v>56</v>
      </c>
      <c r="C278" s="251" t="s">
        <v>82</v>
      </c>
      <c r="D278" s="252" t="s">
        <v>46</v>
      </c>
      <c r="E278" s="252" t="s">
        <v>38</v>
      </c>
      <c r="F278" s="253" t="s">
        <v>87</v>
      </c>
      <c r="G278" s="35" t="s">
        <v>57</v>
      </c>
      <c r="H278" s="266">
        <f>'прил9 (ведом 22)'!M105</f>
        <v>223.9</v>
      </c>
    </row>
    <row r="279" spans="1:8" ht="87" customHeight="1" x14ac:dyDescent="0.35">
      <c r="A279" s="431"/>
      <c r="B279" s="442" t="s">
        <v>344</v>
      </c>
      <c r="C279" s="251" t="s">
        <v>82</v>
      </c>
      <c r="D279" s="252" t="s">
        <v>46</v>
      </c>
      <c r="E279" s="252" t="s">
        <v>38</v>
      </c>
      <c r="F279" s="253" t="s">
        <v>332</v>
      </c>
      <c r="G279" s="35"/>
      <c r="H279" s="266">
        <f>H280</f>
        <v>11340.5</v>
      </c>
    </row>
    <row r="280" spans="1:8" ht="18" x14ac:dyDescent="0.35">
      <c r="A280" s="431"/>
      <c r="B280" s="442" t="s">
        <v>124</v>
      </c>
      <c r="C280" s="251" t="s">
        <v>82</v>
      </c>
      <c r="D280" s="252" t="s">
        <v>46</v>
      </c>
      <c r="E280" s="252" t="s">
        <v>38</v>
      </c>
      <c r="F280" s="253" t="s">
        <v>332</v>
      </c>
      <c r="G280" s="35" t="s">
        <v>125</v>
      </c>
      <c r="H280" s="266">
        <f>'прил9 (ведом 22)'!M107</f>
        <v>11340.5</v>
      </c>
    </row>
    <row r="281" spans="1:8" ht="108" x14ac:dyDescent="0.35">
      <c r="A281" s="431"/>
      <c r="B281" s="442" t="s">
        <v>346</v>
      </c>
      <c r="C281" s="251" t="s">
        <v>82</v>
      </c>
      <c r="D281" s="252" t="s">
        <v>46</v>
      </c>
      <c r="E281" s="252" t="s">
        <v>38</v>
      </c>
      <c r="F281" s="253" t="s">
        <v>333</v>
      </c>
      <c r="G281" s="35"/>
      <c r="H281" s="266">
        <f>H282</f>
        <v>12.4</v>
      </c>
    </row>
    <row r="282" spans="1:8" ht="18" x14ac:dyDescent="0.35">
      <c r="A282" s="431"/>
      <c r="B282" s="442" t="s">
        <v>124</v>
      </c>
      <c r="C282" s="251" t="s">
        <v>82</v>
      </c>
      <c r="D282" s="252" t="s">
        <v>46</v>
      </c>
      <c r="E282" s="252" t="s">
        <v>38</v>
      </c>
      <c r="F282" s="253" t="s">
        <v>333</v>
      </c>
      <c r="G282" s="35" t="s">
        <v>125</v>
      </c>
      <c r="H282" s="266">
        <f>'прил9 (ведом 22)'!M109</f>
        <v>12.4</v>
      </c>
    </row>
    <row r="283" spans="1:8" ht="36" x14ac:dyDescent="0.35">
      <c r="A283" s="431"/>
      <c r="B283" s="468" t="s">
        <v>126</v>
      </c>
      <c r="C283" s="251" t="s">
        <v>82</v>
      </c>
      <c r="D283" s="252" t="s">
        <v>90</v>
      </c>
      <c r="E283" s="252" t="s">
        <v>44</v>
      </c>
      <c r="F283" s="253" t="s">
        <v>45</v>
      </c>
      <c r="G283" s="291"/>
      <c r="H283" s="266">
        <f>H284+H295</f>
        <v>13654.300000000001</v>
      </c>
    </row>
    <row r="284" spans="1:8" ht="36" x14ac:dyDescent="0.35">
      <c r="A284" s="431"/>
      <c r="B284" s="442" t="s">
        <v>272</v>
      </c>
      <c r="C284" s="251" t="s">
        <v>82</v>
      </c>
      <c r="D284" s="252" t="s">
        <v>90</v>
      </c>
      <c r="E284" s="252" t="s">
        <v>38</v>
      </c>
      <c r="F284" s="253" t="s">
        <v>45</v>
      </c>
      <c r="G284" s="35"/>
      <c r="H284" s="266">
        <f>H285+H288+H290+H292</f>
        <v>13265.000000000002</v>
      </c>
    </row>
    <row r="285" spans="1:8" ht="18" x14ac:dyDescent="0.35">
      <c r="A285" s="431"/>
      <c r="B285" s="442" t="s">
        <v>491</v>
      </c>
      <c r="C285" s="251" t="s">
        <v>82</v>
      </c>
      <c r="D285" s="252" t="s">
        <v>90</v>
      </c>
      <c r="E285" s="252" t="s">
        <v>38</v>
      </c>
      <c r="F285" s="253" t="s">
        <v>394</v>
      </c>
      <c r="G285" s="35"/>
      <c r="H285" s="266">
        <f>H286+H287</f>
        <v>3296.4000000000005</v>
      </c>
    </row>
    <row r="286" spans="1:8" ht="36" x14ac:dyDescent="0.35">
      <c r="A286" s="431"/>
      <c r="B286" s="442" t="s">
        <v>56</v>
      </c>
      <c r="C286" s="251" t="s">
        <v>82</v>
      </c>
      <c r="D286" s="252" t="s">
        <v>90</v>
      </c>
      <c r="E286" s="252" t="s">
        <v>38</v>
      </c>
      <c r="F286" s="253" t="s">
        <v>394</v>
      </c>
      <c r="G286" s="35" t="s">
        <v>57</v>
      </c>
      <c r="H286" s="266">
        <f>'прил9 (ведом 22)'!M539</f>
        <v>173.3</v>
      </c>
    </row>
    <row r="287" spans="1:8" ht="36" x14ac:dyDescent="0.35">
      <c r="A287" s="431"/>
      <c r="B287" s="264" t="s">
        <v>77</v>
      </c>
      <c r="C287" s="251" t="s">
        <v>82</v>
      </c>
      <c r="D287" s="252" t="s">
        <v>90</v>
      </c>
      <c r="E287" s="252" t="s">
        <v>38</v>
      </c>
      <c r="F287" s="253" t="s">
        <v>394</v>
      </c>
      <c r="G287" s="35" t="s">
        <v>78</v>
      </c>
      <c r="H287" s="266">
        <f>'прил9 (ведом 22)'!M474+'прил9 (ведом 22)'!M540</f>
        <v>3123.1000000000004</v>
      </c>
    </row>
    <row r="288" spans="1:8" ht="36" x14ac:dyDescent="0.35">
      <c r="A288" s="431"/>
      <c r="B288" s="442" t="s">
        <v>128</v>
      </c>
      <c r="C288" s="251" t="s">
        <v>82</v>
      </c>
      <c r="D288" s="252" t="s">
        <v>90</v>
      </c>
      <c r="E288" s="252" t="s">
        <v>38</v>
      </c>
      <c r="F288" s="253" t="s">
        <v>91</v>
      </c>
      <c r="G288" s="35"/>
      <c r="H288" s="266">
        <f>SUM(H289:H289)</f>
        <v>1276.4000000000001</v>
      </c>
    </row>
    <row r="289" spans="1:8" ht="36" x14ac:dyDescent="0.35">
      <c r="A289" s="431"/>
      <c r="B289" s="442" t="s">
        <v>56</v>
      </c>
      <c r="C289" s="251" t="s">
        <v>82</v>
      </c>
      <c r="D289" s="252" t="s">
        <v>90</v>
      </c>
      <c r="E289" s="252" t="s">
        <v>38</v>
      </c>
      <c r="F289" s="253" t="s">
        <v>91</v>
      </c>
      <c r="G289" s="35" t="s">
        <v>57</v>
      </c>
      <c r="H289" s="266">
        <f>'прил9 (ведом 22)'!M115</f>
        <v>1276.4000000000001</v>
      </c>
    </row>
    <row r="290" spans="1:8" ht="90" x14ac:dyDescent="0.35">
      <c r="A290" s="431"/>
      <c r="B290" s="468" t="s">
        <v>345</v>
      </c>
      <c r="C290" s="251" t="s">
        <v>82</v>
      </c>
      <c r="D290" s="252" t="s">
        <v>90</v>
      </c>
      <c r="E290" s="252" t="s">
        <v>38</v>
      </c>
      <c r="F290" s="253" t="s">
        <v>334</v>
      </c>
      <c r="G290" s="35"/>
      <c r="H290" s="266">
        <f>H291</f>
        <v>122.1</v>
      </c>
    </row>
    <row r="291" spans="1:8" ht="18" x14ac:dyDescent="0.35">
      <c r="A291" s="431"/>
      <c r="B291" s="468" t="s">
        <v>124</v>
      </c>
      <c r="C291" s="251" t="s">
        <v>82</v>
      </c>
      <c r="D291" s="252" t="s">
        <v>90</v>
      </c>
      <c r="E291" s="252" t="s">
        <v>38</v>
      </c>
      <c r="F291" s="253" t="s">
        <v>334</v>
      </c>
      <c r="G291" s="35" t="s">
        <v>125</v>
      </c>
      <c r="H291" s="266">
        <f>'прил9 (ведом 22)'!M117</f>
        <v>122.1</v>
      </c>
    </row>
    <row r="292" spans="1:8" ht="18" x14ac:dyDescent="0.35">
      <c r="A292" s="431"/>
      <c r="B292" s="264" t="s">
        <v>452</v>
      </c>
      <c r="C292" s="251" t="s">
        <v>82</v>
      </c>
      <c r="D292" s="252" t="s">
        <v>90</v>
      </c>
      <c r="E292" s="252" t="s">
        <v>38</v>
      </c>
      <c r="F292" s="253" t="s">
        <v>453</v>
      </c>
      <c r="G292" s="35"/>
      <c r="H292" s="254">
        <f>H294+H293</f>
        <v>8570.1</v>
      </c>
    </row>
    <row r="293" spans="1:8" ht="36" x14ac:dyDescent="0.35">
      <c r="A293" s="431"/>
      <c r="B293" s="264" t="s">
        <v>56</v>
      </c>
      <c r="C293" s="251" t="s">
        <v>82</v>
      </c>
      <c r="D293" s="252" t="s">
        <v>90</v>
      </c>
      <c r="E293" s="252" t="s">
        <v>38</v>
      </c>
      <c r="F293" s="253" t="s">
        <v>453</v>
      </c>
      <c r="G293" s="35" t="s">
        <v>57</v>
      </c>
      <c r="H293" s="254">
        <f>'прил9 (ведом 22)'!M542</f>
        <v>905.2</v>
      </c>
    </row>
    <row r="294" spans="1:8" ht="36" x14ac:dyDescent="0.35">
      <c r="A294" s="431"/>
      <c r="B294" s="264" t="s">
        <v>77</v>
      </c>
      <c r="C294" s="251" t="s">
        <v>82</v>
      </c>
      <c r="D294" s="252" t="s">
        <v>90</v>
      </c>
      <c r="E294" s="252" t="s">
        <v>38</v>
      </c>
      <c r="F294" s="253" t="s">
        <v>453</v>
      </c>
      <c r="G294" s="35" t="s">
        <v>78</v>
      </c>
      <c r="H294" s="254">
        <f>'прил9 (ведом 22)'!M476+'прил9 (ведом 22)'!M543</f>
        <v>7664.9</v>
      </c>
    </row>
    <row r="295" spans="1:8" ht="54" x14ac:dyDescent="0.35">
      <c r="A295" s="431"/>
      <c r="B295" s="471" t="s">
        <v>127</v>
      </c>
      <c r="C295" s="251" t="s">
        <v>82</v>
      </c>
      <c r="D295" s="252" t="s">
        <v>90</v>
      </c>
      <c r="E295" s="252" t="s">
        <v>40</v>
      </c>
      <c r="F295" s="253" t="s">
        <v>45</v>
      </c>
      <c r="G295" s="35"/>
      <c r="H295" s="266">
        <f>H296</f>
        <v>389.3</v>
      </c>
    </row>
    <row r="296" spans="1:8" ht="36" x14ac:dyDescent="0.35">
      <c r="A296" s="431"/>
      <c r="B296" s="471" t="s">
        <v>128</v>
      </c>
      <c r="C296" s="251" t="s">
        <v>82</v>
      </c>
      <c r="D296" s="252" t="s">
        <v>90</v>
      </c>
      <c r="E296" s="252" t="s">
        <v>40</v>
      </c>
      <c r="F296" s="253" t="s">
        <v>91</v>
      </c>
      <c r="G296" s="35"/>
      <c r="H296" s="266">
        <f>H297</f>
        <v>389.3</v>
      </c>
    </row>
    <row r="297" spans="1:8" ht="36" x14ac:dyDescent="0.35">
      <c r="A297" s="431"/>
      <c r="B297" s="442" t="s">
        <v>56</v>
      </c>
      <c r="C297" s="251" t="s">
        <v>82</v>
      </c>
      <c r="D297" s="252" t="s">
        <v>90</v>
      </c>
      <c r="E297" s="252" t="s">
        <v>40</v>
      </c>
      <c r="F297" s="253" t="s">
        <v>91</v>
      </c>
      <c r="G297" s="35" t="s">
        <v>57</v>
      </c>
      <c r="H297" s="266">
        <f>'прил9 (ведом 22)'!M120</f>
        <v>389.3</v>
      </c>
    </row>
    <row r="298" spans="1:8" ht="54" x14ac:dyDescent="0.35">
      <c r="A298" s="431"/>
      <c r="B298" s="470" t="s">
        <v>375</v>
      </c>
      <c r="C298" s="251" t="s">
        <v>82</v>
      </c>
      <c r="D298" s="252" t="s">
        <v>31</v>
      </c>
      <c r="E298" s="252" t="s">
        <v>44</v>
      </c>
      <c r="F298" s="253" t="s">
        <v>45</v>
      </c>
      <c r="G298" s="35"/>
      <c r="H298" s="266">
        <f>H299+H304</f>
        <v>17174.7</v>
      </c>
    </row>
    <row r="299" spans="1:8" ht="72" x14ac:dyDescent="0.35">
      <c r="A299" s="431"/>
      <c r="B299" s="471" t="s">
        <v>326</v>
      </c>
      <c r="C299" s="251" t="s">
        <v>82</v>
      </c>
      <c r="D299" s="252" t="s">
        <v>31</v>
      </c>
      <c r="E299" s="252" t="s">
        <v>38</v>
      </c>
      <c r="F299" s="253" t="s">
        <v>45</v>
      </c>
      <c r="G299" s="35"/>
      <c r="H299" s="266">
        <f>H300</f>
        <v>16659.8</v>
      </c>
    </row>
    <row r="300" spans="1:8" ht="36" x14ac:dyDescent="0.35">
      <c r="A300" s="431"/>
      <c r="B300" s="442" t="s">
        <v>490</v>
      </c>
      <c r="C300" s="251" t="s">
        <v>82</v>
      </c>
      <c r="D300" s="252" t="s">
        <v>31</v>
      </c>
      <c r="E300" s="252" t="s">
        <v>38</v>
      </c>
      <c r="F300" s="253" t="s">
        <v>92</v>
      </c>
      <c r="G300" s="35"/>
      <c r="H300" s="266">
        <f>SUM(H301:H303)</f>
        <v>16659.8</v>
      </c>
    </row>
    <row r="301" spans="1:8" s="441" customFormat="1" ht="90" x14ac:dyDescent="0.35">
      <c r="A301" s="431"/>
      <c r="B301" s="442" t="s">
        <v>50</v>
      </c>
      <c r="C301" s="251" t="s">
        <v>82</v>
      </c>
      <c r="D301" s="252" t="s">
        <v>31</v>
      </c>
      <c r="E301" s="252" t="s">
        <v>38</v>
      </c>
      <c r="F301" s="253" t="s">
        <v>92</v>
      </c>
      <c r="G301" s="35" t="s">
        <v>51</v>
      </c>
      <c r="H301" s="266">
        <f>'прил9 (ведом 22)'!M124</f>
        <v>11386.800000000001</v>
      </c>
    </row>
    <row r="302" spans="1:8" ht="36" x14ac:dyDescent="0.35">
      <c r="A302" s="431"/>
      <c r="B302" s="442" t="s">
        <v>56</v>
      </c>
      <c r="C302" s="251" t="s">
        <v>82</v>
      </c>
      <c r="D302" s="252" t="s">
        <v>31</v>
      </c>
      <c r="E302" s="252" t="s">
        <v>38</v>
      </c>
      <c r="F302" s="253" t="s">
        <v>92</v>
      </c>
      <c r="G302" s="35" t="s">
        <v>57</v>
      </c>
      <c r="H302" s="266">
        <f>'прил9 (ведом 22)'!M125</f>
        <v>5266.7000000000007</v>
      </c>
    </row>
    <row r="303" spans="1:8" s="441" customFormat="1" ht="18" x14ac:dyDescent="0.35">
      <c r="A303" s="431"/>
      <c r="B303" s="442" t="s">
        <v>58</v>
      </c>
      <c r="C303" s="251" t="s">
        <v>82</v>
      </c>
      <c r="D303" s="252" t="s">
        <v>31</v>
      </c>
      <c r="E303" s="252" t="s">
        <v>38</v>
      </c>
      <c r="F303" s="253" t="s">
        <v>92</v>
      </c>
      <c r="G303" s="35" t="s">
        <v>59</v>
      </c>
      <c r="H303" s="266">
        <f>'прил9 (ведом 22)'!M126</f>
        <v>6.3</v>
      </c>
    </row>
    <row r="304" spans="1:8" s="441" customFormat="1" ht="36" x14ac:dyDescent="0.35">
      <c r="A304" s="431"/>
      <c r="B304" s="442" t="s">
        <v>670</v>
      </c>
      <c r="C304" s="644" t="s">
        <v>82</v>
      </c>
      <c r="D304" s="645" t="s">
        <v>31</v>
      </c>
      <c r="E304" s="645" t="s">
        <v>40</v>
      </c>
      <c r="F304" s="646" t="s">
        <v>45</v>
      </c>
      <c r="G304" s="10"/>
      <c r="H304" s="266">
        <f>H305</f>
        <v>514.9</v>
      </c>
    </row>
    <row r="305" spans="1:8" s="441" customFormat="1" ht="36" x14ac:dyDescent="0.35">
      <c r="A305" s="431"/>
      <c r="B305" s="442" t="s">
        <v>86</v>
      </c>
      <c r="C305" s="644" t="s">
        <v>82</v>
      </c>
      <c r="D305" s="645" t="s">
        <v>31</v>
      </c>
      <c r="E305" s="645" t="s">
        <v>40</v>
      </c>
      <c r="F305" s="646" t="s">
        <v>87</v>
      </c>
      <c r="G305" s="10"/>
      <c r="H305" s="266">
        <f>H306</f>
        <v>514.9</v>
      </c>
    </row>
    <row r="306" spans="1:8" s="441" customFormat="1" ht="36" x14ac:dyDescent="0.35">
      <c r="A306" s="431"/>
      <c r="B306" s="442" t="s">
        <v>56</v>
      </c>
      <c r="C306" s="644" t="s">
        <v>82</v>
      </c>
      <c r="D306" s="645" t="s">
        <v>31</v>
      </c>
      <c r="E306" s="645" t="s">
        <v>40</v>
      </c>
      <c r="F306" s="646" t="s">
        <v>87</v>
      </c>
      <c r="G306" s="10" t="s">
        <v>57</v>
      </c>
      <c r="H306" s="266">
        <f>'прил9 (ведом 22)'!M129</f>
        <v>514.9</v>
      </c>
    </row>
    <row r="307" spans="1:8" s="441" customFormat="1" ht="54" x14ac:dyDescent="0.35">
      <c r="A307" s="431"/>
      <c r="B307" s="474" t="s">
        <v>529</v>
      </c>
      <c r="C307" s="252" t="s">
        <v>82</v>
      </c>
      <c r="D307" s="252" t="s">
        <v>32</v>
      </c>
      <c r="E307" s="252" t="s">
        <v>44</v>
      </c>
      <c r="F307" s="253" t="s">
        <v>45</v>
      </c>
      <c r="G307" s="35"/>
      <c r="H307" s="266">
        <f>H308</f>
        <v>21.8</v>
      </c>
    </row>
    <row r="308" spans="1:8" s="441" customFormat="1" ht="54" x14ac:dyDescent="0.35">
      <c r="A308" s="431"/>
      <c r="B308" s="474" t="s">
        <v>530</v>
      </c>
      <c r="C308" s="252" t="s">
        <v>82</v>
      </c>
      <c r="D308" s="252" t="s">
        <v>32</v>
      </c>
      <c r="E308" s="252" t="s">
        <v>38</v>
      </c>
      <c r="F308" s="253" t="s">
        <v>45</v>
      </c>
      <c r="G308" s="35"/>
      <c r="H308" s="266">
        <f>H309</f>
        <v>21.8</v>
      </c>
    </row>
    <row r="309" spans="1:8" s="441" customFormat="1" ht="38.25" customHeight="1" x14ac:dyDescent="0.35">
      <c r="A309" s="431"/>
      <c r="B309" s="474" t="s">
        <v>86</v>
      </c>
      <c r="C309" s="252" t="s">
        <v>82</v>
      </c>
      <c r="D309" s="252" t="s">
        <v>32</v>
      </c>
      <c r="E309" s="252" t="s">
        <v>38</v>
      </c>
      <c r="F309" s="253" t="s">
        <v>87</v>
      </c>
      <c r="G309" s="35"/>
      <c r="H309" s="266">
        <f>H310</f>
        <v>21.8</v>
      </c>
    </row>
    <row r="310" spans="1:8" s="441" customFormat="1" ht="36" x14ac:dyDescent="0.35">
      <c r="A310" s="431"/>
      <c r="B310" s="474" t="s">
        <v>56</v>
      </c>
      <c r="C310" s="252" t="s">
        <v>82</v>
      </c>
      <c r="D310" s="252" t="s">
        <v>32</v>
      </c>
      <c r="E310" s="252" t="s">
        <v>38</v>
      </c>
      <c r="F310" s="253" t="s">
        <v>87</v>
      </c>
      <c r="G310" s="35" t="s">
        <v>57</v>
      </c>
      <c r="H310" s="266">
        <f>'прил9 (ведом 22)'!M133</f>
        <v>21.8</v>
      </c>
    </row>
    <row r="311" spans="1:8" ht="18" x14ac:dyDescent="0.35">
      <c r="A311" s="476"/>
      <c r="B311" s="448"/>
      <c r="C311" s="477"/>
      <c r="D311" s="639"/>
      <c r="E311" s="639"/>
      <c r="F311" s="640"/>
      <c r="G311" s="291"/>
      <c r="H311" s="266"/>
    </row>
    <row r="312" spans="1:8" s="441" customFormat="1" ht="52.2" x14ac:dyDescent="0.3">
      <c r="A312" s="451">
        <v>6</v>
      </c>
      <c r="B312" s="462" t="s">
        <v>224</v>
      </c>
      <c r="C312" s="438" t="s">
        <v>225</v>
      </c>
      <c r="D312" s="438" t="s">
        <v>43</v>
      </c>
      <c r="E312" s="438" t="s">
        <v>44</v>
      </c>
      <c r="F312" s="439" t="s">
        <v>45</v>
      </c>
      <c r="G312" s="440"/>
      <c r="H312" s="316">
        <f>H313</f>
        <v>40910.399999999994</v>
      </c>
    </row>
    <row r="313" spans="1:8" ht="18" x14ac:dyDescent="0.35">
      <c r="A313" s="431"/>
      <c r="B313" s="442" t="s">
        <v>343</v>
      </c>
      <c r="C313" s="478" t="s">
        <v>225</v>
      </c>
      <c r="D313" s="479" t="s">
        <v>46</v>
      </c>
      <c r="E313" s="252" t="s">
        <v>44</v>
      </c>
      <c r="F313" s="253" t="s">
        <v>45</v>
      </c>
      <c r="G313" s="35"/>
      <c r="H313" s="266">
        <f>H314+H321+H326+H329</f>
        <v>40910.399999999994</v>
      </c>
    </row>
    <row r="314" spans="1:8" ht="54" x14ac:dyDescent="0.35">
      <c r="A314" s="431"/>
      <c r="B314" s="442" t="s">
        <v>305</v>
      </c>
      <c r="C314" s="478" t="s">
        <v>225</v>
      </c>
      <c r="D314" s="479" t="s">
        <v>46</v>
      </c>
      <c r="E314" s="252" t="s">
        <v>38</v>
      </c>
      <c r="F314" s="253" t="s">
        <v>45</v>
      </c>
      <c r="G314" s="35"/>
      <c r="H314" s="266">
        <f>H315+H319</f>
        <v>29317.299999999996</v>
      </c>
    </row>
    <row r="315" spans="1:8" ht="36" x14ac:dyDescent="0.35">
      <c r="A315" s="431"/>
      <c r="B315" s="442" t="s">
        <v>48</v>
      </c>
      <c r="C315" s="478" t="s">
        <v>225</v>
      </c>
      <c r="D315" s="479" t="s">
        <v>46</v>
      </c>
      <c r="E315" s="252" t="s">
        <v>38</v>
      </c>
      <c r="F315" s="253" t="s">
        <v>49</v>
      </c>
      <c r="G315" s="35"/>
      <c r="H315" s="266">
        <f>SUM(H316:H318)</f>
        <v>29218.499999999996</v>
      </c>
    </row>
    <row r="316" spans="1:8" ht="93" customHeight="1" x14ac:dyDescent="0.35">
      <c r="A316" s="431"/>
      <c r="B316" s="442" t="s">
        <v>50</v>
      </c>
      <c r="C316" s="478" t="s">
        <v>225</v>
      </c>
      <c r="D316" s="479" t="s">
        <v>46</v>
      </c>
      <c r="E316" s="252" t="s">
        <v>38</v>
      </c>
      <c r="F316" s="253" t="s">
        <v>49</v>
      </c>
      <c r="G316" s="35" t="s">
        <v>51</v>
      </c>
      <c r="H316" s="266">
        <f>'прил9 (ведом 22)'!M294</f>
        <v>28502.799999999996</v>
      </c>
    </row>
    <row r="317" spans="1:8" ht="36" x14ac:dyDescent="0.35">
      <c r="A317" s="431"/>
      <c r="B317" s="442" t="s">
        <v>56</v>
      </c>
      <c r="C317" s="478" t="s">
        <v>225</v>
      </c>
      <c r="D317" s="479" t="s">
        <v>46</v>
      </c>
      <c r="E317" s="252" t="s">
        <v>38</v>
      </c>
      <c r="F317" s="253" t="s">
        <v>49</v>
      </c>
      <c r="G317" s="35" t="s">
        <v>57</v>
      </c>
      <c r="H317" s="266">
        <f>'прил9 (ведом 22)'!M295</f>
        <v>710.90000000000009</v>
      </c>
    </row>
    <row r="318" spans="1:8" ht="18" x14ac:dyDescent="0.35">
      <c r="A318" s="431"/>
      <c r="B318" s="442" t="s">
        <v>58</v>
      </c>
      <c r="C318" s="478" t="s">
        <v>225</v>
      </c>
      <c r="D318" s="479" t="s">
        <v>46</v>
      </c>
      <c r="E318" s="252" t="s">
        <v>38</v>
      </c>
      <c r="F318" s="253" t="s">
        <v>49</v>
      </c>
      <c r="G318" s="35" t="s">
        <v>59</v>
      </c>
      <c r="H318" s="266">
        <f>'прил9 (ведом 22)'!M296</f>
        <v>4.8</v>
      </c>
    </row>
    <row r="319" spans="1:8" ht="36" x14ac:dyDescent="0.35">
      <c r="A319" s="431"/>
      <c r="B319" s="24" t="s">
        <v>601</v>
      </c>
      <c r="C319" s="32" t="s">
        <v>225</v>
      </c>
      <c r="D319" s="33" t="s">
        <v>46</v>
      </c>
      <c r="E319" s="645" t="s">
        <v>38</v>
      </c>
      <c r="F319" s="646" t="s">
        <v>600</v>
      </c>
      <c r="G319" s="10"/>
      <c r="H319" s="266">
        <f>H320</f>
        <v>98.8</v>
      </c>
    </row>
    <row r="320" spans="1:8" ht="36" x14ac:dyDescent="0.35">
      <c r="A320" s="431"/>
      <c r="B320" s="24" t="s">
        <v>56</v>
      </c>
      <c r="C320" s="32" t="s">
        <v>225</v>
      </c>
      <c r="D320" s="33" t="s">
        <v>46</v>
      </c>
      <c r="E320" s="645" t="s">
        <v>38</v>
      </c>
      <c r="F320" s="646" t="s">
        <v>600</v>
      </c>
      <c r="G320" s="10" t="s">
        <v>57</v>
      </c>
      <c r="H320" s="266">
        <f>'прил9 (ведом 22)'!M312</f>
        <v>98.8</v>
      </c>
    </row>
    <row r="321" spans="1:8" ht="24.75" customHeight="1" x14ac:dyDescent="0.35">
      <c r="A321" s="431"/>
      <c r="B321" s="442" t="s">
        <v>306</v>
      </c>
      <c r="C321" s="478" t="s">
        <v>225</v>
      </c>
      <c r="D321" s="479" t="s">
        <v>46</v>
      </c>
      <c r="E321" s="252" t="s">
        <v>40</v>
      </c>
      <c r="F321" s="253" t="s">
        <v>45</v>
      </c>
      <c r="G321" s="35"/>
      <c r="H321" s="266">
        <f>H322+H324</f>
        <v>8285</v>
      </c>
    </row>
    <row r="322" spans="1:8" ht="36" x14ac:dyDescent="0.35">
      <c r="A322" s="431"/>
      <c r="B322" s="264" t="s">
        <v>259</v>
      </c>
      <c r="C322" s="478" t="s">
        <v>225</v>
      </c>
      <c r="D322" s="479" t="s">
        <v>46</v>
      </c>
      <c r="E322" s="252" t="s">
        <v>40</v>
      </c>
      <c r="F322" s="253" t="s">
        <v>425</v>
      </c>
      <c r="G322" s="35"/>
      <c r="H322" s="266">
        <f>H323</f>
        <v>7000</v>
      </c>
    </row>
    <row r="323" spans="1:8" ht="18" x14ac:dyDescent="0.35">
      <c r="A323" s="431"/>
      <c r="B323" s="264" t="s">
        <v>124</v>
      </c>
      <c r="C323" s="478" t="s">
        <v>225</v>
      </c>
      <c r="D323" s="479" t="s">
        <v>46</v>
      </c>
      <c r="E323" s="252" t="s">
        <v>40</v>
      </c>
      <c r="F323" s="253" t="s">
        <v>425</v>
      </c>
      <c r="G323" s="35" t="s">
        <v>125</v>
      </c>
      <c r="H323" s="266">
        <f>'прил9 (ведом 22)'!M319</f>
        <v>7000</v>
      </c>
    </row>
    <row r="324" spans="1:8" ht="54" x14ac:dyDescent="0.35">
      <c r="A324" s="431"/>
      <c r="B324" s="24" t="s">
        <v>671</v>
      </c>
      <c r="C324" s="32" t="s">
        <v>225</v>
      </c>
      <c r="D324" s="33" t="s">
        <v>46</v>
      </c>
      <c r="E324" s="645" t="s">
        <v>40</v>
      </c>
      <c r="F324" s="646" t="s">
        <v>672</v>
      </c>
      <c r="G324" s="10"/>
      <c r="H324" s="266">
        <f>H325</f>
        <v>1285</v>
      </c>
    </row>
    <row r="325" spans="1:8" ht="18.600000000000001" customHeight="1" x14ac:dyDescent="0.35">
      <c r="A325" s="431"/>
      <c r="B325" s="24" t="s">
        <v>124</v>
      </c>
      <c r="C325" s="32" t="s">
        <v>225</v>
      </c>
      <c r="D325" s="33" t="s">
        <v>46</v>
      </c>
      <c r="E325" s="645" t="s">
        <v>40</v>
      </c>
      <c r="F325" s="646" t="s">
        <v>672</v>
      </c>
      <c r="G325" s="10" t="s">
        <v>125</v>
      </c>
      <c r="H325" s="266">
        <f>'прил9 (ведом 22)'!M325</f>
        <v>1285</v>
      </c>
    </row>
    <row r="326" spans="1:8" ht="36" x14ac:dyDescent="0.35">
      <c r="A326" s="431"/>
      <c r="B326" s="442" t="s">
        <v>358</v>
      </c>
      <c r="C326" s="478" t="s">
        <v>225</v>
      </c>
      <c r="D326" s="479" t="s">
        <v>46</v>
      </c>
      <c r="E326" s="252" t="s">
        <v>64</v>
      </c>
      <c r="F326" s="253" t="s">
        <v>45</v>
      </c>
      <c r="G326" s="35"/>
      <c r="H326" s="266">
        <f>H327</f>
        <v>3290.9</v>
      </c>
    </row>
    <row r="327" spans="1:8" ht="54" x14ac:dyDescent="0.35">
      <c r="A327" s="431"/>
      <c r="B327" s="442" t="s">
        <v>359</v>
      </c>
      <c r="C327" s="478" t="s">
        <v>225</v>
      </c>
      <c r="D327" s="479" t="s">
        <v>46</v>
      </c>
      <c r="E327" s="252" t="s">
        <v>64</v>
      </c>
      <c r="F327" s="253" t="s">
        <v>106</v>
      </c>
      <c r="G327" s="35"/>
      <c r="H327" s="266">
        <f>H328</f>
        <v>3290.9</v>
      </c>
    </row>
    <row r="328" spans="1:8" ht="36" x14ac:dyDescent="0.35">
      <c r="A328" s="431"/>
      <c r="B328" s="442" t="s">
        <v>56</v>
      </c>
      <c r="C328" s="478" t="s">
        <v>225</v>
      </c>
      <c r="D328" s="479" t="s">
        <v>46</v>
      </c>
      <c r="E328" s="252" t="s">
        <v>64</v>
      </c>
      <c r="F328" s="253" t="s">
        <v>106</v>
      </c>
      <c r="G328" s="35" t="s">
        <v>57</v>
      </c>
      <c r="H328" s="266">
        <f>'прил9 (ведом 22)'!M302</f>
        <v>3290.9</v>
      </c>
    </row>
    <row r="329" spans="1:8" ht="36" x14ac:dyDescent="0.35">
      <c r="A329" s="431"/>
      <c r="B329" s="264" t="s">
        <v>494</v>
      </c>
      <c r="C329" s="478" t="s">
        <v>225</v>
      </c>
      <c r="D329" s="479" t="s">
        <v>46</v>
      </c>
      <c r="E329" s="252" t="s">
        <v>66</v>
      </c>
      <c r="F329" s="253" t="s">
        <v>45</v>
      </c>
      <c r="G329" s="35"/>
      <c r="H329" s="266">
        <f>H330</f>
        <v>17.2</v>
      </c>
    </row>
    <row r="330" spans="1:8" ht="18" x14ac:dyDescent="0.35">
      <c r="A330" s="431"/>
      <c r="B330" s="264" t="s">
        <v>492</v>
      </c>
      <c r="C330" s="478" t="s">
        <v>225</v>
      </c>
      <c r="D330" s="479" t="s">
        <v>46</v>
      </c>
      <c r="E330" s="252" t="s">
        <v>66</v>
      </c>
      <c r="F330" s="253" t="s">
        <v>493</v>
      </c>
      <c r="G330" s="35"/>
      <c r="H330" s="266">
        <f>H331</f>
        <v>17.2</v>
      </c>
    </row>
    <row r="331" spans="1:8" ht="36" x14ac:dyDescent="0.35">
      <c r="A331" s="431"/>
      <c r="B331" s="264" t="s">
        <v>56</v>
      </c>
      <c r="C331" s="478" t="s">
        <v>225</v>
      </c>
      <c r="D331" s="479" t="s">
        <v>46</v>
      </c>
      <c r="E331" s="252" t="s">
        <v>66</v>
      </c>
      <c r="F331" s="253" t="s">
        <v>493</v>
      </c>
      <c r="G331" s="35" t="s">
        <v>57</v>
      </c>
      <c r="H331" s="266">
        <f>'прил9 (ведом 22)'!M305</f>
        <v>17.2</v>
      </c>
    </row>
    <row r="332" spans="1:8" ht="18" x14ac:dyDescent="0.35">
      <c r="A332" s="431"/>
      <c r="B332" s="442"/>
      <c r="C332" s="479"/>
      <c r="D332" s="479"/>
      <c r="E332" s="479"/>
      <c r="F332" s="480"/>
      <c r="G332" s="35"/>
      <c r="H332" s="266"/>
    </row>
    <row r="333" spans="1:8" s="441" customFormat="1" ht="52.2" x14ac:dyDescent="0.3">
      <c r="A333" s="437">
        <v>7</v>
      </c>
      <c r="B333" s="481" t="s">
        <v>226</v>
      </c>
      <c r="C333" s="482" t="s">
        <v>227</v>
      </c>
      <c r="D333" s="452" t="s">
        <v>43</v>
      </c>
      <c r="E333" s="452" t="s">
        <v>44</v>
      </c>
      <c r="F333" s="453" t="s">
        <v>45</v>
      </c>
      <c r="G333" s="483"/>
      <c r="H333" s="316">
        <f>H334+H343+H365</f>
        <v>50664.899999999994</v>
      </c>
    </row>
    <row r="334" spans="1:8" ht="36" x14ac:dyDescent="0.35">
      <c r="A334" s="476"/>
      <c r="B334" s="489" t="s">
        <v>228</v>
      </c>
      <c r="C334" s="548" t="s">
        <v>227</v>
      </c>
      <c r="D334" s="493" t="s">
        <v>46</v>
      </c>
      <c r="E334" s="493" t="s">
        <v>44</v>
      </c>
      <c r="F334" s="494" t="s">
        <v>45</v>
      </c>
      <c r="G334" s="641"/>
      <c r="H334" s="266">
        <f>H335+H340</f>
        <v>9971.7999999999993</v>
      </c>
    </row>
    <row r="335" spans="1:8" ht="75" customHeight="1" x14ac:dyDescent="0.35">
      <c r="A335" s="476"/>
      <c r="B335" s="489" t="s">
        <v>299</v>
      </c>
      <c r="C335" s="511" t="s">
        <v>227</v>
      </c>
      <c r="D335" s="477" t="s">
        <v>46</v>
      </c>
      <c r="E335" s="477" t="s">
        <v>38</v>
      </c>
      <c r="F335" s="490" t="s">
        <v>45</v>
      </c>
      <c r="G335" s="491"/>
      <c r="H335" s="266">
        <f>H336+H338</f>
        <v>2865.2479999999996</v>
      </c>
    </row>
    <row r="336" spans="1:8" ht="33" customHeight="1" x14ac:dyDescent="0.35">
      <c r="A336" s="476"/>
      <c r="B336" s="489" t="s">
        <v>229</v>
      </c>
      <c r="C336" s="511" t="s">
        <v>227</v>
      </c>
      <c r="D336" s="477" t="s">
        <v>46</v>
      </c>
      <c r="E336" s="477" t="s">
        <v>38</v>
      </c>
      <c r="F336" s="490" t="s">
        <v>300</v>
      </c>
      <c r="G336" s="491"/>
      <c r="H336" s="266">
        <f>H337</f>
        <v>509</v>
      </c>
    </row>
    <row r="337" spans="1:8" ht="36" x14ac:dyDescent="0.35">
      <c r="A337" s="476"/>
      <c r="B337" s="442" t="s">
        <v>56</v>
      </c>
      <c r="C337" s="511" t="s">
        <v>227</v>
      </c>
      <c r="D337" s="477" t="s">
        <v>46</v>
      </c>
      <c r="E337" s="477" t="s">
        <v>38</v>
      </c>
      <c r="F337" s="490" t="s">
        <v>300</v>
      </c>
      <c r="G337" s="491" t="s">
        <v>57</v>
      </c>
      <c r="H337" s="266">
        <f>'прил9 (ведом 22)'!M346</f>
        <v>509</v>
      </c>
    </row>
    <row r="338" spans="1:8" ht="36" x14ac:dyDescent="0.35">
      <c r="A338" s="476"/>
      <c r="B338" s="496" t="s">
        <v>379</v>
      </c>
      <c r="C338" s="456" t="s">
        <v>227</v>
      </c>
      <c r="D338" s="477" t="s">
        <v>46</v>
      </c>
      <c r="E338" s="477" t="s">
        <v>38</v>
      </c>
      <c r="F338" s="490" t="s">
        <v>378</v>
      </c>
      <c r="G338" s="491"/>
      <c r="H338" s="266">
        <f>H339</f>
        <v>2356.2479999999996</v>
      </c>
    </row>
    <row r="339" spans="1:8" ht="36" x14ac:dyDescent="0.35">
      <c r="A339" s="476"/>
      <c r="B339" s="264" t="s">
        <v>56</v>
      </c>
      <c r="C339" s="456" t="s">
        <v>227</v>
      </c>
      <c r="D339" s="477" t="s">
        <v>46</v>
      </c>
      <c r="E339" s="477" t="s">
        <v>38</v>
      </c>
      <c r="F339" s="490" t="s">
        <v>378</v>
      </c>
      <c r="G339" s="491" t="s">
        <v>57</v>
      </c>
      <c r="H339" s="266">
        <f>'прил9 (ведом 22)'!M395</f>
        <v>2356.2479999999996</v>
      </c>
    </row>
    <row r="340" spans="1:8" ht="36" x14ac:dyDescent="0.35">
      <c r="A340" s="476"/>
      <c r="B340" s="442" t="s">
        <v>342</v>
      </c>
      <c r="C340" s="511" t="s">
        <v>227</v>
      </c>
      <c r="D340" s="477" t="s">
        <v>46</v>
      </c>
      <c r="E340" s="477" t="s">
        <v>40</v>
      </c>
      <c r="F340" s="490" t="s">
        <v>45</v>
      </c>
      <c r="G340" s="491"/>
      <c r="H340" s="266">
        <f>H341</f>
        <v>7106.5520000000006</v>
      </c>
    </row>
    <row r="341" spans="1:8" ht="36" x14ac:dyDescent="0.35">
      <c r="A341" s="476"/>
      <c r="B341" s="442" t="s">
        <v>341</v>
      </c>
      <c r="C341" s="511" t="s">
        <v>227</v>
      </c>
      <c r="D341" s="477" t="s">
        <v>46</v>
      </c>
      <c r="E341" s="477" t="s">
        <v>40</v>
      </c>
      <c r="F341" s="490" t="s">
        <v>340</v>
      </c>
      <c r="G341" s="491"/>
      <c r="H341" s="266">
        <f>SUM(H342:H342)</f>
        <v>7106.5520000000006</v>
      </c>
    </row>
    <row r="342" spans="1:8" ht="36" x14ac:dyDescent="0.35">
      <c r="A342" s="476"/>
      <c r="B342" s="442" t="s">
        <v>56</v>
      </c>
      <c r="C342" s="511" t="s">
        <v>227</v>
      </c>
      <c r="D342" s="477" t="s">
        <v>46</v>
      </c>
      <c r="E342" s="477" t="s">
        <v>40</v>
      </c>
      <c r="F342" s="490" t="s">
        <v>340</v>
      </c>
      <c r="G342" s="491" t="s">
        <v>57</v>
      </c>
      <c r="H342" s="266">
        <f>'прил9 (ведом 22)'!M349</f>
        <v>7106.5520000000006</v>
      </c>
    </row>
    <row r="343" spans="1:8" ht="36" x14ac:dyDescent="0.35">
      <c r="A343" s="476"/>
      <c r="B343" s="489" t="s">
        <v>230</v>
      </c>
      <c r="C343" s="456" t="s">
        <v>227</v>
      </c>
      <c r="D343" s="477" t="s">
        <v>90</v>
      </c>
      <c r="E343" s="477" t="s">
        <v>44</v>
      </c>
      <c r="F343" s="490" t="s">
        <v>45</v>
      </c>
      <c r="G343" s="491"/>
      <c r="H343" s="266">
        <f>H344+H359+H362</f>
        <v>25448.686999999998</v>
      </c>
    </row>
    <row r="344" spans="1:8" ht="72" x14ac:dyDescent="0.35">
      <c r="A344" s="476"/>
      <c r="B344" s="489" t="s">
        <v>303</v>
      </c>
      <c r="C344" s="456" t="s">
        <v>227</v>
      </c>
      <c r="D344" s="477" t="s">
        <v>90</v>
      </c>
      <c r="E344" s="477" t="s">
        <v>38</v>
      </c>
      <c r="F344" s="490" t="s">
        <v>45</v>
      </c>
      <c r="G344" s="491"/>
      <c r="H344" s="266">
        <f>H345+H349+H353+H355+H357</f>
        <v>24717.287</v>
      </c>
    </row>
    <row r="345" spans="1:8" ht="36" x14ac:dyDescent="0.35">
      <c r="A345" s="476"/>
      <c r="B345" s="489" t="s">
        <v>48</v>
      </c>
      <c r="C345" s="492" t="s">
        <v>227</v>
      </c>
      <c r="D345" s="493" t="s">
        <v>90</v>
      </c>
      <c r="E345" s="493" t="s">
        <v>38</v>
      </c>
      <c r="F345" s="494" t="s">
        <v>49</v>
      </c>
      <c r="G345" s="491"/>
      <c r="H345" s="266">
        <f>SUM(H346:H348)</f>
        <v>15108.199999999999</v>
      </c>
    </row>
    <row r="346" spans="1:8" ht="90" x14ac:dyDescent="0.35">
      <c r="A346" s="476"/>
      <c r="B346" s="489" t="s">
        <v>50</v>
      </c>
      <c r="C346" s="456" t="s">
        <v>227</v>
      </c>
      <c r="D346" s="477" t="s">
        <v>90</v>
      </c>
      <c r="E346" s="477" t="s">
        <v>38</v>
      </c>
      <c r="F346" s="490" t="s">
        <v>49</v>
      </c>
      <c r="G346" s="491" t="s">
        <v>51</v>
      </c>
      <c r="H346" s="266">
        <f>'прил9 (ведом 22)'!M353</f>
        <v>14720.199999999999</v>
      </c>
    </row>
    <row r="347" spans="1:8" ht="36" x14ac:dyDescent="0.35">
      <c r="A347" s="476"/>
      <c r="B347" s="442" t="s">
        <v>56</v>
      </c>
      <c r="C347" s="456" t="s">
        <v>227</v>
      </c>
      <c r="D347" s="477" t="s">
        <v>90</v>
      </c>
      <c r="E347" s="477" t="s">
        <v>38</v>
      </c>
      <c r="F347" s="490" t="s">
        <v>49</v>
      </c>
      <c r="G347" s="491" t="s">
        <v>57</v>
      </c>
      <c r="H347" s="266">
        <f>'прил9 (ведом 22)'!M354</f>
        <v>386.8</v>
      </c>
    </row>
    <row r="348" spans="1:8" ht="18" x14ac:dyDescent="0.35">
      <c r="A348" s="476"/>
      <c r="B348" s="489" t="s">
        <v>58</v>
      </c>
      <c r="C348" s="456" t="s">
        <v>227</v>
      </c>
      <c r="D348" s="477" t="s">
        <v>90</v>
      </c>
      <c r="E348" s="477" t="s">
        <v>38</v>
      </c>
      <c r="F348" s="490" t="s">
        <v>49</v>
      </c>
      <c r="G348" s="491" t="s">
        <v>59</v>
      </c>
      <c r="H348" s="266">
        <f>'прил9 (ведом 22)'!M355</f>
        <v>1.2</v>
      </c>
    </row>
    <row r="349" spans="1:8" ht="36" x14ac:dyDescent="0.35">
      <c r="A349" s="476"/>
      <c r="B349" s="442" t="s">
        <v>490</v>
      </c>
      <c r="C349" s="456" t="s">
        <v>227</v>
      </c>
      <c r="D349" s="477" t="s">
        <v>90</v>
      </c>
      <c r="E349" s="477" t="s">
        <v>38</v>
      </c>
      <c r="F349" s="490" t="s">
        <v>92</v>
      </c>
      <c r="G349" s="491"/>
      <c r="H349" s="266">
        <f>SUM(H350:H352)</f>
        <v>8882.8869999999988</v>
      </c>
    </row>
    <row r="350" spans="1:8" ht="90" x14ac:dyDescent="0.35">
      <c r="A350" s="476"/>
      <c r="B350" s="489" t="s">
        <v>50</v>
      </c>
      <c r="C350" s="456" t="s">
        <v>227</v>
      </c>
      <c r="D350" s="477" t="s">
        <v>90</v>
      </c>
      <c r="E350" s="477" t="s">
        <v>38</v>
      </c>
      <c r="F350" s="490" t="s">
        <v>92</v>
      </c>
      <c r="G350" s="491" t="s">
        <v>51</v>
      </c>
      <c r="H350" s="266">
        <f>'прил9 (ведом 22)'!M357</f>
        <v>8468.8999999999978</v>
      </c>
    </row>
    <row r="351" spans="1:8" ht="36" x14ac:dyDescent="0.35">
      <c r="A351" s="476"/>
      <c r="B351" s="442" t="s">
        <v>56</v>
      </c>
      <c r="C351" s="492" t="s">
        <v>227</v>
      </c>
      <c r="D351" s="493" t="s">
        <v>90</v>
      </c>
      <c r="E351" s="493" t="s">
        <v>38</v>
      </c>
      <c r="F351" s="494" t="s">
        <v>92</v>
      </c>
      <c r="G351" s="491" t="s">
        <v>57</v>
      </c>
      <c r="H351" s="266">
        <f>'прил9 (ведом 22)'!M358</f>
        <v>390.1</v>
      </c>
    </row>
    <row r="352" spans="1:8" ht="18" x14ac:dyDescent="0.35">
      <c r="A352" s="476"/>
      <c r="B352" s="489" t="s">
        <v>58</v>
      </c>
      <c r="C352" s="456" t="s">
        <v>227</v>
      </c>
      <c r="D352" s="477" t="s">
        <v>90</v>
      </c>
      <c r="E352" s="477" t="s">
        <v>38</v>
      </c>
      <c r="F352" s="490" t="s">
        <v>92</v>
      </c>
      <c r="G352" s="491" t="s">
        <v>59</v>
      </c>
      <c r="H352" s="266">
        <f>'прил9 (ведом 22)'!M359</f>
        <v>23.887</v>
      </c>
    </row>
    <row r="353" spans="1:8" ht="36" x14ac:dyDescent="0.35">
      <c r="A353" s="476"/>
      <c r="B353" s="24" t="s">
        <v>601</v>
      </c>
      <c r="C353" s="121" t="s">
        <v>227</v>
      </c>
      <c r="D353" s="109" t="s">
        <v>90</v>
      </c>
      <c r="E353" s="109" t="s">
        <v>38</v>
      </c>
      <c r="F353" s="110" t="s">
        <v>600</v>
      </c>
      <c r="G353" s="111"/>
      <c r="H353" s="266">
        <f>H354</f>
        <v>10</v>
      </c>
    </row>
    <row r="354" spans="1:8" ht="36" x14ac:dyDescent="0.35">
      <c r="A354" s="476"/>
      <c r="B354" s="24" t="s">
        <v>56</v>
      </c>
      <c r="C354" s="121" t="s">
        <v>227</v>
      </c>
      <c r="D354" s="109" t="s">
        <v>90</v>
      </c>
      <c r="E354" s="109" t="s">
        <v>38</v>
      </c>
      <c r="F354" s="110" t="s">
        <v>600</v>
      </c>
      <c r="G354" s="111" t="s">
        <v>57</v>
      </c>
      <c r="H354" s="266">
        <f>'прил9 (ведом 22)'!M423</f>
        <v>10</v>
      </c>
    </row>
    <row r="355" spans="1:8" ht="54" x14ac:dyDescent="0.35">
      <c r="A355" s="476"/>
      <c r="B355" s="264" t="s">
        <v>361</v>
      </c>
      <c r="C355" s="456" t="s">
        <v>227</v>
      </c>
      <c r="D355" s="477" t="s">
        <v>90</v>
      </c>
      <c r="E355" s="477" t="s">
        <v>38</v>
      </c>
      <c r="F355" s="490" t="s">
        <v>360</v>
      </c>
      <c r="G355" s="491"/>
      <c r="H355" s="266">
        <f>H356</f>
        <v>694.4</v>
      </c>
    </row>
    <row r="356" spans="1:8" ht="36" x14ac:dyDescent="0.35">
      <c r="A356" s="476"/>
      <c r="B356" s="264" t="s">
        <v>56</v>
      </c>
      <c r="C356" s="456" t="s">
        <v>227</v>
      </c>
      <c r="D356" s="477" t="s">
        <v>90</v>
      </c>
      <c r="E356" s="477" t="s">
        <v>38</v>
      </c>
      <c r="F356" s="490" t="s">
        <v>360</v>
      </c>
      <c r="G356" s="491" t="s">
        <v>57</v>
      </c>
      <c r="H356" s="266">
        <f>'прил9 (ведом 22)'!M361</f>
        <v>694.4</v>
      </c>
    </row>
    <row r="357" spans="1:8" ht="54" x14ac:dyDescent="0.35">
      <c r="A357" s="476"/>
      <c r="B357" s="627" t="s">
        <v>393</v>
      </c>
      <c r="C357" s="34" t="s">
        <v>227</v>
      </c>
      <c r="D357" s="628" t="s">
        <v>90</v>
      </c>
      <c r="E357" s="628" t="s">
        <v>38</v>
      </c>
      <c r="F357" s="629" t="s">
        <v>392</v>
      </c>
      <c r="G357" s="628"/>
      <c r="H357" s="553">
        <f>H358</f>
        <v>21.8</v>
      </c>
    </row>
    <row r="358" spans="1:8" ht="36" x14ac:dyDescent="0.35">
      <c r="A358" s="476"/>
      <c r="B358" s="627" t="s">
        <v>56</v>
      </c>
      <c r="C358" s="34" t="s">
        <v>227</v>
      </c>
      <c r="D358" s="628" t="s">
        <v>90</v>
      </c>
      <c r="E358" s="628" t="s">
        <v>38</v>
      </c>
      <c r="F358" s="629" t="s">
        <v>392</v>
      </c>
      <c r="G358" s="628" t="s">
        <v>57</v>
      </c>
      <c r="H358" s="553">
        <f>'прил9 (ведом 22)'!M363</f>
        <v>21.8</v>
      </c>
    </row>
    <row r="359" spans="1:8" ht="36" x14ac:dyDescent="0.35">
      <c r="A359" s="476"/>
      <c r="B359" s="549" t="s">
        <v>358</v>
      </c>
      <c r="C359" s="550" t="s">
        <v>227</v>
      </c>
      <c r="D359" s="551" t="s">
        <v>90</v>
      </c>
      <c r="E359" s="551" t="s">
        <v>40</v>
      </c>
      <c r="F359" s="552" t="s">
        <v>45</v>
      </c>
      <c r="G359" s="501"/>
      <c r="H359" s="553">
        <f>H360</f>
        <v>714.6</v>
      </c>
    </row>
    <row r="360" spans="1:8" ht="54" x14ac:dyDescent="0.35">
      <c r="A360" s="476"/>
      <c r="B360" s="554" t="s">
        <v>359</v>
      </c>
      <c r="C360" s="495" t="s">
        <v>227</v>
      </c>
      <c r="D360" s="499" t="s">
        <v>90</v>
      </c>
      <c r="E360" s="499" t="s">
        <v>40</v>
      </c>
      <c r="F360" s="500" t="s">
        <v>106</v>
      </c>
      <c r="G360" s="504"/>
      <c r="H360" s="266">
        <f>H361</f>
        <v>714.6</v>
      </c>
    </row>
    <row r="361" spans="1:8" ht="36" x14ac:dyDescent="0.35">
      <c r="A361" s="476"/>
      <c r="B361" s="555" t="s">
        <v>56</v>
      </c>
      <c r="C361" s="556" t="s">
        <v>227</v>
      </c>
      <c r="D361" s="499" t="s">
        <v>90</v>
      </c>
      <c r="E361" s="499" t="s">
        <v>40</v>
      </c>
      <c r="F361" s="500" t="s">
        <v>106</v>
      </c>
      <c r="G361" s="504" t="s">
        <v>57</v>
      </c>
      <c r="H361" s="266">
        <f>'прил9 (ведом 22)'!M366</f>
        <v>714.6</v>
      </c>
    </row>
    <row r="362" spans="1:8" ht="27" customHeight="1" x14ac:dyDescent="0.35">
      <c r="A362" s="476"/>
      <c r="B362" s="489" t="s">
        <v>381</v>
      </c>
      <c r="C362" s="510" t="s">
        <v>227</v>
      </c>
      <c r="D362" s="506" t="s">
        <v>90</v>
      </c>
      <c r="E362" s="557" t="s">
        <v>64</v>
      </c>
      <c r="F362" s="558" t="s">
        <v>45</v>
      </c>
      <c r="G362" s="559"/>
      <c r="H362" s="266">
        <f>H363</f>
        <v>16.8</v>
      </c>
    </row>
    <row r="363" spans="1:8" ht="36" x14ac:dyDescent="0.35">
      <c r="A363" s="476"/>
      <c r="B363" s="489" t="s">
        <v>341</v>
      </c>
      <c r="C363" s="510" t="s">
        <v>227</v>
      </c>
      <c r="D363" s="506" t="s">
        <v>90</v>
      </c>
      <c r="E363" s="560" t="s">
        <v>64</v>
      </c>
      <c r="F363" s="561" t="s">
        <v>340</v>
      </c>
      <c r="G363" s="559"/>
      <c r="H363" s="266">
        <f>H364</f>
        <v>16.8</v>
      </c>
    </row>
    <row r="364" spans="1:8" ht="18" x14ac:dyDescent="0.35">
      <c r="A364" s="476"/>
      <c r="B364" s="496" t="s">
        <v>58</v>
      </c>
      <c r="C364" s="456" t="s">
        <v>227</v>
      </c>
      <c r="D364" s="557" t="s">
        <v>90</v>
      </c>
      <c r="E364" s="557" t="s">
        <v>64</v>
      </c>
      <c r="F364" s="558" t="s">
        <v>340</v>
      </c>
      <c r="G364" s="559" t="s">
        <v>59</v>
      </c>
      <c r="H364" s="266">
        <f>'прил9 (ведом 22)'!M369</f>
        <v>16.8</v>
      </c>
    </row>
    <row r="365" spans="1:8" ht="18" x14ac:dyDescent="0.35">
      <c r="A365" s="476"/>
      <c r="B365" s="562" t="s">
        <v>343</v>
      </c>
      <c r="C365" s="495" t="s">
        <v>227</v>
      </c>
      <c r="D365" s="499" t="s">
        <v>31</v>
      </c>
      <c r="E365" s="499" t="s">
        <v>44</v>
      </c>
      <c r="F365" s="500" t="s">
        <v>45</v>
      </c>
      <c r="G365" s="559"/>
      <c r="H365" s="266">
        <f>H366+H369</f>
        <v>15244.413</v>
      </c>
    </row>
    <row r="366" spans="1:8" ht="18" x14ac:dyDescent="0.35">
      <c r="A366" s="476"/>
      <c r="B366" s="562" t="s">
        <v>593</v>
      </c>
      <c r="C366" s="495" t="s">
        <v>227</v>
      </c>
      <c r="D366" s="499" t="s">
        <v>31</v>
      </c>
      <c r="E366" s="499" t="s">
        <v>53</v>
      </c>
      <c r="F366" s="500" t="s">
        <v>45</v>
      </c>
      <c r="G366" s="504"/>
      <c r="H366" s="266">
        <f>H367</f>
        <v>13927</v>
      </c>
    </row>
    <row r="367" spans="1:8" ht="36" x14ac:dyDescent="0.35">
      <c r="A367" s="476"/>
      <c r="B367" s="562" t="s">
        <v>594</v>
      </c>
      <c r="C367" s="495" t="s">
        <v>227</v>
      </c>
      <c r="D367" s="499" t="s">
        <v>31</v>
      </c>
      <c r="E367" s="499" t="s">
        <v>53</v>
      </c>
      <c r="F367" s="500" t="s">
        <v>592</v>
      </c>
      <c r="G367" s="504"/>
      <c r="H367" s="266">
        <f>H368</f>
        <v>13927</v>
      </c>
    </row>
    <row r="368" spans="1:8" ht="18" x14ac:dyDescent="0.35">
      <c r="A368" s="476"/>
      <c r="B368" s="463" t="s">
        <v>58</v>
      </c>
      <c r="C368" s="495" t="s">
        <v>227</v>
      </c>
      <c r="D368" s="499" t="s">
        <v>31</v>
      </c>
      <c r="E368" s="499" t="s">
        <v>53</v>
      </c>
      <c r="F368" s="500" t="s">
        <v>592</v>
      </c>
      <c r="G368" s="504" t="s">
        <v>59</v>
      </c>
      <c r="H368" s="266">
        <f>'прил9 (ведом 22)'!M373</f>
        <v>13927</v>
      </c>
    </row>
    <row r="369" spans="1:8" ht="18" x14ac:dyDescent="0.35">
      <c r="A369" s="476"/>
      <c r="B369" s="169" t="s">
        <v>381</v>
      </c>
      <c r="C369" s="121" t="s">
        <v>227</v>
      </c>
      <c r="D369" s="122" t="s">
        <v>31</v>
      </c>
      <c r="E369" s="122" t="s">
        <v>227</v>
      </c>
      <c r="F369" s="123" t="s">
        <v>45</v>
      </c>
      <c r="G369" s="603"/>
      <c r="H369" s="266">
        <f>H370</f>
        <v>1317.413</v>
      </c>
    </row>
    <row r="370" spans="1:8" ht="36" x14ac:dyDescent="0.35">
      <c r="A370" s="476"/>
      <c r="B370" s="213" t="s">
        <v>341</v>
      </c>
      <c r="C370" s="121" t="s">
        <v>227</v>
      </c>
      <c r="D370" s="122" t="s">
        <v>31</v>
      </c>
      <c r="E370" s="122" t="s">
        <v>227</v>
      </c>
      <c r="F370" s="123" t="s">
        <v>340</v>
      </c>
      <c r="G370" s="603"/>
      <c r="H370" s="266">
        <f>H371+H372</f>
        <v>1317.413</v>
      </c>
    </row>
    <row r="371" spans="1:8" ht="36" x14ac:dyDescent="0.35">
      <c r="A371" s="476"/>
      <c r="B371" s="128" t="s">
        <v>56</v>
      </c>
      <c r="C371" s="121" t="s">
        <v>227</v>
      </c>
      <c r="D371" s="122" t="s">
        <v>31</v>
      </c>
      <c r="E371" s="122" t="s">
        <v>227</v>
      </c>
      <c r="F371" s="123" t="s">
        <v>340</v>
      </c>
      <c r="G371" s="603" t="s">
        <v>57</v>
      </c>
      <c r="H371" s="266">
        <f>'прил9 (ведом 22)'!M376</f>
        <v>1302.06</v>
      </c>
    </row>
    <row r="372" spans="1:8" ht="18" x14ac:dyDescent="0.35">
      <c r="A372" s="476"/>
      <c r="B372" s="463" t="s">
        <v>58</v>
      </c>
      <c r="C372" s="121" t="s">
        <v>227</v>
      </c>
      <c r="D372" s="122" t="s">
        <v>31</v>
      </c>
      <c r="E372" s="122" t="s">
        <v>227</v>
      </c>
      <c r="F372" s="123" t="s">
        <v>340</v>
      </c>
      <c r="G372" s="603" t="s">
        <v>59</v>
      </c>
      <c r="H372" s="266">
        <f>'прил9 (ведом 22)'!M377</f>
        <v>15.353</v>
      </c>
    </row>
    <row r="373" spans="1:8" ht="18" x14ac:dyDescent="0.35">
      <c r="A373" s="476"/>
      <c r="B373" s="450"/>
      <c r="C373" s="477"/>
      <c r="D373" s="639"/>
      <c r="E373" s="639"/>
      <c r="F373" s="640"/>
      <c r="G373" s="291"/>
      <c r="H373" s="266"/>
    </row>
    <row r="374" spans="1:8" s="441" customFormat="1" ht="52.2" x14ac:dyDescent="0.3">
      <c r="A374" s="451">
        <v>8</v>
      </c>
      <c r="B374" s="481" t="s">
        <v>297</v>
      </c>
      <c r="C374" s="452" t="s">
        <v>80</v>
      </c>
      <c r="D374" s="452" t="s">
        <v>43</v>
      </c>
      <c r="E374" s="452" t="s">
        <v>44</v>
      </c>
      <c r="F374" s="453" t="s">
        <v>45</v>
      </c>
      <c r="G374" s="440"/>
      <c r="H374" s="316">
        <f>H375</f>
        <v>139491.5</v>
      </c>
    </row>
    <row r="375" spans="1:8" ht="24.75" customHeight="1" x14ac:dyDescent="0.35">
      <c r="A375" s="431"/>
      <c r="B375" s="442" t="s">
        <v>343</v>
      </c>
      <c r="C375" s="511" t="s">
        <v>80</v>
      </c>
      <c r="D375" s="477" t="s">
        <v>46</v>
      </c>
      <c r="E375" s="477" t="s">
        <v>44</v>
      </c>
      <c r="F375" s="253" t="s">
        <v>45</v>
      </c>
      <c r="G375" s="291"/>
      <c r="H375" s="266">
        <f>H376+H389+H393+H403</f>
        <v>139491.5</v>
      </c>
    </row>
    <row r="376" spans="1:8" ht="36" x14ac:dyDescent="0.35">
      <c r="A376" s="431"/>
      <c r="B376" s="442" t="s">
        <v>286</v>
      </c>
      <c r="C376" s="251" t="s">
        <v>80</v>
      </c>
      <c r="D376" s="252" t="s">
        <v>46</v>
      </c>
      <c r="E376" s="252" t="s">
        <v>38</v>
      </c>
      <c r="F376" s="253" t="s">
        <v>45</v>
      </c>
      <c r="G376" s="291"/>
      <c r="H376" s="266">
        <f>H377+H380+H383+H386</f>
        <v>65283.799999999996</v>
      </c>
    </row>
    <row r="377" spans="1:8" ht="126" x14ac:dyDescent="0.35">
      <c r="A377" s="431"/>
      <c r="B377" s="586" t="s">
        <v>364</v>
      </c>
      <c r="C377" s="251" t="s">
        <v>80</v>
      </c>
      <c r="D377" s="252" t="s">
        <v>46</v>
      </c>
      <c r="E377" s="252" t="s">
        <v>38</v>
      </c>
      <c r="F377" s="253" t="s">
        <v>614</v>
      </c>
      <c r="G377" s="35"/>
      <c r="H377" s="266">
        <f>SUM(H378:H379)</f>
        <v>35369.600000000006</v>
      </c>
    </row>
    <row r="378" spans="1:8" ht="36" x14ac:dyDescent="0.35">
      <c r="A378" s="431"/>
      <c r="B378" s="587" t="s">
        <v>56</v>
      </c>
      <c r="C378" s="251" t="s">
        <v>80</v>
      </c>
      <c r="D378" s="252" t="s">
        <v>46</v>
      </c>
      <c r="E378" s="252" t="s">
        <v>38</v>
      </c>
      <c r="F378" s="253" t="s">
        <v>614</v>
      </c>
      <c r="G378" s="35" t="s">
        <v>57</v>
      </c>
      <c r="H378" s="266">
        <f>'прил9 (ведом 22)'!M795</f>
        <v>176.8</v>
      </c>
    </row>
    <row r="379" spans="1:8" ht="18" x14ac:dyDescent="0.35">
      <c r="A379" s="431"/>
      <c r="B379" s="442" t="s">
        <v>121</v>
      </c>
      <c r="C379" s="251" t="s">
        <v>80</v>
      </c>
      <c r="D379" s="252" t="s">
        <v>46</v>
      </c>
      <c r="E379" s="252" t="s">
        <v>38</v>
      </c>
      <c r="F379" s="253" t="s">
        <v>614</v>
      </c>
      <c r="G379" s="35" t="s">
        <v>122</v>
      </c>
      <c r="H379" s="266">
        <f>'прил9 (ведом 22)'!M796</f>
        <v>35192.800000000003</v>
      </c>
    </row>
    <row r="380" spans="1:8" ht="90" x14ac:dyDescent="0.35">
      <c r="A380" s="431"/>
      <c r="B380" s="442" t="s">
        <v>366</v>
      </c>
      <c r="C380" s="251" t="s">
        <v>80</v>
      </c>
      <c r="D380" s="252" t="s">
        <v>46</v>
      </c>
      <c r="E380" s="252" t="s">
        <v>38</v>
      </c>
      <c r="F380" s="253" t="s">
        <v>616</v>
      </c>
      <c r="G380" s="35"/>
      <c r="H380" s="266">
        <f>SUM(H381:H382)</f>
        <v>1437.7</v>
      </c>
    </row>
    <row r="381" spans="1:8" ht="36" x14ac:dyDescent="0.35">
      <c r="A381" s="431"/>
      <c r="B381" s="442" t="s">
        <v>56</v>
      </c>
      <c r="C381" s="251" t="s">
        <v>80</v>
      </c>
      <c r="D381" s="252" t="s">
        <v>46</v>
      </c>
      <c r="E381" s="252" t="s">
        <v>38</v>
      </c>
      <c r="F381" s="253" t="s">
        <v>616</v>
      </c>
      <c r="G381" s="35" t="s">
        <v>57</v>
      </c>
      <c r="H381" s="266">
        <f>'прил9 (ведом 22)'!M798</f>
        <v>7.2</v>
      </c>
    </row>
    <row r="382" spans="1:8" ht="18" x14ac:dyDescent="0.35">
      <c r="A382" s="431"/>
      <c r="B382" s="442" t="s">
        <v>121</v>
      </c>
      <c r="C382" s="251" t="s">
        <v>80</v>
      </c>
      <c r="D382" s="252" t="s">
        <v>46</v>
      </c>
      <c r="E382" s="252" t="s">
        <v>38</v>
      </c>
      <c r="F382" s="253" t="s">
        <v>616</v>
      </c>
      <c r="G382" s="35" t="s">
        <v>122</v>
      </c>
      <c r="H382" s="266">
        <f>'прил9 (ведом 22)'!M799</f>
        <v>1430.5</v>
      </c>
    </row>
    <row r="383" spans="1:8" ht="90" x14ac:dyDescent="0.35">
      <c r="A383" s="431"/>
      <c r="B383" s="442" t="s">
        <v>365</v>
      </c>
      <c r="C383" s="251" t="s">
        <v>80</v>
      </c>
      <c r="D383" s="252" t="s">
        <v>46</v>
      </c>
      <c r="E383" s="252" t="s">
        <v>38</v>
      </c>
      <c r="F383" s="253" t="s">
        <v>615</v>
      </c>
      <c r="G383" s="35"/>
      <c r="H383" s="266">
        <f>SUM(H384:H385)</f>
        <v>26725.899999999998</v>
      </c>
    </row>
    <row r="384" spans="1:8" ht="36" x14ac:dyDescent="0.35">
      <c r="A384" s="431"/>
      <c r="B384" s="587" t="s">
        <v>56</v>
      </c>
      <c r="C384" s="251" t="s">
        <v>80</v>
      </c>
      <c r="D384" s="252" t="s">
        <v>46</v>
      </c>
      <c r="E384" s="252" t="s">
        <v>38</v>
      </c>
      <c r="F384" s="253" t="s">
        <v>615</v>
      </c>
      <c r="G384" s="35" t="s">
        <v>57</v>
      </c>
      <c r="H384" s="266">
        <f>'прил9 (ведом 22)'!M801</f>
        <v>133.6</v>
      </c>
    </row>
    <row r="385" spans="1:8" ht="18" x14ac:dyDescent="0.35">
      <c r="A385" s="431"/>
      <c r="B385" s="442" t="s">
        <v>121</v>
      </c>
      <c r="C385" s="251" t="s">
        <v>80</v>
      </c>
      <c r="D385" s="252" t="s">
        <v>46</v>
      </c>
      <c r="E385" s="252" t="s">
        <v>38</v>
      </c>
      <c r="F385" s="253" t="s">
        <v>615</v>
      </c>
      <c r="G385" s="35" t="s">
        <v>122</v>
      </c>
      <c r="H385" s="266">
        <f>'прил9 (ведом 22)'!M802</f>
        <v>26592.3</v>
      </c>
    </row>
    <row r="386" spans="1:8" ht="108" x14ac:dyDescent="0.35">
      <c r="A386" s="431"/>
      <c r="B386" s="442" t="s">
        <v>372</v>
      </c>
      <c r="C386" s="251" t="s">
        <v>80</v>
      </c>
      <c r="D386" s="252" t="s">
        <v>46</v>
      </c>
      <c r="E386" s="252" t="s">
        <v>38</v>
      </c>
      <c r="F386" s="253" t="s">
        <v>617</v>
      </c>
      <c r="G386" s="35"/>
      <c r="H386" s="266">
        <f>SUM(H387:H388)</f>
        <v>1750.6</v>
      </c>
    </row>
    <row r="387" spans="1:8" ht="36" x14ac:dyDescent="0.35">
      <c r="A387" s="431"/>
      <c r="B387" s="442" t="s">
        <v>56</v>
      </c>
      <c r="C387" s="251" t="s">
        <v>80</v>
      </c>
      <c r="D387" s="252" t="s">
        <v>46</v>
      </c>
      <c r="E387" s="252" t="s">
        <v>38</v>
      </c>
      <c r="F387" s="253" t="s">
        <v>617</v>
      </c>
      <c r="G387" s="35" t="s">
        <v>57</v>
      </c>
      <c r="H387" s="266">
        <f>'прил9 (ведом 22)'!M804</f>
        <v>8.6</v>
      </c>
    </row>
    <row r="388" spans="1:8" ht="17.25" customHeight="1" x14ac:dyDescent="0.35">
      <c r="A388" s="431"/>
      <c r="B388" s="442" t="s">
        <v>121</v>
      </c>
      <c r="C388" s="251" t="s">
        <v>80</v>
      </c>
      <c r="D388" s="252" t="s">
        <v>46</v>
      </c>
      <c r="E388" s="252" t="s">
        <v>38</v>
      </c>
      <c r="F388" s="253" t="s">
        <v>617</v>
      </c>
      <c r="G388" s="35" t="s">
        <v>122</v>
      </c>
      <c r="H388" s="266">
        <f>'прил9 (ведом 22)'!M805</f>
        <v>1742</v>
      </c>
    </row>
    <row r="389" spans="1:8" ht="72" x14ac:dyDescent="0.35">
      <c r="A389" s="431"/>
      <c r="B389" s="487" t="s">
        <v>302</v>
      </c>
      <c r="C389" s="513" t="s">
        <v>80</v>
      </c>
      <c r="D389" s="514" t="s">
        <v>46</v>
      </c>
      <c r="E389" s="514" t="s">
        <v>40</v>
      </c>
      <c r="F389" s="515" t="s">
        <v>45</v>
      </c>
      <c r="G389" s="516"/>
      <c r="H389" s="266">
        <f>H390</f>
        <v>64679.4</v>
      </c>
    </row>
    <row r="390" spans="1:8" ht="90" x14ac:dyDescent="0.35">
      <c r="A390" s="431"/>
      <c r="B390" s="463" t="s">
        <v>437</v>
      </c>
      <c r="C390" s="563" t="s">
        <v>80</v>
      </c>
      <c r="D390" s="564" t="s">
        <v>46</v>
      </c>
      <c r="E390" s="564" t="s">
        <v>40</v>
      </c>
      <c r="F390" s="565" t="s">
        <v>438</v>
      </c>
      <c r="G390" s="566"/>
      <c r="H390" s="266">
        <f>H392+H391</f>
        <v>64679.4</v>
      </c>
    </row>
    <row r="391" spans="1:8" ht="36" x14ac:dyDescent="0.35">
      <c r="A391" s="431"/>
      <c r="B391" s="442" t="s">
        <v>56</v>
      </c>
      <c r="C391" s="563" t="s">
        <v>80</v>
      </c>
      <c r="D391" s="564" t="s">
        <v>46</v>
      </c>
      <c r="E391" s="564" t="s">
        <v>40</v>
      </c>
      <c r="F391" s="565" t="s">
        <v>438</v>
      </c>
      <c r="G391" s="566" t="s">
        <v>57</v>
      </c>
      <c r="H391" s="266">
        <f>'прил9 (ведом 22)'!M382</f>
        <v>62.4846</v>
      </c>
    </row>
    <row r="392" spans="1:8" ht="36" x14ac:dyDescent="0.35">
      <c r="A392" s="431"/>
      <c r="B392" s="463" t="s">
        <v>204</v>
      </c>
      <c r="C392" s="443" t="s">
        <v>80</v>
      </c>
      <c r="D392" s="444" t="s">
        <v>46</v>
      </c>
      <c r="E392" s="444" t="s">
        <v>40</v>
      </c>
      <c r="F392" s="445" t="s">
        <v>438</v>
      </c>
      <c r="G392" s="446" t="s">
        <v>205</v>
      </c>
      <c r="H392" s="266">
        <f>'прил9 (ведом 22)'!M430</f>
        <v>64616.915399999998</v>
      </c>
    </row>
    <row r="393" spans="1:8" ht="36" x14ac:dyDescent="0.35">
      <c r="A393" s="431"/>
      <c r="B393" s="442" t="s">
        <v>230</v>
      </c>
      <c r="C393" s="251" t="s">
        <v>80</v>
      </c>
      <c r="D393" s="252" t="s">
        <v>46</v>
      </c>
      <c r="E393" s="252" t="s">
        <v>64</v>
      </c>
      <c r="F393" s="253" t="s">
        <v>45</v>
      </c>
      <c r="G393" s="35"/>
      <c r="H393" s="266">
        <f>H394+H397+H400</f>
        <v>8627.2999999999993</v>
      </c>
    </row>
    <row r="394" spans="1:8" ht="234" x14ac:dyDescent="0.35">
      <c r="A394" s="431"/>
      <c r="B394" s="442" t="s">
        <v>233</v>
      </c>
      <c r="C394" s="251" t="s">
        <v>80</v>
      </c>
      <c r="D394" s="252" t="s">
        <v>46</v>
      </c>
      <c r="E394" s="252" t="s">
        <v>64</v>
      </c>
      <c r="F394" s="253" t="s">
        <v>618</v>
      </c>
      <c r="G394" s="35"/>
      <c r="H394" s="266">
        <f>SUM(H395:H396)</f>
        <v>984.5</v>
      </c>
    </row>
    <row r="395" spans="1:8" ht="90" x14ac:dyDescent="0.35">
      <c r="A395" s="431"/>
      <c r="B395" s="442" t="s">
        <v>50</v>
      </c>
      <c r="C395" s="251" t="s">
        <v>80</v>
      </c>
      <c r="D395" s="252" t="s">
        <v>46</v>
      </c>
      <c r="E395" s="252" t="s">
        <v>64</v>
      </c>
      <c r="F395" s="253" t="s">
        <v>618</v>
      </c>
      <c r="G395" s="35" t="s">
        <v>51</v>
      </c>
      <c r="H395" s="266">
        <f>'прил9 (ведом 22)'!M811</f>
        <v>960.94200000000001</v>
      </c>
    </row>
    <row r="396" spans="1:8" ht="36" x14ac:dyDescent="0.35">
      <c r="A396" s="431"/>
      <c r="B396" s="442" t="s">
        <v>56</v>
      </c>
      <c r="C396" s="251" t="s">
        <v>80</v>
      </c>
      <c r="D396" s="252" t="s">
        <v>46</v>
      </c>
      <c r="E396" s="252" t="s">
        <v>64</v>
      </c>
      <c r="F396" s="253" t="s">
        <v>618</v>
      </c>
      <c r="G396" s="35" t="s">
        <v>57</v>
      </c>
      <c r="H396" s="266">
        <f>'прил9 (ведом 22)'!M812</f>
        <v>23.558</v>
      </c>
    </row>
    <row r="397" spans="1:8" ht="90" x14ac:dyDescent="0.35">
      <c r="A397" s="431"/>
      <c r="B397" s="76" t="s">
        <v>485</v>
      </c>
      <c r="C397" s="251" t="s">
        <v>80</v>
      </c>
      <c r="D397" s="252" t="s">
        <v>46</v>
      </c>
      <c r="E397" s="252" t="s">
        <v>64</v>
      </c>
      <c r="F397" s="253" t="s">
        <v>612</v>
      </c>
      <c r="G397" s="35"/>
      <c r="H397" s="266">
        <f>SUM(H398:H399)</f>
        <v>723.6</v>
      </c>
    </row>
    <row r="398" spans="1:8" ht="90" x14ac:dyDescent="0.35">
      <c r="A398" s="431"/>
      <c r="B398" s="442" t="s">
        <v>50</v>
      </c>
      <c r="C398" s="251" t="s">
        <v>80</v>
      </c>
      <c r="D398" s="252" t="s">
        <v>46</v>
      </c>
      <c r="E398" s="252" t="s">
        <v>64</v>
      </c>
      <c r="F398" s="253" t="s">
        <v>612</v>
      </c>
      <c r="G398" s="35" t="s">
        <v>51</v>
      </c>
      <c r="H398" s="266">
        <f>'прил9 (ведом 22)'!M814</f>
        <v>693.6</v>
      </c>
    </row>
    <row r="399" spans="1:8" ht="36" x14ac:dyDescent="0.35">
      <c r="A399" s="431"/>
      <c r="B399" s="442" t="s">
        <v>56</v>
      </c>
      <c r="C399" s="251" t="s">
        <v>80</v>
      </c>
      <c r="D399" s="252" t="s">
        <v>46</v>
      </c>
      <c r="E399" s="252" t="s">
        <v>64</v>
      </c>
      <c r="F399" s="253" t="s">
        <v>612</v>
      </c>
      <c r="G399" s="35" t="s">
        <v>57</v>
      </c>
      <c r="H399" s="266">
        <f>'прил9 (ведом 22)'!M815</f>
        <v>30</v>
      </c>
    </row>
    <row r="400" spans="1:8" ht="72" x14ac:dyDescent="0.35">
      <c r="A400" s="431"/>
      <c r="B400" s="442" t="s">
        <v>232</v>
      </c>
      <c r="C400" s="251" t="s">
        <v>80</v>
      </c>
      <c r="D400" s="252" t="s">
        <v>46</v>
      </c>
      <c r="E400" s="252" t="s">
        <v>64</v>
      </c>
      <c r="F400" s="253" t="s">
        <v>613</v>
      </c>
      <c r="G400" s="35"/>
      <c r="H400" s="266">
        <f>H401+H402</f>
        <v>6919.2</v>
      </c>
    </row>
    <row r="401" spans="1:8" ht="90" x14ac:dyDescent="0.35">
      <c r="A401" s="431"/>
      <c r="B401" s="442" t="s">
        <v>50</v>
      </c>
      <c r="C401" s="251" t="s">
        <v>80</v>
      </c>
      <c r="D401" s="252" t="s">
        <v>46</v>
      </c>
      <c r="E401" s="252" t="s">
        <v>64</v>
      </c>
      <c r="F401" s="253" t="s">
        <v>613</v>
      </c>
      <c r="G401" s="35" t="s">
        <v>51</v>
      </c>
      <c r="H401" s="266">
        <f>'прил9 (ведом 22)'!M817</f>
        <v>6791.5609999999997</v>
      </c>
    </row>
    <row r="402" spans="1:8" ht="36" x14ac:dyDescent="0.35">
      <c r="A402" s="431"/>
      <c r="B402" s="442" t="s">
        <v>56</v>
      </c>
      <c r="C402" s="588" t="s">
        <v>80</v>
      </c>
      <c r="D402" s="589" t="s">
        <v>46</v>
      </c>
      <c r="E402" s="589" t="s">
        <v>64</v>
      </c>
      <c r="F402" s="590" t="s">
        <v>613</v>
      </c>
      <c r="G402" s="35" t="s">
        <v>57</v>
      </c>
      <c r="H402" s="266">
        <f>'прил9 (ведом 22)'!M818</f>
        <v>127.63900000000001</v>
      </c>
    </row>
    <row r="403" spans="1:8" ht="72" x14ac:dyDescent="0.35">
      <c r="A403" s="476"/>
      <c r="B403" s="471" t="s">
        <v>472</v>
      </c>
      <c r="C403" s="251" t="s">
        <v>80</v>
      </c>
      <c r="D403" s="252" t="s">
        <v>46</v>
      </c>
      <c r="E403" s="252" t="s">
        <v>53</v>
      </c>
      <c r="F403" s="253" t="s">
        <v>45</v>
      </c>
      <c r="G403" s="35"/>
      <c r="H403" s="266">
        <f>H404</f>
        <v>901</v>
      </c>
    </row>
    <row r="404" spans="1:8" ht="72" x14ac:dyDescent="0.35">
      <c r="A404" s="476"/>
      <c r="B404" s="471" t="s">
        <v>467</v>
      </c>
      <c r="C404" s="251" t="s">
        <v>80</v>
      </c>
      <c r="D404" s="252" t="s">
        <v>46</v>
      </c>
      <c r="E404" s="252" t="s">
        <v>53</v>
      </c>
      <c r="F404" s="253" t="s">
        <v>363</v>
      </c>
      <c r="G404" s="35"/>
      <c r="H404" s="266">
        <f>H405</f>
        <v>901</v>
      </c>
    </row>
    <row r="405" spans="1:8" ht="23.25" customHeight="1" x14ac:dyDescent="0.35">
      <c r="A405" s="476"/>
      <c r="B405" s="448" t="s">
        <v>121</v>
      </c>
      <c r="C405" s="251" t="s">
        <v>80</v>
      </c>
      <c r="D405" s="252" t="s">
        <v>46</v>
      </c>
      <c r="E405" s="252" t="s">
        <v>53</v>
      </c>
      <c r="F405" s="253" t="s">
        <v>363</v>
      </c>
      <c r="G405" s="35" t="s">
        <v>122</v>
      </c>
      <c r="H405" s="266">
        <f>'прил9 (ведом 22)'!M216</f>
        <v>901</v>
      </c>
    </row>
    <row r="406" spans="1:8" ht="18" x14ac:dyDescent="0.35">
      <c r="A406" s="431"/>
      <c r="B406" s="442"/>
      <c r="C406" s="252"/>
      <c r="D406" s="252"/>
      <c r="E406" s="252"/>
      <c r="F406" s="253"/>
      <c r="G406" s="35"/>
      <c r="H406" s="266"/>
    </row>
    <row r="407" spans="1:8" ht="69.599999999999994" x14ac:dyDescent="0.3">
      <c r="A407" s="451">
        <v>9</v>
      </c>
      <c r="B407" s="462" t="s">
        <v>336</v>
      </c>
      <c r="C407" s="452" t="s">
        <v>105</v>
      </c>
      <c r="D407" s="452" t="s">
        <v>43</v>
      </c>
      <c r="E407" s="452" t="s">
        <v>44</v>
      </c>
      <c r="F407" s="453" t="s">
        <v>45</v>
      </c>
      <c r="G407" s="522"/>
      <c r="H407" s="316">
        <f>H408+H412+H416+H420</f>
        <v>104499.1</v>
      </c>
    </row>
    <row r="408" spans="1:8" ht="36" x14ac:dyDescent="0.35">
      <c r="A408" s="451"/>
      <c r="B408" s="442" t="s">
        <v>338</v>
      </c>
      <c r="C408" s="251" t="s">
        <v>105</v>
      </c>
      <c r="D408" s="252" t="s">
        <v>46</v>
      </c>
      <c r="E408" s="252" t="s">
        <v>44</v>
      </c>
      <c r="F408" s="253" t="s">
        <v>45</v>
      </c>
      <c r="G408" s="35"/>
      <c r="H408" s="266">
        <f>H409</f>
        <v>43223.3</v>
      </c>
    </row>
    <row r="409" spans="1:8" ht="54" x14ac:dyDescent="0.35">
      <c r="A409" s="451"/>
      <c r="B409" s="264" t="s">
        <v>380</v>
      </c>
      <c r="C409" s="251" t="s">
        <v>105</v>
      </c>
      <c r="D409" s="252" t="s">
        <v>46</v>
      </c>
      <c r="E409" s="252" t="s">
        <v>38</v>
      </c>
      <c r="F409" s="253" t="s">
        <v>45</v>
      </c>
      <c r="G409" s="35"/>
      <c r="H409" s="266">
        <f>H410</f>
        <v>43223.3</v>
      </c>
    </row>
    <row r="410" spans="1:8" ht="54" x14ac:dyDescent="0.35">
      <c r="A410" s="451"/>
      <c r="B410" s="487" t="s">
        <v>546</v>
      </c>
      <c r="C410" s="443" t="s">
        <v>105</v>
      </c>
      <c r="D410" s="444" t="s">
        <v>46</v>
      </c>
      <c r="E410" s="444" t="s">
        <v>38</v>
      </c>
      <c r="F410" s="445" t="s">
        <v>436</v>
      </c>
      <c r="G410" s="446"/>
      <c r="H410" s="266">
        <f>SUM(H411:H411)</f>
        <v>43223.3</v>
      </c>
    </row>
    <row r="411" spans="1:8" ht="36" x14ac:dyDescent="0.35">
      <c r="A411" s="567"/>
      <c r="B411" s="568" t="s">
        <v>204</v>
      </c>
      <c r="C411" s="484" t="s">
        <v>105</v>
      </c>
      <c r="D411" s="485" t="s">
        <v>46</v>
      </c>
      <c r="E411" s="485" t="s">
        <v>38</v>
      </c>
      <c r="F411" s="569" t="s">
        <v>436</v>
      </c>
      <c r="G411" s="570" t="s">
        <v>205</v>
      </c>
      <c r="H411" s="571">
        <f>'прил9 (ведом 22)'!M402</f>
        <v>43223.3</v>
      </c>
    </row>
    <row r="412" spans="1:8" ht="18" x14ac:dyDescent="0.35">
      <c r="A412" s="567"/>
      <c r="B412" s="249" t="s">
        <v>343</v>
      </c>
      <c r="C412" s="251" t="s">
        <v>105</v>
      </c>
      <c r="D412" s="252" t="s">
        <v>31</v>
      </c>
      <c r="E412" s="252" t="s">
        <v>44</v>
      </c>
      <c r="F412" s="253" t="s">
        <v>45</v>
      </c>
      <c r="G412" s="572"/>
      <c r="H412" s="571">
        <f>H413</f>
        <v>2109.1999999999998</v>
      </c>
    </row>
    <row r="413" spans="1:8" ht="36" x14ac:dyDescent="0.35">
      <c r="A413" s="567"/>
      <c r="B413" s="573" t="s">
        <v>552</v>
      </c>
      <c r="C413" s="251" t="s">
        <v>105</v>
      </c>
      <c r="D413" s="252" t="s">
        <v>31</v>
      </c>
      <c r="E413" s="252" t="s">
        <v>227</v>
      </c>
      <c r="F413" s="253" t="s">
        <v>45</v>
      </c>
      <c r="G413" s="572"/>
      <c r="H413" s="571">
        <f>H414</f>
        <v>2109.1999999999998</v>
      </c>
    </row>
    <row r="414" spans="1:8" ht="18" x14ac:dyDescent="0.35">
      <c r="A414" s="567"/>
      <c r="B414" s="573" t="s">
        <v>553</v>
      </c>
      <c r="C414" s="251" t="s">
        <v>105</v>
      </c>
      <c r="D414" s="252" t="s">
        <v>31</v>
      </c>
      <c r="E414" s="252" t="s">
        <v>227</v>
      </c>
      <c r="F414" s="253" t="s">
        <v>551</v>
      </c>
      <c r="G414" s="572"/>
      <c r="H414" s="571">
        <f>H415</f>
        <v>2109.1999999999998</v>
      </c>
    </row>
    <row r="415" spans="1:8" ht="36" x14ac:dyDescent="0.35">
      <c r="A415" s="567"/>
      <c r="B415" s="573" t="s">
        <v>56</v>
      </c>
      <c r="C415" s="251" t="s">
        <v>105</v>
      </c>
      <c r="D415" s="252" t="s">
        <v>31</v>
      </c>
      <c r="E415" s="252" t="s">
        <v>227</v>
      </c>
      <c r="F415" s="253" t="s">
        <v>551</v>
      </c>
      <c r="G415" s="572" t="s">
        <v>57</v>
      </c>
      <c r="H415" s="254">
        <f>'прил9 (ведом 22)'!M198</f>
        <v>2109.1999999999998</v>
      </c>
    </row>
    <row r="416" spans="1:8" ht="54" x14ac:dyDescent="0.35">
      <c r="A416" s="567"/>
      <c r="B416" s="264" t="s">
        <v>541</v>
      </c>
      <c r="C416" s="251" t="s">
        <v>105</v>
      </c>
      <c r="D416" s="252" t="s">
        <v>35</v>
      </c>
      <c r="E416" s="252" t="s">
        <v>44</v>
      </c>
      <c r="F416" s="253" t="s">
        <v>45</v>
      </c>
      <c r="G416" s="35"/>
      <c r="H416" s="571">
        <f>H417</f>
        <v>1224.5</v>
      </c>
    </row>
    <row r="417" spans="1:8" ht="36" x14ac:dyDescent="0.35">
      <c r="A417" s="567"/>
      <c r="B417" s="264" t="s">
        <v>542</v>
      </c>
      <c r="C417" s="251" t="s">
        <v>105</v>
      </c>
      <c r="D417" s="252" t="s">
        <v>35</v>
      </c>
      <c r="E417" s="252" t="s">
        <v>38</v>
      </c>
      <c r="F417" s="253" t="s">
        <v>45</v>
      </c>
      <c r="G417" s="35"/>
      <c r="H417" s="571">
        <f>H418</f>
        <v>1224.5</v>
      </c>
    </row>
    <row r="418" spans="1:8" ht="36" x14ac:dyDescent="0.35">
      <c r="A418" s="567"/>
      <c r="B418" s="264" t="s">
        <v>543</v>
      </c>
      <c r="C418" s="251" t="s">
        <v>105</v>
      </c>
      <c r="D418" s="252" t="s">
        <v>35</v>
      </c>
      <c r="E418" s="252" t="s">
        <v>38</v>
      </c>
      <c r="F418" s="253" t="s">
        <v>544</v>
      </c>
      <c r="G418" s="35"/>
      <c r="H418" s="571">
        <f>H419</f>
        <v>1224.5</v>
      </c>
    </row>
    <row r="419" spans="1:8" ht="36" x14ac:dyDescent="0.35">
      <c r="A419" s="567"/>
      <c r="B419" s="264" t="s">
        <v>56</v>
      </c>
      <c r="C419" s="251" t="s">
        <v>105</v>
      </c>
      <c r="D419" s="252" t="s">
        <v>35</v>
      </c>
      <c r="E419" s="252" t="s">
        <v>38</v>
      </c>
      <c r="F419" s="253" t="s">
        <v>544</v>
      </c>
      <c r="G419" s="35" t="s">
        <v>57</v>
      </c>
      <c r="H419" s="571">
        <f>'прил9 (ведом 22)'!M202</f>
        <v>1224.5</v>
      </c>
    </row>
    <row r="420" spans="1:8" ht="36" x14ac:dyDescent="0.35">
      <c r="A420" s="567"/>
      <c r="B420" s="574" t="s">
        <v>518</v>
      </c>
      <c r="C420" s="251" t="s">
        <v>105</v>
      </c>
      <c r="D420" s="252" t="s">
        <v>519</v>
      </c>
      <c r="E420" s="252" t="s">
        <v>44</v>
      </c>
      <c r="F420" s="253" t="s">
        <v>45</v>
      </c>
      <c r="G420" s="35"/>
      <c r="H420" s="571">
        <f>H421+H424</f>
        <v>57942.100000000006</v>
      </c>
    </row>
    <row r="421" spans="1:8" ht="36" x14ac:dyDescent="0.35">
      <c r="A421" s="567"/>
      <c r="B421" s="24" t="s">
        <v>647</v>
      </c>
      <c r="C421" s="251" t="s">
        <v>105</v>
      </c>
      <c r="D421" s="252" t="s">
        <v>519</v>
      </c>
      <c r="E421" s="252" t="s">
        <v>38</v>
      </c>
      <c r="F421" s="253" t="s">
        <v>45</v>
      </c>
      <c r="G421" s="35"/>
      <c r="H421" s="571">
        <f>H422</f>
        <v>10.199999999999999</v>
      </c>
    </row>
    <row r="422" spans="1:8" ht="54" x14ac:dyDescent="0.35">
      <c r="A422" s="567"/>
      <c r="B422" s="24" t="s">
        <v>648</v>
      </c>
      <c r="C422" s="251" t="s">
        <v>105</v>
      </c>
      <c r="D422" s="252" t="s">
        <v>519</v>
      </c>
      <c r="E422" s="252" t="s">
        <v>38</v>
      </c>
      <c r="F422" s="253" t="s">
        <v>646</v>
      </c>
      <c r="G422" s="35"/>
      <c r="H422" s="571">
        <f>H423</f>
        <v>10.199999999999999</v>
      </c>
    </row>
    <row r="423" spans="1:8" ht="36" x14ac:dyDescent="0.35">
      <c r="A423" s="567"/>
      <c r="B423" s="24" t="s">
        <v>56</v>
      </c>
      <c r="C423" s="251" t="s">
        <v>105</v>
      </c>
      <c r="D423" s="252" t="s">
        <v>519</v>
      </c>
      <c r="E423" s="252" t="s">
        <v>38</v>
      </c>
      <c r="F423" s="253" t="s">
        <v>646</v>
      </c>
      <c r="G423" s="35" t="s">
        <v>57</v>
      </c>
      <c r="H423" s="571">
        <f>'прил9 (ведом 22)'!M65</f>
        <v>10.199999999999999</v>
      </c>
    </row>
    <row r="424" spans="1:8" ht="54" x14ac:dyDescent="0.35">
      <c r="A424" s="567"/>
      <c r="B424" s="264" t="s">
        <v>510</v>
      </c>
      <c r="C424" s="251" t="s">
        <v>105</v>
      </c>
      <c r="D424" s="252" t="s">
        <v>519</v>
      </c>
      <c r="E424" s="252" t="s">
        <v>507</v>
      </c>
      <c r="F424" s="253" t="s">
        <v>45</v>
      </c>
      <c r="G424" s="35"/>
      <c r="H424" s="571">
        <f>H425+H427+H429</f>
        <v>57931.900000000009</v>
      </c>
    </row>
    <row r="425" spans="1:8" ht="90" x14ac:dyDescent="0.35">
      <c r="A425" s="567"/>
      <c r="B425" s="264" t="s">
        <v>511</v>
      </c>
      <c r="C425" s="251" t="s">
        <v>105</v>
      </c>
      <c r="D425" s="252" t="s">
        <v>519</v>
      </c>
      <c r="E425" s="252" t="s">
        <v>507</v>
      </c>
      <c r="F425" s="253" t="s">
        <v>508</v>
      </c>
      <c r="G425" s="35"/>
      <c r="H425" s="571">
        <f>H426</f>
        <v>30033.800000000003</v>
      </c>
    </row>
    <row r="426" spans="1:8" ht="36" x14ac:dyDescent="0.35">
      <c r="A426" s="567"/>
      <c r="B426" s="264" t="s">
        <v>204</v>
      </c>
      <c r="C426" s="251" t="s">
        <v>105</v>
      </c>
      <c r="D426" s="252" t="s">
        <v>519</v>
      </c>
      <c r="E426" s="252" t="s">
        <v>507</v>
      </c>
      <c r="F426" s="253" t="s">
        <v>508</v>
      </c>
      <c r="G426" s="35" t="s">
        <v>205</v>
      </c>
      <c r="H426" s="571">
        <f>'прил9 (ведом 22)'!M188</f>
        <v>30033.800000000003</v>
      </c>
    </row>
    <row r="427" spans="1:8" ht="90" x14ac:dyDescent="0.35">
      <c r="A427" s="567"/>
      <c r="B427" s="264" t="s">
        <v>511</v>
      </c>
      <c r="C427" s="251" t="s">
        <v>105</v>
      </c>
      <c r="D427" s="252" t="s">
        <v>519</v>
      </c>
      <c r="E427" s="252" t="s">
        <v>507</v>
      </c>
      <c r="F427" s="253" t="s">
        <v>509</v>
      </c>
      <c r="G427" s="35"/>
      <c r="H427" s="571">
        <f>H428</f>
        <v>21236.9</v>
      </c>
    </row>
    <row r="428" spans="1:8" ht="36" x14ac:dyDescent="0.35">
      <c r="A428" s="567"/>
      <c r="B428" s="543" t="s">
        <v>204</v>
      </c>
      <c r="C428" s="251" t="s">
        <v>105</v>
      </c>
      <c r="D428" s="252" t="s">
        <v>519</v>
      </c>
      <c r="E428" s="252" t="s">
        <v>507</v>
      </c>
      <c r="F428" s="253" t="s">
        <v>509</v>
      </c>
      <c r="G428" s="35" t="s">
        <v>205</v>
      </c>
      <c r="H428" s="571">
        <f>'прил9 (ведом 22)'!M190</f>
        <v>21236.9</v>
      </c>
    </row>
    <row r="429" spans="1:8" ht="90" x14ac:dyDescent="0.35">
      <c r="A429" s="567"/>
      <c r="B429" s="264" t="s">
        <v>511</v>
      </c>
      <c r="C429" s="251" t="s">
        <v>105</v>
      </c>
      <c r="D429" s="252" t="s">
        <v>519</v>
      </c>
      <c r="E429" s="252" t="s">
        <v>507</v>
      </c>
      <c r="F429" s="253" t="s">
        <v>580</v>
      </c>
      <c r="G429" s="35"/>
      <c r="H429" s="571">
        <f>H430</f>
        <v>6661.2000000000007</v>
      </c>
    </row>
    <row r="430" spans="1:8" ht="36" x14ac:dyDescent="0.35">
      <c r="A430" s="567"/>
      <c r="B430" s="264" t="s">
        <v>204</v>
      </c>
      <c r="C430" s="251" t="s">
        <v>105</v>
      </c>
      <c r="D430" s="252" t="s">
        <v>519</v>
      </c>
      <c r="E430" s="252" t="s">
        <v>507</v>
      </c>
      <c r="F430" s="253" t="s">
        <v>580</v>
      </c>
      <c r="G430" s="35" t="s">
        <v>205</v>
      </c>
      <c r="H430" s="571">
        <f>'прил9 (ведом 22)'!M192</f>
        <v>6661.2000000000007</v>
      </c>
    </row>
    <row r="431" spans="1:8" ht="18" x14ac:dyDescent="0.35">
      <c r="A431" s="567"/>
      <c r="B431" s="264"/>
      <c r="C431" s="252"/>
      <c r="D431" s="252"/>
      <c r="E431" s="252"/>
      <c r="F431" s="253"/>
      <c r="G431" s="35"/>
      <c r="H431" s="571"/>
    </row>
    <row r="432" spans="1:8" s="441" customFormat="1" ht="52.2" x14ac:dyDescent="0.3">
      <c r="A432" s="451">
        <v>10</v>
      </c>
      <c r="B432" s="462" t="s">
        <v>95</v>
      </c>
      <c r="C432" s="452" t="s">
        <v>68</v>
      </c>
      <c r="D432" s="452" t="s">
        <v>43</v>
      </c>
      <c r="E432" s="452" t="s">
        <v>44</v>
      </c>
      <c r="F432" s="453" t="s">
        <v>45</v>
      </c>
      <c r="G432" s="522"/>
      <c r="H432" s="316">
        <f>H433</f>
        <v>22646.200000000004</v>
      </c>
    </row>
    <row r="433" spans="1:8" ht="18" x14ac:dyDescent="0.35">
      <c r="A433" s="431"/>
      <c r="B433" s="442" t="s">
        <v>343</v>
      </c>
      <c r="C433" s="251" t="s">
        <v>68</v>
      </c>
      <c r="D433" s="252" t="s">
        <v>46</v>
      </c>
      <c r="E433" s="252" t="s">
        <v>44</v>
      </c>
      <c r="F433" s="253" t="s">
        <v>45</v>
      </c>
      <c r="G433" s="459"/>
      <c r="H433" s="266">
        <f>H434+H437</f>
        <v>22646.200000000004</v>
      </c>
    </row>
    <row r="434" spans="1:8" ht="36" x14ac:dyDescent="0.35">
      <c r="A434" s="431"/>
      <c r="B434" s="442" t="s">
        <v>96</v>
      </c>
      <c r="C434" s="251" t="s">
        <v>68</v>
      </c>
      <c r="D434" s="252" t="s">
        <v>46</v>
      </c>
      <c r="E434" s="252" t="s">
        <v>38</v>
      </c>
      <c r="F434" s="253" t="s">
        <v>45</v>
      </c>
      <c r="G434" s="459"/>
      <c r="H434" s="266">
        <f>H435</f>
        <v>21095.300000000003</v>
      </c>
    </row>
    <row r="435" spans="1:8" ht="54" x14ac:dyDescent="0.35">
      <c r="A435" s="431"/>
      <c r="B435" s="523" t="s">
        <v>429</v>
      </c>
      <c r="C435" s="251" t="s">
        <v>68</v>
      </c>
      <c r="D435" s="252" t="s">
        <v>46</v>
      </c>
      <c r="E435" s="252" t="s">
        <v>38</v>
      </c>
      <c r="F435" s="253" t="s">
        <v>62</v>
      </c>
      <c r="G435" s="35"/>
      <c r="H435" s="266">
        <f>H436</f>
        <v>21095.300000000003</v>
      </c>
    </row>
    <row r="436" spans="1:8" ht="18" x14ac:dyDescent="0.35">
      <c r="A436" s="431"/>
      <c r="B436" s="442" t="s">
        <v>58</v>
      </c>
      <c r="C436" s="251" t="s">
        <v>68</v>
      </c>
      <c r="D436" s="252" t="s">
        <v>46</v>
      </c>
      <c r="E436" s="252" t="s">
        <v>38</v>
      </c>
      <c r="F436" s="253" t="s">
        <v>62</v>
      </c>
      <c r="G436" s="35" t="s">
        <v>59</v>
      </c>
      <c r="H436" s="266">
        <f>'прил9 (ведом 22)'!M140</f>
        <v>21095.300000000003</v>
      </c>
    </row>
    <row r="437" spans="1:8" ht="54" x14ac:dyDescent="0.35">
      <c r="A437" s="431"/>
      <c r="B437" s="442" t="s">
        <v>97</v>
      </c>
      <c r="C437" s="251" t="s">
        <v>68</v>
      </c>
      <c r="D437" s="252" t="s">
        <v>46</v>
      </c>
      <c r="E437" s="252" t="s">
        <v>40</v>
      </c>
      <c r="F437" s="253" t="s">
        <v>45</v>
      </c>
      <c r="G437" s="35"/>
      <c r="H437" s="266">
        <f>H438</f>
        <v>1550.9</v>
      </c>
    </row>
    <row r="438" spans="1:8" ht="162" x14ac:dyDescent="0.35">
      <c r="A438" s="431"/>
      <c r="B438" s="264" t="s">
        <v>590</v>
      </c>
      <c r="C438" s="251" t="s">
        <v>68</v>
      </c>
      <c r="D438" s="252" t="s">
        <v>46</v>
      </c>
      <c r="E438" s="252" t="s">
        <v>40</v>
      </c>
      <c r="F438" s="253" t="s">
        <v>98</v>
      </c>
      <c r="G438" s="35"/>
      <c r="H438" s="266">
        <f>H439</f>
        <v>1550.9</v>
      </c>
    </row>
    <row r="439" spans="1:8" ht="36" x14ac:dyDescent="0.35">
      <c r="A439" s="431"/>
      <c r="B439" s="442" t="s">
        <v>56</v>
      </c>
      <c r="C439" s="251" t="s">
        <v>68</v>
      </c>
      <c r="D439" s="252" t="s">
        <v>46</v>
      </c>
      <c r="E439" s="252" t="s">
        <v>40</v>
      </c>
      <c r="F439" s="253" t="s">
        <v>98</v>
      </c>
      <c r="G439" s="35" t="s">
        <v>57</v>
      </c>
      <c r="H439" s="266">
        <f>'прил9 (ведом 22)'!M143</f>
        <v>1550.9</v>
      </c>
    </row>
    <row r="440" spans="1:8" ht="18" x14ac:dyDescent="0.35">
      <c r="A440" s="431"/>
      <c r="B440" s="450"/>
      <c r="C440" s="639"/>
      <c r="D440" s="639"/>
      <c r="E440" s="639"/>
      <c r="F440" s="640"/>
      <c r="G440" s="291"/>
      <c r="H440" s="266"/>
    </row>
    <row r="441" spans="1:8" s="441" customFormat="1" ht="52.2" x14ac:dyDescent="0.3">
      <c r="A441" s="451">
        <v>11</v>
      </c>
      <c r="B441" s="462" t="s">
        <v>100</v>
      </c>
      <c r="C441" s="452" t="s">
        <v>101</v>
      </c>
      <c r="D441" s="452" t="s">
        <v>43</v>
      </c>
      <c r="E441" s="452" t="s">
        <v>44</v>
      </c>
      <c r="F441" s="453" t="s">
        <v>45</v>
      </c>
      <c r="G441" s="440"/>
      <c r="H441" s="316">
        <f>H442</f>
        <v>71099.521999999997</v>
      </c>
    </row>
    <row r="442" spans="1:8" s="441" customFormat="1" ht="27.75" customHeight="1" x14ac:dyDescent="0.35">
      <c r="A442" s="431"/>
      <c r="B442" s="442" t="s">
        <v>343</v>
      </c>
      <c r="C442" s="251" t="s">
        <v>101</v>
      </c>
      <c r="D442" s="252" t="s">
        <v>46</v>
      </c>
      <c r="E442" s="252" t="s">
        <v>44</v>
      </c>
      <c r="F442" s="253" t="s">
        <v>45</v>
      </c>
      <c r="G442" s="35"/>
      <c r="H442" s="266">
        <f>H443</f>
        <v>71099.521999999997</v>
      </c>
    </row>
    <row r="443" spans="1:8" s="441" customFormat="1" ht="72" x14ac:dyDescent="0.35">
      <c r="A443" s="431"/>
      <c r="B443" s="442" t="s">
        <v>102</v>
      </c>
      <c r="C443" s="251" t="s">
        <v>101</v>
      </c>
      <c r="D443" s="252" t="s">
        <v>46</v>
      </c>
      <c r="E443" s="252" t="s">
        <v>38</v>
      </c>
      <c r="F443" s="253" t="s">
        <v>45</v>
      </c>
      <c r="G443" s="35"/>
      <c r="H443" s="266">
        <f>H444+H446</f>
        <v>71099.521999999997</v>
      </c>
    </row>
    <row r="444" spans="1:8" s="441" customFormat="1" ht="72" x14ac:dyDescent="0.35">
      <c r="A444" s="431"/>
      <c r="B444" s="454" t="s">
        <v>103</v>
      </c>
      <c r="C444" s="251" t="s">
        <v>101</v>
      </c>
      <c r="D444" s="252" t="s">
        <v>46</v>
      </c>
      <c r="E444" s="252" t="s">
        <v>38</v>
      </c>
      <c r="F444" s="253" t="s">
        <v>104</v>
      </c>
      <c r="G444" s="35"/>
      <c r="H444" s="266">
        <f>H445</f>
        <v>7717.9219999999987</v>
      </c>
    </row>
    <row r="445" spans="1:8" ht="36" x14ac:dyDescent="0.35">
      <c r="A445" s="431"/>
      <c r="B445" s="442" t="s">
        <v>56</v>
      </c>
      <c r="C445" s="251" t="s">
        <v>101</v>
      </c>
      <c r="D445" s="252" t="s">
        <v>46</v>
      </c>
      <c r="E445" s="252" t="s">
        <v>38</v>
      </c>
      <c r="F445" s="253" t="s">
        <v>104</v>
      </c>
      <c r="G445" s="35" t="s">
        <v>57</v>
      </c>
      <c r="H445" s="266">
        <f>'прил9 (ведом 22)'!M149</f>
        <v>7717.9219999999987</v>
      </c>
    </row>
    <row r="446" spans="1:8" ht="36" x14ac:dyDescent="0.35">
      <c r="A446" s="431"/>
      <c r="B446" s="24" t="s">
        <v>716</v>
      </c>
      <c r="C446" s="644" t="s">
        <v>101</v>
      </c>
      <c r="D446" s="645" t="s">
        <v>46</v>
      </c>
      <c r="E446" s="645" t="s">
        <v>38</v>
      </c>
      <c r="F446" s="646" t="s">
        <v>711</v>
      </c>
      <c r="G446" s="10"/>
      <c r="H446" s="266">
        <f>H447</f>
        <v>63381.599999999999</v>
      </c>
    </row>
    <row r="447" spans="1:8" ht="36" x14ac:dyDescent="0.35">
      <c r="A447" s="431"/>
      <c r="B447" s="24" t="s">
        <v>56</v>
      </c>
      <c r="C447" s="644" t="s">
        <v>101</v>
      </c>
      <c r="D447" s="645" t="s">
        <v>46</v>
      </c>
      <c r="E447" s="645" t="s">
        <v>38</v>
      </c>
      <c r="F447" s="646" t="s">
        <v>711</v>
      </c>
      <c r="G447" s="10" t="s">
        <v>57</v>
      </c>
      <c r="H447" s="266">
        <f>'прил9 (ведом 22)'!M151</f>
        <v>63381.599999999999</v>
      </c>
    </row>
    <row r="448" spans="1:8" ht="18" x14ac:dyDescent="0.35">
      <c r="A448" s="431"/>
      <c r="B448" s="450"/>
      <c r="C448" s="639"/>
      <c r="D448" s="639"/>
      <c r="E448" s="639"/>
      <c r="F448" s="640"/>
      <c r="G448" s="291"/>
      <c r="H448" s="266"/>
    </row>
    <row r="449" spans="1:8" s="441" customFormat="1" ht="69.599999999999994" x14ac:dyDescent="0.3">
      <c r="A449" s="451">
        <v>12</v>
      </c>
      <c r="B449" s="462" t="s">
        <v>108</v>
      </c>
      <c r="C449" s="452" t="s">
        <v>72</v>
      </c>
      <c r="D449" s="452" t="s">
        <v>43</v>
      </c>
      <c r="E449" s="452" t="s">
        <v>44</v>
      </c>
      <c r="F449" s="453" t="s">
        <v>45</v>
      </c>
      <c r="G449" s="440"/>
      <c r="H449" s="316">
        <f>H450+H454</f>
        <v>1025.0999999999999</v>
      </c>
    </row>
    <row r="450" spans="1:8" s="441" customFormat="1" ht="36" x14ac:dyDescent="0.35">
      <c r="A450" s="431"/>
      <c r="B450" s="468" t="s">
        <v>109</v>
      </c>
      <c r="C450" s="251" t="s">
        <v>72</v>
      </c>
      <c r="D450" s="252" t="s">
        <v>46</v>
      </c>
      <c r="E450" s="252" t="s">
        <v>44</v>
      </c>
      <c r="F450" s="253" t="s">
        <v>45</v>
      </c>
      <c r="G450" s="35"/>
      <c r="H450" s="266">
        <f>H451</f>
        <v>310</v>
      </c>
    </row>
    <row r="451" spans="1:8" s="441" customFormat="1" ht="36" x14ac:dyDescent="0.35">
      <c r="A451" s="431"/>
      <c r="B451" s="442" t="s">
        <v>110</v>
      </c>
      <c r="C451" s="251" t="s">
        <v>72</v>
      </c>
      <c r="D451" s="252" t="s">
        <v>46</v>
      </c>
      <c r="E451" s="252" t="s">
        <v>38</v>
      </c>
      <c r="F451" s="253" t="s">
        <v>45</v>
      </c>
      <c r="G451" s="35"/>
      <c r="H451" s="266">
        <f>H452</f>
        <v>310</v>
      </c>
    </row>
    <row r="452" spans="1:8" s="441" customFormat="1" ht="36" x14ac:dyDescent="0.35">
      <c r="A452" s="431"/>
      <c r="B452" s="468" t="s">
        <v>111</v>
      </c>
      <c r="C452" s="251" t="s">
        <v>72</v>
      </c>
      <c r="D452" s="252" t="s">
        <v>46</v>
      </c>
      <c r="E452" s="252" t="s">
        <v>38</v>
      </c>
      <c r="F452" s="253" t="s">
        <v>112</v>
      </c>
      <c r="G452" s="35"/>
      <c r="H452" s="266">
        <f>SUM(H453:H453)</f>
        <v>310</v>
      </c>
    </row>
    <row r="453" spans="1:8" s="441" customFormat="1" ht="36" x14ac:dyDescent="0.35">
      <c r="A453" s="431"/>
      <c r="B453" s="442" t="s">
        <v>56</v>
      </c>
      <c r="C453" s="251" t="s">
        <v>72</v>
      </c>
      <c r="D453" s="252" t="s">
        <v>46</v>
      </c>
      <c r="E453" s="252" t="s">
        <v>38</v>
      </c>
      <c r="F453" s="253" t="s">
        <v>112</v>
      </c>
      <c r="G453" s="35" t="s">
        <v>57</v>
      </c>
      <c r="H453" s="266">
        <f>'прил9 (ведом 22)'!M157</f>
        <v>310</v>
      </c>
    </row>
    <row r="454" spans="1:8" s="441" customFormat="1" ht="19.2" customHeight="1" x14ac:dyDescent="0.35">
      <c r="A454" s="431"/>
      <c r="B454" s="468" t="s">
        <v>113</v>
      </c>
      <c r="C454" s="251" t="s">
        <v>72</v>
      </c>
      <c r="D454" s="252" t="s">
        <v>90</v>
      </c>
      <c r="E454" s="252" t="s">
        <v>44</v>
      </c>
      <c r="F454" s="253" t="s">
        <v>45</v>
      </c>
      <c r="G454" s="35"/>
      <c r="H454" s="266">
        <f>H455</f>
        <v>715.1</v>
      </c>
    </row>
    <row r="455" spans="1:8" s="441" customFormat="1" ht="36" x14ac:dyDescent="0.35">
      <c r="A455" s="431"/>
      <c r="B455" s="468" t="s">
        <v>114</v>
      </c>
      <c r="C455" s="251" t="s">
        <v>72</v>
      </c>
      <c r="D455" s="252" t="s">
        <v>90</v>
      </c>
      <c r="E455" s="252" t="s">
        <v>38</v>
      </c>
      <c r="F455" s="253" t="s">
        <v>45</v>
      </c>
      <c r="G455" s="35"/>
      <c r="H455" s="266">
        <f>H456</f>
        <v>715.1</v>
      </c>
    </row>
    <row r="456" spans="1:8" s="441" customFormat="1" ht="72" x14ac:dyDescent="0.35">
      <c r="A456" s="431"/>
      <c r="B456" s="468" t="s">
        <v>115</v>
      </c>
      <c r="C456" s="251" t="s">
        <v>72</v>
      </c>
      <c r="D456" s="252" t="s">
        <v>90</v>
      </c>
      <c r="E456" s="252" t="s">
        <v>38</v>
      </c>
      <c r="F456" s="253" t="s">
        <v>116</v>
      </c>
      <c r="G456" s="35"/>
      <c r="H456" s="266">
        <f>H457</f>
        <v>715.1</v>
      </c>
    </row>
    <row r="457" spans="1:8" ht="36" x14ac:dyDescent="0.35">
      <c r="A457" s="431"/>
      <c r="B457" s="442" t="s">
        <v>56</v>
      </c>
      <c r="C457" s="251" t="s">
        <v>72</v>
      </c>
      <c r="D457" s="252" t="s">
        <v>90</v>
      </c>
      <c r="E457" s="252" t="s">
        <v>38</v>
      </c>
      <c r="F457" s="253" t="s">
        <v>116</v>
      </c>
      <c r="G457" s="35" t="s">
        <v>57</v>
      </c>
      <c r="H457" s="266">
        <f>'прил9 (ведом 22)'!M161</f>
        <v>715.1</v>
      </c>
    </row>
    <row r="458" spans="1:8" ht="18" x14ac:dyDescent="0.35">
      <c r="A458" s="431"/>
      <c r="B458" s="450"/>
      <c r="C458" s="639"/>
      <c r="D458" s="639"/>
      <c r="E458" s="639"/>
      <c r="F458" s="640"/>
      <c r="G458" s="291"/>
      <c r="H458" s="266"/>
    </row>
    <row r="459" spans="1:8" s="441" customFormat="1" ht="59.25" customHeight="1" x14ac:dyDescent="0.3">
      <c r="A459" s="451">
        <v>13</v>
      </c>
      <c r="B459" s="462" t="s">
        <v>117</v>
      </c>
      <c r="C459" s="452" t="s">
        <v>89</v>
      </c>
      <c r="D459" s="452" t="s">
        <v>43</v>
      </c>
      <c r="E459" s="452" t="s">
        <v>44</v>
      </c>
      <c r="F459" s="453" t="s">
        <v>45</v>
      </c>
      <c r="G459" s="440"/>
      <c r="H459" s="316">
        <f>H460</f>
        <v>38269.199999999997</v>
      </c>
    </row>
    <row r="460" spans="1:8" s="441" customFormat="1" ht="31.5" customHeight="1" x14ac:dyDescent="0.35">
      <c r="A460" s="431"/>
      <c r="B460" s="442" t="s">
        <v>343</v>
      </c>
      <c r="C460" s="251" t="s">
        <v>89</v>
      </c>
      <c r="D460" s="252" t="s">
        <v>46</v>
      </c>
      <c r="E460" s="252" t="s">
        <v>44</v>
      </c>
      <c r="F460" s="253" t="s">
        <v>45</v>
      </c>
      <c r="G460" s="35"/>
      <c r="H460" s="266">
        <f>H461</f>
        <v>38269.199999999997</v>
      </c>
    </row>
    <row r="461" spans="1:8" s="441" customFormat="1" ht="54" x14ac:dyDescent="0.35">
      <c r="A461" s="431"/>
      <c r="B461" s="468" t="s">
        <v>310</v>
      </c>
      <c r="C461" s="251" t="s">
        <v>89</v>
      </c>
      <c r="D461" s="252" t="s">
        <v>46</v>
      </c>
      <c r="E461" s="252" t="s">
        <v>38</v>
      </c>
      <c r="F461" s="253" t="s">
        <v>45</v>
      </c>
      <c r="G461" s="35"/>
      <c r="H461" s="266">
        <f>H462+H464+H466</f>
        <v>38269.199999999997</v>
      </c>
    </row>
    <row r="462" spans="1:8" s="441" customFormat="1" ht="54" x14ac:dyDescent="0.35">
      <c r="A462" s="431"/>
      <c r="B462" s="468" t="s">
        <v>118</v>
      </c>
      <c r="C462" s="251" t="s">
        <v>89</v>
      </c>
      <c r="D462" s="252" t="s">
        <v>46</v>
      </c>
      <c r="E462" s="252" t="s">
        <v>38</v>
      </c>
      <c r="F462" s="253" t="s">
        <v>119</v>
      </c>
      <c r="G462" s="35"/>
      <c r="H462" s="266">
        <f>H463</f>
        <v>112.20000000000073</v>
      </c>
    </row>
    <row r="463" spans="1:8" ht="36" x14ac:dyDescent="0.35">
      <c r="A463" s="431"/>
      <c r="B463" s="442" t="s">
        <v>56</v>
      </c>
      <c r="C463" s="251" t="s">
        <v>89</v>
      </c>
      <c r="D463" s="252" t="s">
        <v>46</v>
      </c>
      <c r="E463" s="252" t="s">
        <v>38</v>
      </c>
      <c r="F463" s="253" t="s">
        <v>119</v>
      </c>
      <c r="G463" s="35" t="s">
        <v>57</v>
      </c>
      <c r="H463" s="266">
        <f>'прил9 (ведом 22)'!M166</f>
        <v>112.20000000000073</v>
      </c>
    </row>
    <row r="464" spans="1:8" ht="72" x14ac:dyDescent="0.35">
      <c r="A464" s="431"/>
      <c r="B464" s="264" t="s">
        <v>591</v>
      </c>
      <c r="C464" s="251" t="s">
        <v>89</v>
      </c>
      <c r="D464" s="252" t="s">
        <v>46</v>
      </c>
      <c r="E464" s="252" t="s">
        <v>38</v>
      </c>
      <c r="F464" s="253" t="s">
        <v>589</v>
      </c>
      <c r="G464" s="35"/>
      <c r="H464" s="266">
        <f>H465</f>
        <v>15802.7</v>
      </c>
    </row>
    <row r="465" spans="1:8" ht="36" x14ac:dyDescent="0.35">
      <c r="A465" s="431"/>
      <c r="B465" s="264" t="s">
        <v>56</v>
      </c>
      <c r="C465" s="251" t="s">
        <v>89</v>
      </c>
      <c r="D465" s="252" t="s">
        <v>46</v>
      </c>
      <c r="E465" s="252" t="s">
        <v>38</v>
      </c>
      <c r="F465" s="253" t="s">
        <v>589</v>
      </c>
      <c r="G465" s="35" t="s">
        <v>57</v>
      </c>
      <c r="H465" s="266">
        <f>'прил9 (ведом 22)'!M168</f>
        <v>15802.7</v>
      </c>
    </row>
    <row r="466" spans="1:8" ht="54" x14ac:dyDescent="0.35">
      <c r="A466" s="431"/>
      <c r="B466" s="24" t="s">
        <v>715</v>
      </c>
      <c r="C466" s="644" t="s">
        <v>89</v>
      </c>
      <c r="D466" s="645" t="s">
        <v>46</v>
      </c>
      <c r="E466" s="645" t="s">
        <v>38</v>
      </c>
      <c r="F466" s="646" t="s">
        <v>714</v>
      </c>
      <c r="G466" s="10"/>
      <c r="H466" s="266">
        <f>H467</f>
        <v>22354.3</v>
      </c>
    </row>
    <row r="467" spans="1:8" ht="36" x14ac:dyDescent="0.35">
      <c r="A467" s="431"/>
      <c r="B467" s="24" t="s">
        <v>56</v>
      </c>
      <c r="C467" s="644" t="s">
        <v>89</v>
      </c>
      <c r="D467" s="645" t="s">
        <v>46</v>
      </c>
      <c r="E467" s="645" t="s">
        <v>38</v>
      </c>
      <c r="F467" s="646" t="s">
        <v>714</v>
      </c>
      <c r="G467" s="10" t="s">
        <v>57</v>
      </c>
      <c r="H467" s="266">
        <f>'прил9 (ведом 22)'!M170</f>
        <v>22354.3</v>
      </c>
    </row>
    <row r="468" spans="1:8" s="441" customFormat="1" ht="18" x14ac:dyDescent="0.35">
      <c r="A468" s="431"/>
      <c r="B468" s="448"/>
      <c r="C468" s="639"/>
      <c r="D468" s="639"/>
      <c r="E468" s="639"/>
      <c r="F468" s="640"/>
      <c r="G468" s="291"/>
      <c r="H468" s="266"/>
    </row>
    <row r="469" spans="1:8" s="441" customFormat="1" ht="69.599999999999994" x14ac:dyDescent="0.3">
      <c r="A469" s="451">
        <v>14</v>
      </c>
      <c r="B469" s="462" t="s">
        <v>73</v>
      </c>
      <c r="C469" s="452" t="s">
        <v>74</v>
      </c>
      <c r="D469" s="452" t="s">
        <v>43</v>
      </c>
      <c r="E469" s="452" t="s">
        <v>44</v>
      </c>
      <c r="F469" s="453" t="s">
        <v>45</v>
      </c>
      <c r="G469" s="440"/>
      <c r="H469" s="316">
        <f>H470</f>
        <v>1580.3000000000002</v>
      </c>
    </row>
    <row r="470" spans="1:8" ht="19.5" customHeight="1" x14ac:dyDescent="0.35">
      <c r="A470" s="431"/>
      <c r="B470" s="442" t="s">
        <v>343</v>
      </c>
      <c r="C470" s="251" t="s">
        <v>74</v>
      </c>
      <c r="D470" s="252" t="s">
        <v>46</v>
      </c>
      <c r="E470" s="252" t="s">
        <v>44</v>
      </c>
      <c r="F470" s="253" t="s">
        <v>45</v>
      </c>
      <c r="G470" s="35"/>
      <c r="H470" s="266">
        <f>H471</f>
        <v>1580.3000000000002</v>
      </c>
    </row>
    <row r="471" spans="1:8" ht="36" x14ac:dyDescent="0.35">
      <c r="A471" s="431"/>
      <c r="B471" s="471" t="s">
        <v>267</v>
      </c>
      <c r="C471" s="251" t="s">
        <v>74</v>
      </c>
      <c r="D471" s="252" t="s">
        <v>46</v>
      </c>
      <c r="E471" s="252" t="s">
        <v>38</v>
      </c>
      <c r="F471" s="253" t="s">
        <v>45</v>
      </c>
      <c r="G471" s="35"/>
      <c r="H471" s="266">
        <f>H472</f>
        <v>1580.3000000000002</v>
      </c>
    </row>
    <row r="472" spans="1:8" ht="36" x14ac:dyDescent="0.35">
      <c r="A472" s="431"/>
      <c r="B472" s="471" t="s">
        <v>75</v>
      </c>
      <c r="C472" s="251" t="s">
        <v>74</v>
      </c>
      <c r="D472" s="252" t="s">
        <v>46</v>
      </c>
      <c r="E472" s="252" t="s">
        <v>38</v>
      </c>
      <c r="F472" s="253" t="s">
        <v>76</v>
      </c>
      <c r="G472" s="35"/>
      <c r="H472" s="266">
        <f>H473</f>
        <v>1580.3000000000002</v>
      </c>
    </row>
    <row r="473" spans="1:8" ht="40.5" customHeight="1" x14ac:dyDescent="0.35">
      <c r="A473" s="431"/>
      <c r="B473" s="448" t="s">
        <v>77</v>
      </c>
      <c r="C473" s="251" t="s">
        <v>74</v>
      </c>
      <c r="D473" s="252" t="s">
        <v>46</v>
      </c>
      <c r="E473" s="252" t="s">
        <v>38</v>
      </c>
      <c r="F473" s="253" t="s">
        <v>76</v>
      </c>
      <c r="G473" s="35" t="s">
        <v>78</v>
      </c>
      <c r="H473" s="266">
        <f>'прил9 (ведом 22)'!M70+'прил9 (ведом 22)'!M222</f>
        <v>1580.3000000000002</v>
      </c>
    </row>
    <row r="474" spans="1:8" ht="18" x14ac:dyDescent="0.35">
      <c r="A474" s="431"/>
      <c r="B474" s="448"/>
      <c r="C474" s="639"/>
      <c r="D474" s="639"/>
      <c r="E474" s="639"/>
      <c r="F474" s="640"/>
      <c r="G474" s="291"/>
      <c r="H474" s="266"/>
    </row>
    <row r="475" spans="1:8" s="441" customFormat="1" ht="52.2" x14ac:dyDescent="0.3">
      <c r="A475" s="451">
        <v>15</v>
      </c>
      <c r="B475" s="462" t="s">
        <v>41</v>
      </c>
      <c r="C475" s="452" t="s">
        <v>42</v>
      </c>
      <c r="D475" s="452" t="s">
        <v>43</v>
      </c>
      <c r="E475" s="452" t="s">
        <v>44</v>
      </c>
      <c r="F475" s="453" t="s">
        <v>45</v>
      </c>
      <c r="G475" s="440"/>
      <c r="H475" s="316">
        <f>H476</f>
        <v>137803.326</v>
      </c>
    </row>
    <row r="476" spans="1:8" s="441" customFormat="1" ht="30" customHeight="1" x14ac:dyDescent="0.35">
      <c r="A476" s="431"/>
      <c r="B476" s="442" t="s">
        <v>343</v>
      </c>
      <c r="C476" s="251" t="s">
        <v>42</v>
      </c>
      <c r="D476" s="252" t="s">
        <v>46</v>
      </c>
      <c r="E476" s="252" t="s">
        <v>44</v>
      </c>
      <c r="F476" s="253" t="s">
        <v>45</v>
      </c>
      <c r="G476" s="35"/>
      <c r="H476" s="266">
        <f>H477+H480+H503+H511+H516+H520+H523+H532+H535+H538</f>
        <v>137803.326</v>
      </c>
    </row>
    <row r="477" spans="1:8" s="441" customFormat="1" ht="36" x14ac:dyDescent="0.35">
      <c r="A477" s="431"/>
      <c r="B477" s="442" t="s">
        <v>47</v>
      </c>
      <c r="C477" s="251" t="s">
        <v>42</v>
      </c>
      <c r="D477" s="252" t="s">
        <v>46</v>
      </c>
      <c r="E477" s="252" t="s">
        <v>38</v>
      </c>
      <c r="F477" s="253" t="s">
        <v>45</v>
      </c>
      <c r="G477" s="35"/>
      <c r="H477" s="266">
        <f>H478</f>
        <v>2439.1999999999998</v>
      </c>
    </row>
    <row r="478" spans="1:8" s="441" customFormat="1" ht="36" x14ac:dyDescent="0.35">
      <c r="A478" s="431"/>
      <c r="B478" s="442" t="s">
        <v>48</v>
      </c>
      <c r="C478" s="251" t="s">
        <v>42</v>
      </c>
      <c r="D478" s="252" t="s">
        <v>46</v>
      </c>
      <c r="E478" s="252" t="s">
        <v>38</v>
      </c>
      <c r="F478" s="253" t="s">
        <v>49</v>
      </c>
      <c r="G478" s="35"/>
      <c r="H478" s="266">
        <f>H479</f>
        <v>2439.1999999999998</v>
      </c>
    </row>
    <row r="479" spans="1:8" s="441" customFormat="1" ht="90" x14ac:dyDescent="0.35">
      <c r="A479" s="431"/>
      <c r="B479" s="442" t="s">
        <v>50</v>
      </c>
      <c r="C479" s="251" t="s">
        <v>42</v>
      </c>
      <c r="D479" s="252" t="s">
        <v>46</v>
      </c>
      <c r="E479" s="252" t="s">
        <v>38</v>
      </c>
      <c r="F479" s="253" t="s">
        <v>49</v>
      </c>
      <c r="G479" s="35" t="s">
        <v>51</v>
      </c>
      <c r="H479" s="266">
        <f>'прил9 (ведом 22)'!M23</f>
        <v>2439.1999999999998</v>
      </c>
    </row>
    <row r="480" spans="1:8" s="441" customFormat="1" ht="36" x14ac:dyDescent="0.35">
      <c r="A480" s="431"/>
      <c r="B480" s="442" t="s">
        <v>55</v>
      </c>
      <c r="C480" s="251" t="s">
        <v>42</v>
      </c>
      <c r="D480" s="252" t="s">
        <v>46</v>
      </c>
      <c r="E480" s="252" t="s">
        <v>40</v>
      </c>
      <c r="F480" s="253" t="s">
        <v>45</v>
      </c>
      <c r="G480" s="35"/>
      <c r="H480" s="266">
        <f>H481+H491+H493+H495+H498+H489+H486+H500+H487</f>
        <v>86596.826000000015</v>
      </c>
    </row>
    <row r="481" spans="1:8" s="441" customFormat="1" ht="36" x14ac:dyDescent="0.35">
      <c r="A481" s="431"/>
      <c r="B481" s="442" t="s">
        <v>48</v>
      </c>
      <c r="C481" s="251" t="s">
        <v>42</v>
      </c>
      <c r="D481" s="252" t="s">
        <v>46</v>
      </c>
      <c r="E481" s="252" t="s">
        <v>40</v>
      </c>
      <c r="F481" s="253" t="s">
        <v>49</v>
      </c>
      <c r="G481" s="35"/>
      <c r="H481" s="266">
        <f>SUM(H482:H484)</f>
        <v>79941.326000000015</v>
      </c>
    </row>
    <row r="482" spans="1:8" s="441" customFormat="1" ht="90" x14ac:dyDescent="0.35">
      <c r="A482" s="431"/>
      <c r="B482" s="442" t="s">
        <v>50</v>
      </c>
      <c r="C482" s="251" t="s">
        <v>42</v>
      </c>
      <c r="D482" s="252" t="s">
        <v>46</v>
      </c>
      <c r="E482" s="252" t="s">
        <v>40</v>
      </c>
      <c r="F482" s="253" t="s">
        <v>49</v>
      </c>
      <c r="G482" s="35" t="s">
        <v>51</v>
      </c>
      <c r="H482" s="266">
        <f>'прил9 (ведом 22)'!M29</f>
        <v>73851.800000000017</v>
      </c>
    </row>
    <row r="483" spans="1:8" ht="36" x14ac:dyDescent="0.35">
      <c r="A483" s="431"/>
      <c r="B483" s="442" t="s">
        <v>56</v>
      </c>
      <c r="C483" s="251" t="s">
        <v>42</v>
      </c>
      <c r="D483" s="252" t="s">
        <v>46</v>
      </c>
      <c r="E483" s="252" t="s">
        <v>40</v>
      </c>
      <c r="F483" s="253" t="s">
        <v>49</v>
      </c>
      <c r="G483" s="35" t="s">
        <v>57</v>
      </c>
      <c r="H483" s="266">
        <f>'прил9 (ведом 22)'!M30</f>
        <v>5988.6260000000002</v>
      </c>
    </row>
    <row r="484" spans="1:8" s="441" customFormat="1" ht="18" x14ac:dyDescent="0.35">
      <c r="A484" s="431"/>
      <c r="B484" s="442" t="s">
        <v>58</v>
      </c>
      <c r="C484" s="251" t="s">
        <v>42</v>
      </c>
      <c r="D484" s="252" t="s">
        <v>46</v>
      </c>
      <c r="E484" s="252" t="s">
        <v>40</v>
      </c>
      <c r="F484" s="253" t="s">
        <v>49</v>
      </c>
      <c r="G484" s="35" t="s">
        <v>59</v>
      </c>
      <c r="H484" s="266">
        <f>'прил9 (ведом 22)'!M31</f>
        <v>100.9</v>
      </c>
    </row>
    <row r="485" spans="1:8" s="441" customFormat="1" ht="18" x14ac:dyDescent="0.35">
      <c r="A485" s="431"/>
      <c r="B485" s="264" t="s">
        <v>491</v>
      </c>
      <c r="C485" s="251" t="s">
        <v>42</v>
      </c>
      <c r="D485" s="252" t="s">
        <v>46</v>
      </c>
      <c r="E485" s="252" t="s">
        <v>40</v>
      </c>
      <c r="F485" s="253" t="s">
        <v>394</v>
      </c>
      <c r="G485" s="35"/>
      <c r="H485" s="266">
        <f>H486</f>
        <v>973</v>
      </c>
    </row>
    <row r="486" spans="1:8" s="441" customFormat="1" ht="36" x14ac:dyDescent="0.35">
      <c r="A486" s="431"/>
      <c r="B486" s="264" t="s">
        <v>56</v>
      </c>
      <c r="C486" s="251" t="s">
        <v>42</v>
      </c>
      <c r="D486" s="252" t="s">
        <v>46</v>
      </c>
      <c r="E486" s="252" t="s">
        <v>40</v>
      </c>
      <c r="F486" s="253" t="s">
        <v>394</v>
      </c>
      <c r="G486" s="35" t="s">
        <v>57</v>
      </c>
      <c r="H486" s="266">
        <f>'прил9 (ведом 22)'!M75+'прил9 (ведом 22)'!M33</f>
        <v>973</v>
      </c>
    </row>
    <row r="487" spans="1:8" s="441" customFormat="1" ht="18" x14ac:dyDescent="0.35">
      <c r="A487" s="431"/>
      <c r="B487" s="24" t="s">
        <v>696</v>
      </c>
      <c r="C487" s="644" t="s">
        <v>42</v>
      </c>
      <c r="D487" s="645" t="s">
        <v>46</v>
      </c>
      <c r="E487" s="645" t="s">
        <v>40</v>
      </c>
      <c r="F487" s="646" t="s">
        <v>695</v>
      </c>
      <c r="G487" s="10"/>
      <c r="H487" s="266">
        <f>H488</f>
        <v>45.9</v>
      </c>
    </row>
    <row r="488" spans="1:8" s="441" customFormat="1" ht="36" x14ac:dyDescent="0.35">
      <c r="A488" s="431"/>
      <c r="B488" s="24" t="s">
        <v>56</v>
      </c>
      <c r="C488" s="644" t="s">
        <v>42</v>
      </c>
      <c r="D488" s="645" t="s">
        <v>46</v>
      </c>
      <c r="E488" s="645" t="s">
        <v>40</v>
      </c>
      <c r="F488" s="646" t="s">
        <v>695</v>
      </c>
      <c r="G488" s="10" t="s">
        <v>57</v>
      </c>
      <c r="H488" s="266">
        <f>'прил9 (ведом 22)'!M77</f>
        <v>45.9</v>
      </c>
    </row>
    <row r="489" spans="1:8" s="441" customFormat="1" ht="72" x14ac:dyDescent="0.35">
      <c r="A489" s="431"/>
      <c r="B489" s="264" t="s">
        <v>405</v>
      </c>
      <c r="C489" s="251" t="s">
        <v>42</v>
      </c>
      <c r="D489" s="252" t="s">
        <v>46</v>
      </c>
      <c r="E489" s="252" t="s">
        <v>40</v>
      </c>
      <c r="F489" s="253" t="s">
        <v>404</v>
      </c>
      <c r="G489" s="35"/>
      <c r="H489" s="266">
        <f>H490</f>
        <v>140</v>
      </c>
    </row>
    <row r="490" spans="1:8" s="441" customFormat="1" ht="36" x14ac:dyDescent="0.35">
      <c r="A490" s="431"/>
      <c r="B490" s="264" t="s">
        <v>56</v>
      </c>
      <c r="C490" s="251" t="s">
        <v>42</v>
      </c>
      <c r="D490" s="252" t="s">
        <v>46</v>
      </c>
      <c r="E490" s="252" t="s">
        <v>40</v>
      </c>
      <c r="F490" s="253" t="s">
        <v>404</v>
      </c>
      <c r="G490" s="35" t="s">
        <v>57</v>
      </c>
      <c r="H490" s="266">
        <f>'прил9 (ведом 22)'!M54</f>
        <v>140</v>
      </c>
    </row>
    <row r="491" spans="1:8" ht="90" x14ac:dyDescent="0.35">
      <c r="A491" s="431"/>
      <c r="B491" s="442" t="s">
        <v>468</v>
      </c>
      <c r="C491" s="251" t="s">
        <v>42</v>
      </c>
      <c r="D491" s="252" t="s">
        <v>46</v>
      </c>
      <c r="E491" s="252" t="s">
        <v>40</v>
      </c>
      <c r="F491" s="253" t="s">
        <v>266</v>
      </c>
      <c r="G491" s="35"/>
      <c r="H491" s="266">
        <f>H492</f>
        <v>63</v>
      </c>
    </row>
    <row r="492" spans="1:8" ht="36" x14ac:dyDescent="0.35">
      <c r="A492" s="431"/>
      <c r="B492" s="442" t="s">
        <v>56</v>
      </c>
      <c r="C492" s="251" t="s">
        <v>42</v>
      </c>
      <c r="D492" s="252" t="s">
        <v>46</v>
      </c>
      <c r="E492" s="252" t="s">
        <v>40</v>
      </c>
      <c r="F492" s="253" t="s">
        <v>266</v>
      </c>
      <c r="G492" s="35" t="s">
        <v>57</v>
      </c>
      <c r="H492" s="266">
        <f>'прил9 (ведом 22)'!M35</f>
        <v>63</v>
      </c>
    </row>
    <row r="493" spans="1:8" ht="162.75" customHeight="1" x14ac:dyDescent="0.35">
      <c r="A493" s="431"/>
      <c r="B493" s="523" t="s">
        <v>476</v>
      </c>
      <c r="C493" s="251" t="s">
        <v>42</v>
      </c>
      <c r="D493" s="252" t="s">
        <v>46</v>
      </c>
      <c r="E493" s="252" t="s">
        <v>40</v>
      </c>
      <c r="F493" s="253" t="s">
        <v>60</v>
      </c>
      <c r="G493" s="35"/>
      <c r="H493" s="266">
        <f>H494</f>
        <v>723.40000000000009</v>
      </c>
    </row>
    <row r="494" spans="1:8" ht="90" x14ac:dyDescent="0.35">
      <c r="A494" s="431"/>
      <c r="B494" s="264" t="s">
        <v>50</v>
      </c>
      <c r="C494" s="251" t="s">
        <v>42</v>
      </c>
      <c r="D494" s="252" t="s">
        <v>46</v>
      </c>
      <c r="E494" s="252" t="s">
        <v>40</v>
      </c>
      <c r="F494" s="253" t="s">
        <v>60</v>
      </c>
      <c r="G494" s="35" t="s">
        <v>51</v>
      </c>
      <c r="H494" s="266">
        <f>'прил9 (ведом 22)'!M37</f>
        <v>723.40000000000009</v>
      </c>
    </row>
    <row r="495" spans="1:8" ht="54" x14ac:dyDescent="0.35">
      <c r="A495" s="431"/>
      <c r="B495" s="264" t="s">
        <v>429</v>
      </c>
      <c r="C495" s="251" t="s">
        <v>42</v>
      </c>
      <c r="D495" s="252" t="s">
        <v>46</v>
      </c>
      <c r="E495" s="252" t="s">
        <v>40</v>
      </c>
      <c r="F495" s="253" t="s">
        <v>62</v>
      </c>
      <c r="G495" s="35"/>
      <c r="H495" s="266">
        <f>H496+H497</f>
        <v>723.6</v>
      </c>
    </row>
    <row r="496" spans="1:8" ht="90" x14ac:dyDescent="0.35">
      <c r="A496" s="431"/>
      <c r="B496" s="264" t="s">
        <v>50</v>
      </c>
      <c r="C496" s="251" t="s">
        <v>42</v>
      </c>
      <c r="D496" s="252" t="s">
        <v>46</v>
      </c>
      <c r="E496" s="252" t="s">
        <v>40</v>
      </c>
      <c r="F496" s="253" t="s">
        <v>62</v>
      </c>
      <c r="G496" s="35" t="s">
        <v>51</v>
      </c>
      <c r="H496" s="266">
        <f>'прил9 (ведом 22)'!M39</f>
        <v>719.2</v>
      </c>
    </row>
    <row r="497" spans="1:8" ht="36" x14ac:dyDescent="0.35">
      <c r="A497" s="431"/>
      <c r="B497" s="264" t="s">
        <v>56</v>
      </c>
      <c r="C497" s="251" t="s">
        <v>42</v>
      </c>
      <c r="D497" s="252" t="s">
        <v>46</v>
      </c>
      <c r="E497" s="252" t="s">
        <v>40</v>
      </c>
      <c r="F497" s="253" t="s">
        <v>62</v>
      </c>
      <c r="G497" s="35" t="s">
        <v>57</v>
      </c>
      <c r="H497" s="266">
        <f>'прил9 (ведом 22)'!M40</f>
        <v>4.4000000000000004</v>
      </c>
    </row>
    <row r="498" spans="1:8" ht="162" x14ac:dyDescent="0.35">
      <c r="A498" s="431"/>
      <c r="B498" s="264" t="s">
        <v>383</v>
      </c>
      <c r="C498" s="251" t="s">
        <v>42</v>
      </c>
      <c r="D498" s="252" t="s">
        <v>46</v>
      </c>
      <c r="E498" s="252" t="s">
        <v>40</v>
      </c>
      <c r="F498" s="253" t="s">
        <v>382</v>
      </c>
      <c r="G498" s="35"/>
      <c r="H498" s="266">
        <f>H499</f>
        <v>63</v>
      </c>
    </row>
    <row r="499" spans="1:8" ht="36" x14ac:dyDescent="0.35">
      <c r="A499" s="431"/>
      <c r="B499" s="264" t="s">
        <v>56</v>
      </c>
      <c r="C499" s="251" t="s">
        <v>42</v>
      </c>
      <c r="D499" s="252" t="s">
        <v>46</v>
      </c>
      <c r="E499" s="252" t="s">
        <v>40</v>
      </c>
      <c r="F499" s="253" t="s">
        <v>382</v>
      </c>
      <c r="G499" s="35" t="s">
        <v>57</v>
      </c>
      <c r="H499" s="266">
        <f>'прил9 (ведом 22)'!M42</f>
        <v>63</v>
      </c>
    </row>
    <row r="500" spans="1:8" ht="72" x14ac:dyDescent="0.35">
      <c r="A500" s="431"/>
      <c r="B500" s="442" t="s">
        <v>61</v>
      </c>
      <c r="C500" s="251" t="s">
        <v>42</v>
      </c>
      <c r="D500" s="252" t="s">
        <v>46</v>
      </c>
      <c r="E500" s="252" t="s">
        <v>40</v>
      </c>
      <c r="F500" s="253" t="s">
        <v>611</v>
      </c>
      <c r="G500" s="35"/>
      <c r="H500" s="266">
        <f>H501+H502</f>
        <v>3923.6</v>
      </c>
    </row>
    <row r="501" spans="1:8" ht="90" x14ac:dyDescent="0.35">
      <c r="A501" s="431"/>
      <c r="B501" s="442" t="s">
        <v>50</v>
      </c>
      <c r="C501" s="251" t="s">
        <v>42</v>
      </c>
      <c r="D501" s="252" t="s">
        <v>46</v>
      </c>
      <c r="E501" s="252" t="s">
        <v>40</v>
      </c>
      <c r="F501" s="253" t="s">
        <v>611</v>
      </c>
      <c r="G501" s="35" t="s">
        <v>51</v>
      </c>
      <c r="H501" s="266">
        <f>'прил9 (ведом 22)'!M44</f>
        <v>3732</v>
      </c>
    </row>
    <row r="502" spans="1:8" ht="36" x14ac:dyDescent="0.35">
      <c r="A502" s="431"/>
      <c r="B502" s="264" t="s">
        <v>56</v>
      </c>
      <c r="C502" s="251" t="s">
        <v>42</v>
      </c>
      <c r="D502" s="252" t="s">
        <v>46</v>
      </c>
      <c r="E502" s="252" t="s">
        <v>40</v>
      </c>
      <c r="F502" s="253" t="s">
        <v>611</v>
      </c>
      <c r="G502" s="35" t="s">
        <v>57</v>
      </c>
      <c r="H502" s="266">
        <f>'прил9 (ведом 22)'!M45</f>
        <v>191.6</v>
      </c>
    </row>
    <row r="503" spans="1:8" ht="18" x14ac:dyDescent="0.35">
      <c r="A503" s="431"/>
      <c r="B503" s="442" t="s">
        <v>63</v>
      </c>
      <c r="C503" s="251" t="s">
        <v>42</v>
      </c>
      <c r="D503" s="252" t="s">
        <v>46</v>
      </c>
      <c r="E503" s="252" t="s">
        <v>64</v>
      </c>
      <c r="F503" s="253" t="s">
        <v>45</v>
      </c>
      <c r="G503" s="35"/>
      <c r="H503" s="266">
        <f>H504+H506+H508</f>
        <v>3418.3</v>
      </c>
    </row>
    <row r="504" spans="1:8" ht="36" x14ac:dyDescent="0.35">
      <c r="A504" s="431"/>
      <c r="B504" s="442" t="s">
        <v>48</v>
      </c>
      <c r="C504" s="251" t="s">
        <v>42</v>
      </c>
      <c r="D504" s="252" t="s">
        <v>46</v>
      </c>
      <c r="E504" s="252" t="s">
        <v>64</v>
      </c>
      <c r="F504" s="253" t="s">
        <v>49</v>
      </c>
      <c r="G504" s="35"/>
      <c r="H504" s="266">
        <f>H505</f>
        <v>17.100000000000001</v>
      </c>
    </row>
    <row r="505" spans="1:8" ht="36" x14ac:dyDescent="0.35">
      <c r="A505" s="431"/>
      <c r="B505" s="442" t="s">
        <v>56</v>
      </c>
      <c r="C505" s="251" t="s">
        <v>42</v>
      </c>
      <c r="D505" s="252" t="s">
        <v>46</v>
      </c>
      <c r="E505" s="252" t="s">
        <v>64</v>
      </c>
      <c r="F505" s="253" t="s">
        <v>49</v>
      </c>
      <c r="G505" s="35" t="s">
        <v>57</v>
      </c>
      <c r="H505" s="266">
        <f>'прил9 (ведом 22)'!M48</f>
        <v>17.100000000000001</v>
      </c>
    </row>
    <row r="506" spans="1:8" ht="36" x14ac:dyDescent="0.35">
      <c r="A506" s="431"/>
      <c r="B506" s="24" t="s">
        <v>601</v>
      </c>
      <c r="C506" s="644" t="s">
        <v>42</v>
      </c>
      <c r="D506" s="645" t="s">
        <v>46</v>
      </c>
      <c r="E506" s="645" t="s">
        <v>64</v>
      </c>
      <c r="F506" s="646" t="s">
        <v>600</v>
      </c>
      <c r="G506" s="35"/>
      <c r="H506" s="266">
        <f>H507</f>
        <v>173.4</v>
      </c>
    </row>
    <row r="507" spans="1:8" ht="36" x14ac:dyDescent="0.35">
      <c r="A507" s="431"/>
      <c r="B507" s="24" t="s">
        <v>56</v>
      </c>
      <c r="C507" s="644" t="s">
        <v>42</v>
      </c>
      <c r="D507" s="645" t="s">
        <v>46</v>
      </c>
      <c r="E507" s="645" t="s">
        <v>64</v>
      </c>
      <c r="F507" s="646" t="s">
        <v>600</v>
      </c>
      <c r="G507" s="35" t="s">
        <v>57</v>
      </c>
      <c r="H507" s="266">
        <f>'прил9 (ведом 22)'!M209</f>
        <v>173.4</v>
      </c>
    </row>
    <row r="508" spans="1:8" ht="54" x14ac:dyDescent="0.35">
      <c r="A508" s="431"/>
      <c r="B508" s="264" t="s">
        <v>393</v>
      </c>
      <c r="C508" s="251" t="s">
        <v>42</v>
      </c>
      <c r="D508" s="252" t="s">
        <v>46</v>
      </c>
      <c r="E508" s="252" t="s">
        <v>64</v>
      </c>
      <c r="F508" s="253" t="s">
        <v>392</v>
      </c>
      <c r="G508" s="35"/>
      <c r="H508" s="266">
        <f>H509+H510</f>
        <v>3227.8</v>
      </c>
    </row>
    <row r="509" spans="1:8" ht="36" x14ac:dyDescent="0.35">
      <c r="A509" s="431"/>
      <c r="B509" s="264" t="s">
        <v>56</v>
      </c>
      <c r="C509" s="251" t="s">
        <v>42</v>
      </c>
      <c r="D509" s="252" t="s">
        <v>46</v>
      </c>
      <c r="E509" s="252" t="s">
        <v>64</v>
      </c>
      <c r="F509" s="253" t="s">
        <v>392</v>
      </c>
      <c r="G509" s="35" t="s">
        <v>57</v>
      </c>
      <c r="H509" s="266">
        <f>'прил9 (ведом 22)'!M80</f>
        <v>2999.5</v>
      </c>
    </row>
    <row r="510" spans="1:8" ht="18" x14ac:dyDescent="0.35">
      <c r="A510" s="431"/>
      <c r="B510" s="264" t="s">
        <v>58</v>
      </c>
      <c r="C510" s="251" t="s">
        <v>42</v>
      </c>
      <c r="D510" s="252" t="s">
        <v>46</v>
      </c>
      <c r="E510" s="252" t="s">
        <v>64</v>
      </c>
      <c r="F510" s="253" t="s">
        <v>392</v>
      </c>
      <c r="G510" s="35" t="s">
        <v>59</v>
      </c>
      <c r="H510" s="266">
        <f>'прил9 (ведом 22)'!M81</f>
        <v>228.3</v>
      </c>
    </row>
    <row r="511" spans="1:8" ht="18" x14ac:dyDescent="0.35">
      <c r="A511" s="431"/>
      <c r="B511" s="442" t="s">
        <v>65</v>
      </c>
      <c r="C511" s="251" t="s">
        <v>42</v>
      </c>
      <c r="D511" s="252" t="s">
        <v>46</v>
      </c>
      <c r="E511" s="252" t="s">
        <v>53</v>
      </c>
      <c r="F511" s="253" t="s">
        <v>45</v>
      </c>
      <c r="G511" s="35"/>
      <c r="H511" s="266">
        <f>H512+H514</f>
        <v>3135.6</v>
      </c>
    </row>
    <row r="512" spans="1:8" ht="54" x14ac:dyDescent="0.35">
      <c r="A512" s="431"/>
      <c r="B512" s="468" t="s">
        <v>359</v>
      </c>
      <c r="C512" s="251" t="s">
        <v>42</v>
      </c>
      <c r="D512" s="252" t="s">
        <v>46</v>
      </c>
      <c r="E512" s="252" t="s">
        <v>53</v>
      </c>
      <c r="F512" s="253" t="s">
        <v>106</v>
      </c>
      <c r="G512" s="35"/>
      <c r="H512" s="266">
        <f>H513</f>
        <v>1140.8</v>
      </c>
    </row>
    <row r="513" spans="1:8" ht="36" x14ac:dyDescent="0.35">
      <c r="A513" s="431"/>
      <c r="B513" s="442" t="s">
        <v>56</v>
      </c>
      <c r="C513" s="251" t="s">
        <v>42</v>
      </c>
      <c r="D513" s="252" t="s">
        <v>46</v>
      </c>
      <c r="E513" s="252" t="s">
        <v>53</v>
      </c>
      <c r="F513" s="253" t="s">
        <v>106</v>
      </c>
      <c r="G513" s="35" t="s">
        <v>57</v>
      </c>
      <c r="H513" s="266">
        <f>'прил9 (ведом 22)'!M84</f>
        <v>1140.8</v>
      </c>
    </row>
    <row r="514" spans="1:8" ht="54" x14ac:dyDescent="0.35">
      <c r="A514" s="431"/>
      <c r="B514" s="442" t="s">
        <v>361</v>
      </c>
      <c r="C514" s="251" t="s">
        <v>42</v>
      </c>
      <c r="D514" s="252" t="s">
        <v>46</v>
      </c>
      <c r="E514" s="252" t="s">
        <v>53</v>
      </c>
      <c r="F514" s="253" t="s">
        <v>360</v>
      </c>
      <c r="G514" s="35"/>
      <c r="H514" s="266">
        <f>H515</f>
        <v>1994.8</v>
      </c>
    </row>
    <row r="515" spans="1:8" ht="36" x14ac:dyDescent="0.35">
      <c r="A515" s="431"/>
      <c r="B515" s="442" t="s">
        <v>56</v>
      </c>
      <c r="C515" s="251" t="s">
        <v>42</v>
      </c>
      <c r="D515" s="252" t="s">
        <v>46</v>
      </c>
      <c r="E515" s="252" t="s">
        <v>53</v>
      </c>
      <c r="F515" s="253" t="s">
        <v>360</v>
      </c>
      <c r="G515" s="35" t="s">
        <v>57</v>
      </c>
      <c r="H515" s="266">
        <f>'прил9 (ведом 22)'!M86</f>
        <v>1994.8</v>
      </c>
    </row>
    <row r="516" spans="1:8" ht="51" customHeight="1" x14ac:dyDescent="0.35">
      <c r="A516" s="476"/>
      <c r="B516" s="489" t="s">
        <v>301</v>
      </c>
      <c r="C516" s="456" t="s">
        <v>42</v>
      </c>
      <c r="D516" s="477" t="s">
        <v>46</v>
      </c>
      <c r="E516" s="477" t="s">
        <v>82</v>
      </c>
      <c r="F516" s="490" t="s">
        <v>45</v>
      </c>
      <c r="G516" s="491"/>
      <c r="H516" s="266">
        <f>H517</f>
        <v>5972.8000000000011</v>
      </c>
    </row>
    <row r="517" spans="1:8" ht="36" x14ac:dyDescent="0.35">
      <c r="A517" s="476"/>
      <c r="B517" s="442" t="s">
        <v>490</v>
      </c>
      <c r="C517" s="456" t="s">
        <v>42</v>
      </c>
      <c r="D517" s="477" t="s">
        <v>46</v>
      </c>
      <c r="E517" s="477" t="s">
        <v>82</v>
      </c>
      <c r="F517" s="490" t="s">
        <v>92</v>
      </c>
      <c r="G517" s="491"/>
      <c r="H517" s="266">
        <f>SUM(H518:H519)</f>
        <v>5972.8000000000011</v>
      </c>
    </row>
    <row r="518" spans="1:8" ht="90" x14ac:dyDescent="0.35">
      <c r="A518" s="476"/>
      <c r="B518" s="489" t="s">
        <v>50</v>
      </c>
      <c r="C518" s="456" t="s">
        <v>42</v>
      </c>
      <c r="D518" s="477" t="s">
        <v>46</v>
      </c>
      <c r="E518" s="477" t="s">
        <v>82</v>
      </c>
      <c r="F518" s="490" t="s">
        <v>92</v>
      </c>
      <c r="G518" s="491" t="s">
        <v>51</v>
      </c>
      <c r="H518" s="266">
        <f>'прил9 (ведом 22)'!M387</f>
        <v>5502.2000000000007</v>
      </c>
    </row>
    <row r="519" spans="1:8" ht="36" x14ac:dyDescent="0.35">
      <c r="A519" s="476"/>
      <c r="B519" s="442" t="s">
        <v>56</v>
      </c>
      <c r="C519" s="456" t="s">
        <v>42</v>
      </c>
      <c r="D519" s="477" t="s">
        <v>46</v>
      </c>
      <c r="E519" s="477" t="s">
        <v>82</v>
      </c>
      <c r="F519" s="490" t="s">
        <v>92</v>
      </c>
      <c r="G519" s="491" t="s">
        <v>57</v>
      </c>
      <c r="H519" s="266">
        <f>'прил9 (ведом 22)'!M388</f>
        <v>470.6</v>
      </c>
    </row>
    <row r="520" spans="1:8" ht="38.25" customHeight="1" x14ac:dyDescent="0.35">
      <c r="A520" s="476"/>
      <c r="B520" s="455" t="s">
        <v>387</v>
      </c>
      <c r="C520" s="251" t="s">
        <v>42</v>
      </c>
      <c r="D520" s="252" t="s">
        <v>46</v>
      </c>
      <c r="E520" s="252" t="s">
        <v>80</v>
      </c>
      <c r="F520" s="253" t="s">
        <v>45</v>
      </c>
      <c r="G520" s="35"/>
      <c r="H520" s="266">
        <f>H521</f>
        <v>9.4</v>
      </c>
    </row>
    <row r="521" spans="1:8" ht="18" x14ac:dyDescent="0.35">
      <c r="A521" s="476"/>
      <c r="B521" s="455" t="s">
        <v>388</v>
      </c>
      <c r="C521" s="251" t="s">
        <v>42</v>
      </c>
      <c r="D521" s="252" t="s">
        <v>46</v>
      </c>
      <c r="E521" s="252" t="s">
        <v>80</v>
      </c>
      <c r="F521" s="253" t="s">
        <v>389</v>
      </c>
      <c r="G521" s="35"/>
      <c r="H521" s="266">
        <f>H522</f>
        <v>9.4</v>
      </c>
    </row>
    <row r="522" spans="1:8" ht="36" x14ac:dyDescent="0.35">
      <c r="A522" s="476"/>
      <c r="B522" s="455" t="s">
        <v>390</v>
      </c>
      <c r="C522" s="251" t="s">
        <v>42</v>
      </c>
      <c r="D522" s="252" t="s">
        <v>46</v>
      </c>
      <c r="E522" s="252" t="s">
        <v>80</v>
      </c>
      <c r="F522" s="253" t="s">
        <v>389</v>
      </c>
      <c r="G522" s="35" t="s">
        <v>391</v>
      </c>
      <c r="H522" s="266">
        <f>'прил9 (ведом 22)'!M229</f>
        <v>9.4</v>
      </c>
    </row>
    <row r="523" spans="1:8" ht="36" x14ac:dyDescent="0.35">
      <c r="A523" s="476"/>
      <c r="B523" s="264" t="s">
        <v>335</v>
      </c>
      <c r="C523" s="251" t="s">
        <v>42</v>
      </c>
      <c r="D523" s="252" t="s">
        <v>46</v>
      </c>
      <c r="E523" s="252" t="s">
        <v>89</v>
      </c>
      <c r="F523" s="253" t="s">
        <v>45</v>
      </c>
      <c r="G523" s="491"/>
      <c r="H523" s="266">
        <f>H524+H530+H528</f>
        <v>32290.400000000001</v>
      </c>
    </row>
    <row r="524" spans="1:8" ht="36" x14ac:dyDescent="0.35">
      <c r="A524" s="476"/>
      <c r="B524" s="442" t="s">
        <v>490</v>
      </c>
      <c r="C524" s="251" t="s">
        <v>42</v>
      </c>
      <c r="D524" s="252" t="s">
        <v>46</v>
      </c>
      <c r="E524" s="252" t="s">
        <v>89</v>
      </c>
      <c r="F524" s="253" t="s">
        <v>92</v>
      </c>
      <c r="G524" s="35"/>
      <c r="H524" s="266">
        <f>SUM(H525:H527)</f>
        <v>4841.4999999999991</v>
      </c>
    </row>
    <row r="525" spans="1:8" ht="90" x14ac:dyDescent="0.35">
      <c r="A525" s="476"/>
      <c r="B525" s="264" t="s">
        <v>50</v>
      </c>
      <c r="C525" s="251" t="s">
        <v>42</v>
      </c>
      <c r="D525" s="252" t="s">
        <v>46</v>
      </c>
      <c r="E525" s="252" t="s">
        <v>89</v>
      </c>
      <c r="F525" s="253" t="s">
        <v>92</v>
      </c>
      <c r="G525" s="35" t="s">
        <v>51</v>
      </c>
      <c r="H525" s="266">
        <f>'прил9 (ведом 22)'!M175</f>
        <v>4586.7999999999993</v>
      </c>
    </row>
    <row r="526" spans="1:8" ht="36" x14ac:dyDescent="0.35">
      <c r="A526" s="476"/>
      <c r="B526" s="264" t="s">
        <v>56</v>
      </c>
      <c r="C526" s="251" t="s">
        <v>42</v>
      </c>
      <c r="D526" s="252" t="s">
        <v>46</v>
      </c>
      <c r="E526" s="252" t="s">
        <v>89</v>
      </c>
      <c r="F526" s="253" t="s">
        <v>92</v>
      </c>
      <c r="G526" s="35" t="s">
        <v>57</v>
      </c>
      <c r="H526" s="266">
        <f>'прил9 (ведом 22)'!M176</f>
        <v>204.70000000000002</v>
      </c>
    </row>
    <row r="527" spans="1:8" ht="18" x14ac:dyDescent="0.35">
      <c r="A527" s="476"/>
      <c r="B527" s="24" t="s">
        <v>58</v>
      </c>
      <c r="C527" s="644" t="s">
        <v>42</v>
      </c>
      <c r="D527" s="645" t="s">
        <v>46</v>
      </c>
      <c r="E527" s="645" t="s">
        <v>89</v>
      </c>
      <c r="F527" s="646" t="s">
        <v>92</v>
      </c>
      <c r="G527" s="10" t="s">
        <v>59</v>
      </c>
      <c r="H527" s="266">
        <f>'прил9 (ведом 22)'!M177</f>
        <v>50</v>
      </c>
    </row>
    <row r="528" spans="1:8" ht="36" x14ac:dyDescent="0.35">
      <c r="A528" s="476"/>
      <c r="B528" s="24" t="s">
        <v>644</v>
      </c>
      <c r="C528" s="644" t="s">
        <v>42</v>
      </c>
      <c r="D528" s="645" t="s">
        <v>46</v>
      </c>
      <c r="E528" s="645" t="s">
        <v>89</v>
      </c>
      <c r="F528" s="646" t="s">
        <v>645</v>
      </c>
      <c r="G528" s="10"/>
      <c r="H528" s="266">
        <f>H529</f>
        <v>14092.9</v>
      </c>
    </row>
    <row r="529" spans="1:8" ht="36" x14ac:dyDescent="0.35">
      <c r="A529" s="476"/>
      <c r="B529" s="24" t="s">
        <v>56</v>
      </c>
      <c r="C529" s="644" t="s">
        <v>42</v>
      </c>
      <c r="D529" s="645" t="s">
        <v>46</v>
      </c>
      <c r="E529" s="645" t="s">
        <v>89</v>
      </c>
      <c r="F529" s="646" t="s">
        <v>645</v>
      </c>
      <c r="G529" s="10" t="s">
        <v>57</v>
      </c>
      <c r="H529" s="266">
        <f>'прил9 (ведом 22)'!M179</f>
        <v>14092.9</v>
      </c>
    </row>
    <row r="530" spans="1:8" ht="36" x14ac:dyDescent="0.35">
      <c r="A530" s="476"/>
      <c r="B530" s="264" t="s">
        <v>610</v>
      </c>
      <c r="C530" s="251" t="s">
        <v>42</v>
      </c>
      <c r="D530" s="252" t="s">
        <v>46</v>
      </c>
      <c r="E530" s="252" t="s">
        <v>89</v>
      </c>
      <c r="F530" s="253" t="s">
        <v>609</v>
      </c>
      <c r="G530" s="35"/>
      <c r="H530" s="266">
        <f>H531</f>
        <v>13356</v>
      </c>
    </row>
    <row r="531" spans="1:8" ht="36" x14ac:dyDescent="0.35">
      <c r="A531" s="476"/>
      <c r="B531" s="264" t="s">
        <v>56</v>
      </c>
      <c r="C531" s="251" t="s">
        <v>42</v>
      </c>
      <c r="D531" s="252" t="s">
        <v>46</v>
      </c>
      <c r="E531" s="252" t="s">
        <v>89</v>
      </c>
      <c r="F531" s="253" t="s">
        <v>609</v>
      </c>
      <c r="G531" s="35" t="s">
        <v>57</v>
      </c>
      <c r="H531" s="266">
        <f>'прил9 (ведом 22)'!M181</f>
        <v>13356</v>
      </c>
    </row>
    <row r="532" spans="1:8" ht="36" x14ac:dyDescent="0.35">
      <c r="A532" s="476"/>
      <c r="B532" s="264" t="s">
        <v>504</v>
      </c>
      <c r="C532" s="251" t="s">
        <v>42</v>
      </c>
      <c r="D532" s="252" t="s">
        <v>46</v>
      </c>
      <c r="E532" s="252" t="s">
        <v>432</v>
      </c>
      <c r="F532" s="253" t="s">
        <v>45</v>
      </c>
      <c r="G532" s="35"/>
      <c r="H532" s="266">
        <f>H533</f>
        <v>73.3</v>
      </c>
    </row>
    <row r="533" spans="1:8" ht="36" x14ac:dyDescent="0.35">
      <c r="A533" s="476"/>
      <c r="B533" s="470" t="s">
        <v>128</v>
      </c>
      <c r="C533" s="251" t="s">
        <v>42</v>
      </c>
      <c r="D533" s="252" t="s">
        <v>46</v>
      </c>
      <c r="E533" s="252" t="s">
        <v>432</v>
      </c>
      <c r="F533" s="253" t="s">
        <v>91</v>
      </c>
      <c r="G533" s="35"/>
      <c r="H533" s="266">
        <f>H534</f>
        <v>73.3</v>
      </c>
    </row>
    <row r="534" spans="1:8" ht="36" x14ac:dyDescent="0.35">
      <c r="A534" s="476"/>
      <c r="B534" s="264" t="s">
        <v>56</v>
      </c>
      <c r="C534" s="251" t="s">
        <v>42</v>
      </c>
      <c r="D534" s="252" t="s">
        <v>46</v>
      </c>
      <c r="E534" s="252" t="s">
        <v>432</v>
      </c>
      <c r="F534" s="253" t="s">
        <v>91</v>
      </c>
      <c r="G534" s="35" t="s">
        <v>57</v>
      </c>
      <c r="H534" s="266">
        <f>'прил9 (ведом 22)'!M89</f>
        <v>73.3</v>
      </c>
    </row>
    <row r="535" spans="1:8" ht="36" x14ac:dyDescent="0.35">
      <c r="A535" s="476"/>
      <c r="B535" s="264" t="s">
        <v>494</v>
      </c>
      <c r="C535" s="251" t="s">
        <v>42</v>
      </c>
      <c r="D535" s="252" t="s">
        <v>46</v>
      </c>
      <c r="E535" s="252" t="s">
        <v>42</v>
      </c>
      <c r="F535" s="253" t="s">
        <v>45</v>
      </c>
      <c r="G535" s="35"/>
      <c r="H535" s="266">
        <f>H536</f>
        <v>206.8</v>
      </c>
    </row>
    <row r="536" spans="1:8" ht="18" x14ac:dyDescent="0.35">
      <c r="A536" s="476"/>
      <c r="B536" s="470" t="s">
        <v>492</v>
      </c>
      <c r="C536" s="251" t="s">
        <v>42</v>
      </c>
      <c r="D536" s="252" t="s">
        <v>46</v>
      </c>
      <c r="E536" s="252" t="s">
        <v>42</v>
      </c>
      <c r="F536" s="253" t="s">
        <v>493</v>
      </c>
      <c r="G536" s="35"/>
      <c r="H536" s="266">
        <f>H537</f>
        <v>206.8</v>
      </c>
    </row>
    <row r="537" spans="1:8" ht="39.6" customHeight="1" x14ac:dyDescent="0.35">
      <c r="A537" s="476"/>
      <c r="B537" s="264" t="s">
        <v>56</v>
      </c>
      <c r="C537" s="251" t="s">
        <v>42</v>
      </c>
      <c r="D537" s="252" t="s">
        <v>46</v>
      </c>
      <c r="E537" s="252" t="s">
        <v>42</v>
      </c>
      <c r="F537" s="253" t="s">
        <v>493</v>
      </c>
      <c r="G537" s="35" t="s">
        <v>57</v>
      </c>
      <c r="H537" s="266">
        <f>'прил9 (ведом 22)'!M92</f>
        <v>206.8</v>
      </c>
    </row>
    <row r="538" spans="1:8" ht="18" x14ac:dyDescent="0.35">
      <c r="A538" s="476"/>
      <c r="B538" s="24" t="s">
        <v>381</v>
      </c>
      <c r="C538" s="644" t="s">
        <v>42</v>
      </c>
      <c r="D538" s="645" t="s">
        <v>46</v>
      </c>
      <c r="E538" s="645" t="s">
        <v>704</v>
      </c>
      <c r="F538" s="646" t="s">
        <v>45</v>
      </c>
      <c r="G538" s="10"/>
      <c r="H538" s="266">
        <f>H539</f>
        <v>3660.7</v>
      </c>
    </row>
    <row r="539" spans="1:8" ht="39.6" customHeight="1" x14ac:dyDescent="0.35">
      <c r="A539" s="476"/>
      <c r="B539" s="24" t="s">
        <v>341</v>
      </c>
      <c r="C539" s="644" t="s">
        <v>42</v>
      </c>
      <c r="D539" s="645" t="s">
        <v>46</v>
      </c>
      <c r="E539" s="645" t="s">
        <v>704</v>
      </c>
      <c r="F539" s="646" t="s">
        <v>340</v>
      </c>
      <c r="G539" s="10"/>
      <c r="H539" s="266">
        <f>H540+H541</f>
        <v>3660.7</v>
      </c>
    </row>
    <row r="540" spans="1:8" ht="39.6" customHeight="1" x14ac:dyDescent="0.35">
      <c r="A540" s="476"/>
      <c r="B540" s="24" t="s">
        <v>56</v>
      </c>
      <c r="C540" s="644" t="s">
        <v>42</v>
      </c>
      <c r="D540" s="645" t="s">
        <v>46</v>
      </c>
      <c r="E540" s="645" t="s">
        <v>704</v>
      </c>
      <c r="F540" s="646" t="s">
        <v>340</v>
      </c>
      <c r="G540" s="10" t="s">
        <v>57</v>
      </c>
      <c r="H540" s="266">
        <f>'прил9 (ведом 22)'!M95</f>
        <v>530.70000000000005</v>
      </c>
    </row>
    <row r="541" spans="1:8" ht="18" x14ac:dyDescent="0.35">
      <c r="A541" s="476"/>
      <c r="B541" s="24" t="s">
        <v>58</v>
      </c>
      <c r="C541" s="645" t="s">
        <v>42</v>
      </c>
      <c r="D541" s="645" t="s">
        <v>46</v>
      </c>
      <c r="E541" s="645" t="s">
        <v>704</v>
      </c>
      <c r="F541" s="646" t="s">
        <v>340</v>
      </c>
      <c r="G541" s="10" t="s">
        <v>59</v>
      </c>
      <c r="H541" s="266">
        <f>'прил9 (ведом 22)'!M96</f>
        <v>3130</v>
      </c>
    </row>
    <row r="542" spans="1:8" ht="18" x14ac:dyDescent="0.35">
      <c r="A542" s="476"/>
      <c r="B542" s="442"/>
      <c r="C542" s="252"/>
      <c r="D542" s="252"/>
      <c r="E542" s="252"/>
      <c r="F542" s="253"/>
      <c r="G542" s="35"/>
      <c r="H542" s="266"/>
    </row>
    <row r="543" spans="1:8" ht="55.2" customHeight="1" x14ac:dyDescent="0.3">
      <c r="A543" s="451">
        <v>16</v>
      </c>
      <c r="B543" s="481" t="s">
        <v>234</v>
      </c>
      <c r="C543" s="452" t="s">
        <v>235</v>
      </c>
      <c r="D543" s="452" t="s">
        <v>43</v>
      </c>
      <c r="E543" s="452" t="s">
        <v>44</v>
      </c>
      <c r="F543" s="453" t="s">
        <v>45</v>
      </c>
      <c r="G543" s="440"/>
      <c r="H543" s="316">
        <f>H544</f>
        <v>53.4</v>
      </c>
    </row>
    <row r="544" spans="1:8" ht="20.399999999999999" customHeight="1" x14ac:dyDescent="0.35">
      <c r="A544" s="431"/>
      <c r="B544" s="442" t="s">
        <v>343</v>
      </c>
      <c r="C544" s="251" t="s">
        <v>235</v>
      </c>
      <c r="D544" s="252" t="s">
        <v>46</v>
      </c>
      <c r="E544" s="252" t="s">
        <v>44</v>
      </c>
      <c r="F544" s="253" t="s">
        <v>45</v>
      </c>
      <c r="G544" s="35"/>
      <c r="H544" s="266">
        <f>H545</f>
        <v>53.4</v>
      </c>
    </row>
    <row r="545" spans="1:8" ht="56.4" customHeight="1" x14ac:dyDescent="0.35">
      <c r="A545" s="431"/>
      <c r="B545" s="442" t="s">
        <v>287</v>
      </c>
      <c r="C545" s="251" t="s">
        <v>235</v>
      </c>
      <c r="D545" s="252" t="s">
        <v>46</v>
      </c>
      <c r="E545" s="252" t="s">
        <v>38</v>
      </c>
      <c r="F545" s="253" t="s">
        <v>45</v>
      </c>
      <c r="G545" s="35"/>
      <c r="H545" s="266">
        <f>H546</f>
        <v>53.4</v>
      </c>
    </row>
    <row r="546" spans="1:8" ht="36" x14ac:dyDescent="0.35">
      <c r="A546" s="431"/>
      <c r="B546" s="442" t="s">
        <v>236</v>
      </c>
      <c r="C546" s="251" t="s">
        <v>235</v>
      </c>
      <c r="D546" s="252" t="s">
        <v>46</v>
      </c>
      <c r="E546" s="252" t="s">
        <v>38</v>
      </c>
      <c r="F546" s="253" t="s">
        <v>281</v>
      </c>
      <c r="G546" s="35"/>
      <c r="H546" s="266">
        <f>H547</f>
        <v>53.4</v>
      </c>
    </row>
    <row r="547" spans="1:8" ht="39" customHeight="1" x14ac:dyDescent="0.35">
      <c r="A547" s="431"/>
      <c r="B547" s="442" t="s">
        <v>77</v>
      </c>
      <c r="C547" s="251" t="s">
        <v>235</v>
      </c>
      <c r="D547" s="252" t="s">
        <v>46</v>
      </c>
      <c r="E547" s="252" t="s">
        <v>38</v>
      </c>
      <c r="F547" s="253" t="s">
        <v>281</v>
      </c>
      <c r="G547" s="35" t="s">
        <v>78</v>
      </c>
      <c r="H547" s="266">
        <f>'прил9 (ведом 22)'!M481</f>
        <v>53.4</v>
      </c>
    </row>
    <row r="548" spans="1:8" ht="18" x14ac:dyDescent="0.35">
      <c r="A548" s="476"/>
      <c r="B548" s="442"/>
      <c r="C548" s="252"/>
      <c r="D548" s="252"/>
      <c r="E548" s="252"/>
      <c r="F548" s="252"/>
      <c r="G548" s="35"/>
      <c r="H548" s="266"/>
    </row>
    <row r="549" spans="1:8" ht="34.799999999999997" x14ac:dyDescent="0.3">
      <c r="A549" s="451">
        <v>17</v>
      </c>
      <c r="B549" s="528" t="s">
        <v>131</v>
      </c>
      <c r="C549" s="452" t="s">
        <v>132</v>
      </c>
      <c r="D549" s="452" t="s">
        <v>43</v>
      </c>
      <c r="E549" s="452" t="s">
        <v>44</v>
      </c>
      <c r="F549" s="452" t="s">
        <v>45</v>
      </c>
      <c r="G549" s="440"/>
      <c r="H549" s="316">
        <f>H550</f>
        <v>6007</v>
      </c>
    </row>
    <row r="550" spans="1:8" ht="39.6" customHeight="1" x14ac:dyDescent="0.35">
      <c r="A550" s="431"/>
      <c r="B550" s="469" t="s">
        <v>133</v>
      </c>
      <c r="C550" s="251" t="s">
        <v>132</v>
      </c>
      <c r="D550" s="252" t="s">
        <v>46</v>
      </c>
      <c r="E550" s="252" t="s">
        <v>44</v>
      </c>
      <c r="F550" s="253" t="s">
        <v>45</v>
      </c>
      <c r="G550" s="35"/>
      <c r="H550" s="266">
        <f>H551+H555</f>
        <v>6007</v>
      </c>
    </row>
    <row r="551" spans="1:8" ht="37.950000000000003" customHeight="1" x14ac:dyDescent="0.35">
      <c r="A551" s="431"/>
      <c r="B551" s="442" t="s">
        <v>48</v>
      </c>
      <c r="C551" s="251" t="s">
        <v>132</v>
      </c>
      <c r="D551" s="252" t="s">
        <v>46</v>
      </c>
      <c r="E551" s="252" t="s">
        <v>44</v>
      </c>
      <c r="F551" s="253" t="s">
        <v>49</v>
      </c>
      <c r="G551" s="35"/>
      <c r="H551" s="266">
        <f>H552+H553+H554</f>
        <v>4928.0999999999995</v>
      </c>
    </row>
    <row r="552" spans="1:8" ht="91.95" customHeight="1" x14ac:dyDescent="0.35">
      <c r="A552" s="431"/>
      <c r="B552" s="471" t="s">
        <v>50</v>
      </c>
      <c r="C552" s="251" t="s">
        <v>132</v>
      </c>
      <c r="D552" s="252" t="s">
        <v>46</v>
      </c>
      <c r="E552" s="252" t="s">
        <v>44</v>
      </c>
      <c r="F552" s="253" t="s">
        <v>49</v>
      </c>
      <c r="G552" s="35" t="s">
        <v>51</v>
      </c>
      <c r="H552" s="266">
        <f>'прил9 (ведом 22)'!M333</f>
        <v>4605.2</v>
      </c>
    </row>
    <row r="553" spans="1:8" ht="36" x14ac:dyDescent="0.35">
      <c r="A553" s="431"/>
      <c r="B553" s="442" t="s">
        <v>56</v>
      </c>
      <c r="C553" s="251" t="s">
        <v>132</v>
      </c>
      <c r="D553" s="252" t="s">
        <v>46</v>
      </c>
      <c r="E553" s="252" t="s">
        <v>44</v>
      </c>
      <c r="F553" s="253" t="s">
        <v>49</v>
      </c>
      <c r="G553" s="35" t="s">
        <v>57</v>
      </c>
      <c r="H553" s="266">
        <f>'прил9 (ведом 22)'!M334</f>
        <v>312.89999999999998</v>
      </c>
    </row>
    <row r="554" spans="1:8" ht="18" x14ac:dyDescent="0.35">
      <c r="A554" s="431"/>
      <c r="B554" s="442" t="s">
        <v>58</v>
      </c>
      <c r="C554" s="251" t="s">
        <v>132</v>
      </c>
      <c r="D554" s="252" t="s">
        <v>46</v>
      </c>
      <c r="E554" s="252" t="s">
        <v>44</v>
      </c>
      <c r="F554" s="253" t="s">
        <v>49</v>
      </c>
      <c r="G554" s="35" t="s">
        <v>59</v>
      </c>
      <c r="H554" s="266">
        <f>'прил9 (ведом 22)'!M335</f>
        <v>10</v>
      </c>
    </row>
    <row r="555" spans="1:8" ht="38.4" customHeight="1" x14ac:dyDescent="0.35">
      <c r="A555" s="431"/>
      <c r="B555" s="442" t="s">
        <v>237</v>
      </c>
      <c r="C555" s="251" t="s">
        <v>132</v>
      </c>
      <c r="D555" s="252" t="s">
        <v>46</v>
      </c>
      <c r="E555" s="252" t="s">
        <v>44</v>
      </c>
      <c r="F555" s="253" t="s">
        <v>134</v>
      </c>
      <c r="G555" s="35"/>
      <c r="H555" s="266">
        <f>SUM(H556:H556)</f>
        <v>1078.9000000000001</v>
      </c>
    </row>
    <row r="556" spans="1:8" ht="92.4" customHeight="1" x14ac:dyDescent="0.35">
      <c r="A556" s="431"/>
      <c r="B556" s="442" t="s">
        <v>50</v>
      </c>
      <c r="C556" s="251" t="s">
        <v>132</v>
      </c>
      <c r="D556" s="252" t="s">
        <v>46</v>
      </c>
      <c r="E556" s="252" t="s">
        <v>44</v>
      </c>
      <c r="F556" s="253" t="s">
        <v>134</v>
      </c>
      <c r="G556" s="35" t="s">
        <v>51</v>
      </c>
      <c r="H556" s="266">
        <f>'прил9 (ведом 22)'!M337</f>
        <v>1078.9000000000001</v>
      </c>
    </row>
    <row r="557" spans="1:8" ht="15" customHeight="1" x14ac:dyDescent="0.35">
      <c r="A557" s="431"/>
      <c r="B557" s="264"/>
      <c r="C557" s="639"/>
      <c r="D557" s="639"/>
      <c r="E557" s="639"/>
      <c r="F557" s="639"/>
      <c r="G557" s="291"/>
      <c r="H557" s="266"/>
    </row>
    <row r="558" spans="1:8" ht="87.6" x14ac:dyDescent="0.35">
      <c r="A558" s="451">
        <v>18</v>
      </c>
      <c r="B558" s="524" t="s">
        <v>652</v>
      </c>
      <c r="C558" s="525" t="s">
        <v>650</v>
      </c>
      <c r="D558" s="526" t="s">
        <v>43</v>
      </c>
      <c r="E558" s="526" t="s">
        <v>44</v>
      </c>
      <c r="F558" s="527" t="s">
        <v>45</v>
      </c>
      <c r="G558" s="291"/>
      <c r="H558" s="316">
        <f>H559</f>
        <v>29662.374</v>
      </c>
    </row>
    <row r="559" spans="1:8" ht="90" x14ac:dyDescent="0.35">
      <c r="A559" s="431"/>
      <c r="B559" s="28" t="s">
        <v>653</v>
      </c>
      <c r="C559" s="644" t="s">
        <v>650</v>
      </c>
      <c r="D559" s="645" t="s">
        <v>90</v>
      </c>
      <c r="E559" s="645" t="s">
        <v>44</v>
      </c>
      <c r="F559" s="646" t="s">
        <v>45</v>
      </c>
      <c r="G559" s="10"/>
      <c r="H559" s="266">
        <f>H566+H569+H572+H575+H578+H581+H584+H587+H590+H593+H596+H599+H602+H560+H563</f>
        <v>29662.374</v>
      </c>
    </row>
    <row r="560" spans="1:8" ht="72" x14ac:dyDescent="0.35">
      <c r="A560" s="431"/>
      <c r="B560" s="28" t="s">
        <v>654</v>
      </c>
      <c r="C560" s="644" t="s">
        <v>650</v>
      </c>
      <c r="D560" s="645" t="s">
        <v>90</v>
      </c>
      <c r="E560" s="645" t="s">
        <v>38</v>
      </c>
      <c r="F560" s="646" t="s">
        <v>45</v>
      </c>
      <c r="G560" s="10"/>
      <c r="H560" s="266">
        <f>H561</f>
        <v>5500</v>
      </c>
    </row>
    <row r="561" spans="1:8" ht="72" x14ac:dyDescent="0.35">
      <c r="A561" s="431"/>
      <c r="B561" s="28" t="s">
        <v>655</v>
      </c>
      <c r="C561" s="644" t="s">
        <v>650</v>
      </c>
      <c r="D561" s="645" t="s">
        <v>90</v>
      </c>
      <c r="E561" s="645" t="s">
        <v>38</v>
      </c>
      <c r="F561" s="646" t="s">
        <v>651</v>
      </c>
      <c r="G561" s="10"/>
      <c r="H561" s="266">
        <f>H562</f>
        <v>5500</v>
      </c>
    </row>
    <row r="562" spans="1:8" ht="18" x14ac:dyDescent="0.35">
      <c r="A562" s="431"/>
      <c r="B562" s="28" t="s">
        <v>124</v>
      </c>
      <c r="C562" s="644" t="s">
        <v>650</v>
      </c>
      <c r="D562" s="645" t="s">
        <v>90</v>
      </c>
      <c r="E562" s="645" t="s">
        <v>38</v>
      </c>
      <c r="F562" s="646" t="s">
        <v>651</v>
      </c>
      <c r="G562" s="10" t="s">
        <v>125</v>
      </c>
      <c r="H562" s="266">
        <f>'прил9 (ведом 22)'!M236</f>
        <v>5500</v>
      </c>
    </row>
    <row r="563" spans="1:8" ht="54" x14ac:dyDescent="0.35">
      <c r="A563" s="431"/>
      <c r="B563" s="28" t="s">
        <v>656</v>
      </c>
      <c r="C563" s="644" t="s">
        <v>650</v>
      </c>
      <c r="D563" s="645" t="s">
        <v>90</v>
      </c>
      <c r="E563" s="645" t="s">
        <v>40</v>
      </c>
      <c r="F563" s="646" t="s">
        <v>45</v>
      </c>
      <c r="G563" s="10"/>
      <c r="H563" s="266">
        <f>H564</f>
        <v>2500</v>
      </c>
    </row>
    <row r="564" spans="1:8" ht="72" x14ac:dyDescent="0.35">
      <c r="A564" s="431"/>
      <c r="B564" s="28" t="s">
        <v>655</v>
      </c>
      <c r="C564" s="644" t="s">
        <v>650</v>
      </c>
      <c r="D564" s="645" t="s">
        <v>90</v>
      </c>
      <c r="E564" s="645" t="s">
        <v>40</v>
      </c>
      <c r="F564" s="646" t="s">
        <v>651</v>
      </c>
      <c r="G564" s="10"/>
      <c r="H564" s="266">
        <f>H565</f>
        <v>2500</v>
      </c>
    </row>
    <row r="565" spans="1:8" ht="18" x14ac:dyDescent="0.35">
      <c r="A565" s="431"/>
      <c r="B565" s="28" t="s">
        <v>124</v>
      </c>
      <c r="C565" s="644" t="s">
        <v>650</v>
      </c>
      <c r="D565" s="645" t="s">
        <v>90</v>
      </c>
      <c r="E565" s="645" t="s">
        <v>40</v>
      </c>
      <c r="F565" s="646" t="s">
        <v>651</v>
      </c>
      <c r="G565" s="10" t="s">
        <v>125</v>
      </c>
      <c r="H565" s="266">
        <f>'прил9 (ведом 22)'!M239</f>
        <v>2500</v>
      </c>
    </row>
    <row r="566" spans="1:8" ht="36" x14ac:dyDescent="0.35">
      <c r="A566" s="431"/>
      <c r="B566" s="28" t="s">
        <v>657</v>
      </c>
      <c r="C566" s="644" t="s">
        <v>650</v>
      </c>
      <c r="D566" s="645" t="s">
        <v>90</v>
      </c>
      <c r="E566" s="645" t="s">
        <v>64</v>
      </c>
      <c r="F566" s="646" t="s">
        <v>45</v>
      </c>
      <c r="G566" s="10"/>
      <c r="H566" s="266">
        <f>H567</f>
        <v>3000</v>
      </c>
    </row>
    <row r="567" spans="1:8" ht="72" x14ac:dyDescent="0.35">
      <c r="A567" s="431"/>
      <c r="B567" s="28" t="s">
        <v>655</v>
      </c>
      <c r="C567" s="644" t="s">
        <v>650</v>
      </c>
      <c r="D567" s="645" t="s">
        <v>90</v>
      </c>
      <c r="E567" s="645" t="s">
        <v>64</v>
      </c>
      <c r="F567" s="646" t="s">
        <v>651</v>
      </c>
      <c r="G567" s="10"/>
      <c r="H567" s="266">
        <f>H568</f>
        <v>3000</v>
      </c>
    </row>
    <row r="568" spans="1:8" ht="18" x14ac:dyDescent="0.35">
      <c r="A568" s="431"/>
      <c r="B568" s="28" t="s">
        <v>124</v>
      </c>
      <c r="C568" s="644" t="s">
        <v>650</v>
      </c>
      <c r="D568" s="645" t="s">
        <v>90</v>
      </c>
      <c r="E568" s="645" t="s">
        <v>64</v>
      </c>
      <c r="F568" s="646" t="s">
        <v>651</v>
      </c>
      <c r="G568" s="10" t="s">
        <v>125</v>
      </c>
      <c r="H568" s="266">
        <f>'прил9 (ведом 22)'!M242</f>
        <v>3000</v>
      </c>
    </row>
    <row r="569" spans="1:8" ht="108" x14ac:dyDescent="0.35">
      <c r="A569" s="431"/>
      <c r="B569" s="28" t="s">
        <v>658</v>
      </c>
      <c r="C569" s="644" t="s">
        <v>650</v>
      </c>
      <c r="D569" s="645" t="s">
        <v>90</v>
      </c>
      <c r="E569" s="645" t="s">
        <v>53</v>
      </c>
      <c r="F569" s="646" t="s">
        <v>45</v>
      </c>
      <c r="G569" s="10"/>
      <c r="H569" s="266">
        <f>H570</f>
        <v>4280</v>
      </c>
    </row>
    <row r="570" spans="1:8" ht="72" x14ac:dyDescent="0.35">
      <c r="A570" s="431"/>
      <c r="B570" s="28" t="s">
        <v>655</v>
      </c>
      <c r="C570" s="644" t="s">
        <v>650</v>
      </c>
      <c r="D570" s="645" t="s">
        <v>90</v>
      </c>
      <c r="E570" s="645" t="s">
        <v>53</v>
      </c>
      <c r="F570" s="646" t="s">
        <v>651</v>
      </c>
      <c r="G570" s="10"/>
      <c r="H570" s="266">
        <f>H571</f>
        <v>4280</v>
      </c>
    </row>
    <row r="571" spans="1:8" ht="18" x14ac:dyDescent="0.35">
      <c r="A571" s="431"/>
      <c r="B571" s="28" t="s">
        <v>124</v>
      </c>
      <c r="C571" s="644" t="s">
        <v>650</v>
      </c>
      <c r="D571" s="645" t="s">
        <v>90</v>
      </c>
      <c r="E571" s="645" t="s">
        <v>53</v>
      </c>
      <c r="F571" s="646" t="s">
        <v>651</v>
      </c>
      <c r="G571" s="10" t="s">
        <v>125</v>
      </c>
      <c r="H571" s="266">
        <f>'прил9 (ведом 22)'!M245</f>
        <v>4280</v>
      </c>
    </row>
    <row r="572" spans="1:8" ht="126" x14ac:dyDescent="0.35">
      <c r="A572" s="431"/>
      <c r="B572" s="28" t="s">
        <v>659</v>
      </c>
      <c r="C572" s="644" t="s">
        <v>650</v>
      </c>
      <c r="D572" s="645" t="s">
        <v>90</v>
      </c>
      <c r="E572" s="645" t="s">
        <v>66</v>
      </c>
      <c r="F572" s="646" t="s">
        <v>45</v>
      </c>
      <c r="G572" s="10"/>
      <c r="H572" s="266">
        <f>H573</f>
        <v>400</v>
      </c>
    </row>
    <row r="573" spans="1:8" ht="72" x14ac:dyDescent="0.35">
      <c r="A573" s="431"/>
      <c r="B573" s="28" t="s">
        <v>655</v>
      </c>
      <c r="C573" s="644" t="s">
        <v>650</v>
      </c>
      <c r="D573" s="645" t="s">
        <v>90</v>
      </c>
      <c r="E573" s="645" t="s">
        <v>66</v>
      </c>
      <c r="F573" s="646" t="s">
        <v>651</v>
      </c>
      <c r="G573" s="10"/>
      <c r="H573" s="266">
        <f>H574</f>
        <v>400</v>
      </c>
    </row>
    <row r="574" spans="1:8" ht="18" x14ac:dyDescent="0.35">
      <c r="A574" s="431"/>
      <c r="B574" s="28" t="s">
        <v>124</v>
      </c>
      <c r="C574" s="644" t="s">
        <v>650</v>
      </c>
      <c r="D574" s="645" t="s">
        <v>90</v>
      </c>
      <c r="E574" s="645" t="s">
        <v>66</v>
      </c>
      <c r="F574" s="646" t="s">
        <v>651</v>
      </c>
      <c r="G574" s="10" t="s">
        <v>125</v>
      </c>
      <c r="H574" s="266">
        <f>'прил9 (ведом 22)'!M248</f>
        <v>400</v>
      </c>
    </row>
    <row r="575" spans="1:8" ht="54" x14ac:dyDescent="0.35">
      <c r="A575" s="431"/>
      <c r="B575" s="28" t="s">
        <v>660</v>
      </c>
      <c r="C575" s="644" t="s">
        <v>650</v>
      </c>
      <c r="D575" s="645" t="s">
        <v>90</v>
      </c>
      <c r="E575" s="645" t="s">
        <v>82</v>
      </c>
      <c r="F575" s="646" t="s">
        <v>45</v>
      </c>
      <c r="G575" s="10"/>
      <c r="H575" s="266">
        <f>H576</f>
        <v>36.4</v>
      </c>
    </row>
    <row r="576" spans="1:8" ht="72" x14ac:dyDescent="0.35">
      <c r="A576" s="431"/>
      <c r="B576" s="28" t="s">
        <v>655</v>
      </c>
      <c r="C576" s="644" t="s">
        <v>650</v>
      </c>
      <c r="D576" s="645" t="s">
        <v>90</v>
      </c>
      <c r="E576" s="645" t="s">
        <v>82</v>
      </c>
      <c r="F576" s="646" t="s">
        <v>651</v>
      </c>
      <c r="G576" s="10"/>
      <c r="H576" s="266">
        <f>H577</f>
        <v>36.4</v>
      </c>
    </row>
    <row r="577" spans="1:8" ht="18" x14ac:dyDescent="0.35">
      <c r="A577" s="431"/>
      <c r="B577" s="28" t="s">
        <v>124</v>
      </c>
      <c r="C577" s="644" t="s">
        <v>650</v>
      </c>
      <c r="D577" s="645" t="s">
        <v>90</v>
      </c>
      <c r="E577" s="645" t="s">
        <v>82</v>
      </c>
      <c r="F577" s="646" t="s">
        <v>651</v>
      </c>
      <c r="G577" s="10" t="s">
        <v>125</v>
      </c>
      <c r="H577" s="266">
        <f>'прил9 (ведом 22)'!M251</f>
        <v>36.4</v>
      </c>
    </row>
    <row r="578" spans="1:8" ht="54" x14ac:dyDescent="0.35">
      <c r="A578" s="431"/>
      <c r="B578" s="28" t="s">
        <v>661</v>
      </c>
      <c r="C578" s="644" t="s">
        <v>650</v>
      </c>
      <c r="D578" s="645" t="s">
        <v>90</v>
      </c>
      <c r="E578" s="645" t="s">
        <v>225</v>
      </c>
      <c r="F578" s="646" t="s">
        <v>45</v>
      </c>
      <c r="G578" s="10"/>
      <c r="H578" s="266">
        <f>H579</f>
        <v>56.6</v>
      </c>
    </row>
    <row r="579" spans="1:8" ht="72" x14ac:dyDescent="0.35">
      <c r="A579" s="431"/>
      <c r="B579" s="28" t="s">
        <v>655</v>
      </c>
      <c r="C579" s="644" t="s">
        <v>650</v>
      </c>
      <c r="D579" s="645" t="s">
        <v>90</v>
      </c>
      <c r="E579" s="645" t="s">
        <v>225</v>
      </c>
      <c r="F579" s="646" t="s">
        <v>651</v>
      </c>
      <c r="G579" s="10"/>
      <c r="H579" s="266">
        <f>H580</f>
        <v>56.6</v>
      </c>
    </row>
    <row r="580" spans="1:8" ht="18" x14ac:dyDescent="0.35">
      <c r="A580" s="431"/>
      <c r="B580" s="28" t="s">
        <v>124</v>
      </c>
      <c r="C580" s="644" t="s">
        <v>650</v>
      </c>
      <c r="D580" s="645" t="s">
        <v>90</v>
      </c>
      <c r="E580" s="645" t="s">
        <v>225</v>
      </c>
      <c r="F580" s="646" t="s">
        <v>651</v>
      </c>
      <c r="G580" s="10" t="s">
        <v>125</v>
      </c>
      <c r="H580" s="266">
        <f>'прил9 (ведом 22)'!M254</f>
        <v>56.6</v>
      </c>
    </row>
    <row r="581" spans="1:8" ht="36" x14ac:dyDescent="0.35">
      <c r="A581" s="431"/>
      <c r="B581" s="28" t="s">
        <v>662</v>
      </c>
      <c r="C581" s="644" t="s">
        <v>650</v>
      </c>
      <c r="D581" s="645" t="s">
        <v>90</v>
      </c>
      <c r="E581" s="645" t="s">
        <v>227</v>
      </c>
      <c r="F581" s="646" t="s">
        <v>45</v>
      </c>
      <c r="G581" s="10"/>
      <c r="H581" s="266">
        <f>H582</f>
        <v>3265.41</v>
      </c>
    </row>
    <row r="582" spans="1:8" ht="72" x14ac:dyDescent="0.35">
      <c r="A582" s="431"/>
      <c r="B582" s="28" t="s">
        <v>655</v>
      </c>
      <c r="C582" s="644" t="s">
        <v>650</v>
      </c>
      <c r="D582" s="645" t="s">
        <v>90</v>
      </c>
      <c r="E582" s="645" t="s">
        <v>227</v>
      </c>
      <c r="F582" s="646" t="s">
        <v>651</v>
      </c>
      <c r="G582" s="10"/>
      <c r="H582" s="266">
        <f>H583</f>
        <v>3265.41</v>
      </c>
    </row>
    <row r="583" spans="1:8" ht="18" x14ac:dyDescent="0.35">
      <c r="A583" s="431"/>
      <c r="B583" s="28" t="s">
        <v>124</v>
      </c>
      <c r="C583" s="644" t="s">
        <v>650</v>
      </c>
      <c r="D583" s="645" t="s">
        <v>90</v>
      </c>
      <c r="E583" s="645" t="s">
        <v>227</v>
      </c>
      <c r="F583" s="646" t="s">
        <v>651</v>
      </c>
      <c r="G583" s="10" t="s">
        <v>125</v>
      </c>
      <c r="H583" s="266">
        <f>'прил9 (ведом 22)'!M257</f>
        <v>3265.41</v>
      </c>
    </row>
    <row r="584" spans="1:8" ht="54" x14ac:dyDescent="0.35">
      <c r="A584" s="431"/>
      <c r="B584" s="28" t="s">
        <v>685</v>
      </c>
      <c r="C584" s="644" t="s">
        <v>650</v>
      </c>
      <c r="D584" s="645" t="s">
        <v>90</v>
      </c>
      <c r="E584" s="645" t="s">
        <v>80</v>
      </c>
      <c r="F584" s="646" t="s">
        <v>45</v>
      </c>
      <c r="G584" s="10"/>
      <c r="H584" s="266">
        <f>H585</f>
        <v>1200</v>
      </c>
    </row>
    <row r="585" spans="1:8" ht="72" x14ac:dyDescent="0.35">
      <c r="A585" s="431"/>
      <c r="B585" s="28" t="s">
        <v>655</v>
      </c>
      <c r="C585" s="644" t="s">
        <v>650</v>
      </c>
      <c r="D585" s="645" t="s">
        <v>90</v>
      </c>
      <c r="E585" s="645" t="s">
        <v>80</v>
      </c>
      <c r="F585" s="646" t="s">
        <v>651</v>
      </c>
      <c r="G585" s="10"/>
      <c r="H585" s="266">
        <f>H586</f>
        <v>1200</v>
      </c>
    </row>
    <row r="586" spans="1:8" ht="18" x14ac:dyDescent="0.35">
      <c r="A586" s="431"/>
      <c r="B586" s="28" t="s">
        <v>124</v>
      </c>
      <c r="C586" s="644" t="s">
        <v>650</v>
      </c>
      <c r="D586" s="645" t="s">
        <v>90</v>
      </c>
      <c r="E586" s="645" t="s">
        <v>80</v>
      </c>
      <c r="F586" s="646" t="s">
        <v>651</v>
      </c>
      <c r="G586" s="10" t="s">
        <v>125</v>
      </c>
      <c r="H586" s="266">
        <f>'прил9 (ведом 22)'!M260</f>
        <v>1200</v>
      </c>
    </row>
    <row r="587" spans="1:8" ht="108" x14ac:dyDescent="0.35">
      <c r="A587" s="431"/>
      <c r="B587" s="28" t="s">
        <v>686</v>
      </c>
      <c r="C587" s="644" t="s">
        <v>650</v>
      </c>
      <c r="D587" s="645" t="s">
        <v>90</v>
      </c>
      <c r="E587" s="645" t="s">
        <v>105</v>
      </c>
      <c r="F587" s="646" t="s">
        <v>45</v>
      </c>
      <c r="G587" s="10"/>
      <c r="H587" s="266">
        <f>H588</f>
        <v>2200</v>
      </c>
    </row>
    <row r="588" spans="1:8" ht="72" x14ac:dyDescent="0.35">
      <c r="A588" s="431"/>
      <c r="B588" s="28" t="s">
        <v>655</v>
      </c>
      <c r="C588" s="644" t="s">
        <v>650</v>
      </c>
      <c r="D588" s="645" t="s">
        <v>90</v>
      </c>
      <c r="E588" s="645" t="s">
        <v>105</v>
      </c>
      <c r="F588" s="646" t="s">
        <v>651</v>
      </c>
      <c r="G588" s="10"/>
      <c r="H588" s="266">
        <f>H589</f>
        <v>2200</v>
      </c>
    </row>
    <row r="589" spans="1:8" ht="18" x14ac:dyDescent="0.35">
      <c r="A589" s="431"/>
      <c r="B589" s="28" t="s">
        <v>124</v>
      </c>
      <c r="C589" s="644" t="s">
        <v>650</v>
      </c>
      <c r="D589" s="645" t="s">
        <v>90</v>
      </c>
      <c r="E589" s="645" t="s">
        <v>105</v>
      </c>
      <c r="F589" s="646" t="s">
        <v>651</v>
      </c>
      <c r="G589" s="10" t="s">
        <v>125</v>
      </c>
      <c r="H589" s="266">
        <f>'прил9 (ведом 22)'!M263</f>
        <v>2200</v>
      </c>
    </row>
    <row r="590" spans="1:8" ht="54" x14ac:dyDescent="0.35">
      <c r="A590" s="431"/>
      <c r="B590" s="28" t="s">
        <v>687</v>
      </c>
      <c r="C590" s="644" t="s">
        <v>650</v>
      </c>
      <c r="D590" s="645" t="s">
        <v>90</v>
      </c>
      <c r="E590" s="645" t="s">
        <v>68</v>
      </c>
      <c r="F590" s="646" t="s">
        <v>45</v>
      </c>
      <c r="G590" s="10"/>
      <c r="H590" s="266">
        <f>H591</f>
        <v>3213.1489999999999</v>
      </c>
    </row>
    <row r="591" spans="1:8" ht="72" x14ac:dyDescent="0.35">
      <c r="A591" s="431"/>
      <c r="B591" s="28" t="s">
        <v>655</v>
      </c>
      <c r="C591" s="644" t="s">
        <v>650</v>
      </c>
      <c r="D591" s="645" t="s">
        <v>90</v>
      </c>
      <c r="E591" s="645" t="s">
        <v>68</v>
      </c>
      <c r="F591" s="646" t="s">
        <v>651</v>
      </c>
      <c r="G591" s="10"/>
      <c r="H591" s="266">
        <f>H592</f>
        <v>3213.1489999999999</v>
      </c>
    </row>
    <row r="592" spans="1:8" ht="18" x14ac:dyDescent="0.35">
      <c r="A592" s="431"/>
      <c r="B592" s="28" t="s">
        <v>124</v>
      </c>
      <c r="C592" s="644" t="s">
        <v>650</v>
      </c>
      <c r="D592" s="645" t="s">
        <v>90</v>
      </c>
      <c r="E592" s="645" t="s">
        <v>68</v>
      </c>
      <c r="F592" s="646" t="s">
        <v>651</v>
      </c>
      <c r="G592" s="10" t="s">
        <v>125</v>
      </c>
      <c r="H592" s="266">
        <f>'прил9 (ведом 22)'!M266</f>
        <v>3213.1489999999999</v>
      </c>
    </row>
    <row r="593" spans="1:8" ht="54" x14ac:dyDescent="0.35">
      <c r="A593" s="431"/>
      <c r="B593" s="28" t="s">
        <v>688</v>
      </c>
      <c r="C593" s="644" t="s">
        <v>650</v>
      </c>
      <c r="D593" s="645" t="s">
        <v>90</v>
      </c>
      <c r="E593" s="645" t="s">
        <v>101</v>
      </c>
      <c r="F593" s="646" t="s">
        <v>45</v>
      </c>
      <c r="G593" s="10"/>
      <c r="H593" s="266">
        <f>H594</f>
        <v>2100</v>
      </c>
    </row>
    <row r="594" spans="1:8" ht="72" x14ac:dyDescent="0.35">
      <c r="A594" s="431"/>
      <c r="B594" s="28" t="s">
        <v>655</v>
      </c>
      <c r="C594" s="644" t="s">
        <v>650</v>
      </c>
      <c r="D594" s="645" t="s">
        <v>90</v>
      </c>
      <c r="E594" s="645" t="s">
        <v>101</v>
      </c>
      <c r="F594" s="646" t="s">
        <v>651</v>
      </c>
      <c r="G594" s="10"/>
      <c r="H594" s="266">
        <f>H595</f>
        <v>2100</v>
      </c>
    </row>
    <row r="595" spans="1:8" ht="18" x14ac:dyDescent="0.35">
      <c r="A595" s="431"/>
      <c r="B595" s="28" t="s">
        <v>124</v>
      </c>
      <c r="C595" s="644" t="s">
        <v>650</v>
      </c>
      <c r="D595" s="645" t="s">
        <v>90</v>
      </c>
      <c r="E595" s="645" t="s">
        <v>101</v>
      </c>
      <c r="F595" s="646" t="s">
        <v>651</v>
      </c>
      <c r="G595" s="10" t="s">
        <v>125</v>
      </c>
      <c r="H595" s="266">
        <f>'прил9 (ведом 22)'!M269</f>
        <v>2100</v>
      </c>
    </row>
    <row r="596" spans="1:8" ht="36" x14ac:dyDescent="0.35">
      <c r="A596" s="431"/>
      <c r="B596" s="28" t="s">
        <v>700</v>
      </c>
      <c r="C596" s="644" t="s">
        <v>650</v>
      </c>
      <c r="D596" s="645" t="s">
        <v>90</v>
      </c>
      <c r="E596" s="645" t="s">
        <v>72</v>
      </c>
      <c r="F596" s="646" t="s">
        <v>45</v>
      </c>
      <c r="G596" s="10"/>
      <c r="H596" s="266">
        <f>H597</f>
        <v>186.815</v>
      </c>
    </row>
    <row r="597" spans="1:8" ht="72" x14ac:dyDescent="0.35">
      <c r="A597" s="431"/>
      <c r="B597" s="28" t="s">
        <v>655</v>
      </c>
      <c r="C597" s="644" t="s">
        <v>650</v>
      </c>
      <c r="D597" s="645" t="s">
        <v>90</v>
      </c>
      <c r="E597" s="645" t="s">
        <v>72</v>
      </c>
      <c r="F597" s="646" t="s">
        <v>651</v>
      </c>
      <c r="G597" s="10"/>
      <c r="H597" s="266">
        <f>H598</f>
        <v>186.815</v>
      </c>
    </row>
    <row r="598" spans="1:8" ht="18" x14ac:dyDescent="0.35">
      <c r="A598" s="431"/>
      <c r="B598" s="28" t="s">
        <v>124</v>
      </c>
      <c r="C598" s="644" t="s">
        <v>650</v>
      </c>
      <c r="D598" s="645" t="s">
        <v>90</v>
      </c>
      <c r="E598" s="645" t="s">
        <v>72</v>
      </c>
      <c r="F598" s="646" t="s">
        <v>651</v>
      </c>
      <c r="G598" s="10" t="s">
        <v>125</v>
      </c>
      <c r="H598" s="266">
        <f>'прил9 (ведом 22)'!M272</f>
        <v>186.815</v>
      </c>
    </row>
    <row r="599" spans="1:8" ht="72" x14ac:dyDescent="0.35">
      <c r="A599" s="431"/>
      <c r="B599" s="28" t="s">
        <v>702</v>
      </c>
      <c r="C599" s="644" t="s">
        <v>650</v>
      </c>
      <c r="D599" s="645" t="s">
        <v>90</v>
      </c>
      <c r="E599" s="645" t="s">
        <v>74</v>
      </c>
      <c r="F599" s="646" t="s">
        <v>45</v>
      </c>
      <c r="G599" s="10"/>
      <c r="H599" s="266">
        <f>H600</f>
        <v>1504</v>
      </c>
    </row>
    <row r="600" spans="1:8" ht="72" x14ac:dyDescent="0.35">
      <c r="A600" s="431"/>
      <c r="B600" s="28" t="s">
        <v>655</v>
      </c>
      <c r="C600" s="644" t="s">
        <v>650</v>
      </c>
      <c r="D600" s="645" t="s">
        <v>90</v>
      </c>
      <c r="E600" s="645" t="s">
        <v>74</v>
      </c>
      <c r="F600" s="646" t="s">
        <v>651</v>
      </c>
      <c r="G600" s="10"/>
      <c r="H600" s="266">
        <f>H601</f>
        <v>1504</v>
      </c>
    </row>
    <row r="601" spans="1:8" ht="18" x14ac:dyDescent="0.35">
      <c r="A601" s="431"/>
      <c r="B601" s="28" t="s">
        <v>124</v>
      </c>
      <c r="C601" s="644" t="s">
        <v>650</v>
      </c>
      <c r="D601" s="645" t="s">
        <v>90</v>
      </c>
      <c r="E601" s="645" t="s">
        <v>74</v>
      </c>
      <c r="F601" s="646" t="s">
        <v>651</v>
      </c>
      <c r="G601" s="10" t="s">
        <v>125</v>
      </c>
      <c r="H601" s="266">
        <f>'прил9 (ведом 22)'!M278</f>
        <v>1504</v>
      </c>
    </row>
    <row r="602" spans="1:8" ht="108" x14ac:dyDescent="0.35">
      <c r="A602" s="431"/>
      <c r="B602" s="28" t="s">
        <v>703</v>
      </c>
      <c r="C602" s="644" t="s">
        <v>650</v>
      </c>
      <c r="D602" s="645" t="s">
        <v>90</v>
      </c>
      <c r="E602" s="645" t="s">
        <v>432</v>
      </c>
      <c r="F602" s="646" t="s">
        <v>45</v>
      </c>
      <c r="G602" s="10"/>
      <c r="H602" s="266">
        <f>H603</f>
        <v>220</v>
      </c>
    </row>
    <row r="603" spans="1:8" ht="72" x14ac:dyDescent="0.35">
      <c r="A603" s="431"/>
      <c r="B603" s="28" t="s">
        <v>655</v>
      </c>
      <c r="C603" s="644" t="s">
        <v>650</v>
      </c>
      <c r="D603" s="645" t="s">
        <v>90</v>
      </c>
      <c r="E603" s="645" t="s">
        <v>432</v>
      </c>
      <c r="F603" s="646" t="s">
        <v>651</v>
      </c>
      <c r="G603" s="10"/>
      <c r="H603" s="266">
        <f>H604</f>
        <v>220</v>
      </c>
    </row>
    <row r="604" spans="1:8" ht="18" x14ac:dyDescent="0.35">
      <c r="A604" s="431"/>
      <c r="B604" s="28" t="s">
        <v>124</v>
      </c>
      <c r="C604" s="644" t="s">
        <v>650</v>
      </c>
      <c r="D604" s="645" t="s">
        <v>90</v>
      </c>
      <c r="E604" s="645" t="s">
        <v>432</v>
      </c>
      <c r="F604" s="646" t="s">
        <v>651</v>
      </c>
      <c r="G604" s="10" t="s">
        <v>125</v>
      </c>
      <c r="H604" s="266">
        <f>'прил9 (ведом 22)'!M281</f>
        <v>220</v>
      </c>
    </row>
    <row r="605" spans="1:8" ht="14.4" customHeight="1" x14ac:dyDescent="0.35">
      <c r="A605" s="431"/>
      <c r="B605" s="264"/>
      <c r="C605" s="639"/>
      <c r="D605" s="639"/>
      <c r="E605" s="639"/>
      <c r="F605" s="639"/>
      <c r="G605" s="291"/>
      <c r="H605" s="266"/>
    </row>
    <row r="606" spans="1:8" s="441" customFormat="1" ht="37.200000000000003" customHeight="1" x14ac:dyDescent="0.3">
      <c r="A606" s="451">
        <v>19</v>
      </c>
      <c r="B606" s="575" t="s">
        <v>474</v>
      </c>
      <c r="C606" s="452" t="s">
        <v>69</v>
      </c>
      <c r="D606" s="452" t="s">
        <v>43</v>
      </c>
      <c r="E606" s="452" t="s">
        <v>44</v>
      </c>
      <c r="F606" s="452" t="s">
        <v>45</v>
      </c>
      <c r="G606" s="440"/>
      <c r="H606" s="316">
        <f>H607</f>
        <v>15585.422799999997</v>
      </c>
    </row>
    <row r="607" spans="1:8" ht="18.600000000000001" customHeight="1" x14ac:dyDescent="0.35">
      <c r="A607" s="431"/>
      <c r="B607" s="471" t="s">
        <v>471</v>
      </c>
      <c r="C607" s="251" t="s">
        <v>69</v>
      </c>
      <c r="D607" s="252" t="s">
        <v>46</v>
      </c>
      <c r="E607" s="252" t="s">
        <v>44</v>
      </c>
      <c r="F607" s="253" t="s">
        <v>45</v>
      </c>
      <c r="G607" s="35"/>
      <c r="H607" s="266">
        <f>H608+H610</f>
        <v>15585.422799999997</v>
      </c>
    </row>
    <row r="608" spans="1:8" ht="36" x14ac:dyDescent="0.35">
      <c r="A608" s="431"/>
      <c r="B608" s="442" t="s">
        <v>469</v>
      </c>
      <c r="C608" s="251" t="s">
        <v>69</v>
      </c>
      <c r="D608" s="252" t="s">
        <v>46</v>
      </c>
      <c r="E608" s="252" t="s">
        <v>44</v>
      </c>
      <c r="F608" s="253" t="s">
        <v>70</v>
      </c>
      <c r="G608" s="35"/>
      <c r="H608" s="266">
        <f>H609</f>
        <v>5694.6227999999983</v>
      </c>
    </row>
    <row r="609" spans="1:8" ht="18" x14ac:dyDescent="0.35">
      <c r="A609" s="431"/>
      <c r="B609" s="442" t="s">
        <v>58</v>
      </c>
      <c r="C609" s="251" t="s">
        <v>69</v>
      </c>
      <c r="D609" s="252" t="s">
        <v>46</v>
      </c>
      <c r="E609" s="252" t="s">
        <v>44</v>
      </c>
      <c r="F609" s="253" t="s">
        <v>70</v>
      </c>
      <c r="G609" s="35" t="s">
        <v>59</v>
      </c>
      <c r="H609" s="266">
        <f>'прил9 (ведом 22)'!M59</f>
        <v>5694.6227999999983</v>
      </c>
    </row>
    <row r="610" spans="1:8" ht="36" x14ac:dyDescent="0.35">
      <c r="A610" s="103"/>
      <c r="B610" s="654" t="s">
        <v>705</v>
      </c>
      <c r="C610" s="655" t="s">
        <v>69</v>
      </c>
      <c r="D610" s="656" t="s">
        <v>46</v>
      </c>
      <c r="E610" s="656" t="s">
        <v>44</v>
      </c>
      <c r="F610" s="657" t="s">
        <v>706</v>
      </c>
      <c r="G610" s="658"/>
      <c r="H610" s="659">
        <f>H611</f>
        <v>9890.7999999999993</v>
      </c>
    </row>
    <row r="611" spans="1:8" ht="18" x14ac:dyDescent="0.35">
      <c r="A611" s="103"/>
      <c r="B611" s="654" t="s">
        <v>124</v>
      </c>
      <c r="C611" s="655" t="s">
        <v>69</v>
      </c>
      <c r="D611" s="656" t="s">
        <v>46</v>
      </c>
      <c r="E611" s="656" t="s">
        <v>44</v>
      </c>
      <c r="F611" s="657" t="s">
        <v>706</v>
      </c>
      <c r="G611" s="658">
        <v>500</v>
      </c>
      <c r="H611" s="659">
        <f>'прил9 (ведом 22)'!M285</f>
        <v>9890.7999999999993</v>
      </c>
    </row>
    <row r="612" spans="1:8" ht="14.4" customHeight="1" x14ac:dyDescent="0.35">
      <c r="A612" s="576"/>
      <c r="B612" s="577"/>
      <c r="C612" s="93"/>
      <c r="D612" s="93"/>
      <c r="E612" s="93"/>
      <c r="F612" s="93"/>
      <c r="G612" s="93"/>
      <c r="H612" s="578"/>
    </row>
    <row r="613" spans="1:8" ht="18" x14ac:dyDescent="0.35">
      <c r="A613" s="576"/>
      <c r="B613" s="577"/>
      <c r="C613" s="93"/>
      <c r="D613" s="93"/>
      <c r="E613" s="93"/>
      <c r="F613" s="93"/>
      <c r="G613" s="93"/>
      <c r="H613" s="578"/>
    </row>
    <row r="614" spans="1:8" ht="17.399999999999999" x14ac:dyDescent="0.3">
      <c r="A614" s="427"/>
      <c r="B614" s="51"/>
      <c r="C614" s="52"/>
      <c r="D614" s="52"/>
      <c r="E614" s="52"/>
      <c r="F614" s="52"/>
      <c r="G614" s="53"/>
    </row>
    <row r="615" spans="1:8" ht="18" x14ac:dyDescent="0.35">
      <c r="A615" s="50" t="s">
        <v>384</v>
      </c>
      <c r="B615" s="51"/>
      <c r="C615" s="52"/>
      <c r="D615" s="52"/>
      <c r="E615" s="52"/>
      <c r="F615" s="52"/>
      <c r="G615" s="53"/>
    </row>
    <row r="616" spans="1:8" ht="18" x14ac:dyDescent="0.35">
      <c r="A616" s="50" t="s">
        <v>385</v>
      </c>
      <c r="B616" s="51"/>
      <c r="C616" s="52"/>
      <c r="D616" s="52"/>
      <c r="E616" s="52"/>
      <c r="F616" s="52"/>
      <c r="G616" s="53"/>
    </row>
    <row r="617" spans="1:8" ht="18" x14ac:dyDescent="0.35">
      <c r="A617" s="56" t="s">
        <v>386</v>
      </c>
      <c r="B617" s="51"/>
      <c r="C617" s="55"/>
      <c r="D617" s="52"/>
      <c r="E617" s="52"/>
      <c r="F617" s="52"/>
      <c r="G617" s="55"/>
      <c r="H617" s="57" t="s">
        <v>407</v>
      </c>
    </row>
    <row r="618" spans="1:8" x14ac:dyDescent="0.3">
      <c r="A618" s="427"/>
      <c r="B618" s="51"/>
      <c r="C618" s="52"/>
      <c r="D618" s="52"/>
      <c r="E618" s="52"/>
      <c r="F618" s="52"/>
    </row>
    <row r="619" spans="1:8" x14ac:dyDescent="0.3">
      <c r="A619" s="427"/>
      <c r="B619" s="51"/>
      <c r="C619" s="52"/>
      <c r="D619" s="52"/>
      <c r="E619" s="52"/>
      <c r="F619" s="52"/>
    </row>
    <row r="620" spans="1:8" x14ac:dyDescent="0.3">
      <c r="A620" s="427"/>
      <c r="B620" s="51"/>
      <c r="C620" s="52"/>
      <c r="D620" s="52"/>
      <c r="E620" s="52"/>
      <c r="F620" s="52"/>
    </row>
    <row r="621" spans="1:8" ht="17.399999999999999" x14ac:dyDescent="0.3">
      <c r="A621" s="427"/>
      <c r="B621" s="51"/>
      <c r="C621" s="52"/>
      <c r="D621" s="52"/>
      <c r="E621" s="52"/>
      <c r="F621" s="52"/>
      <c r="G621" s="53"/>
    </row>
    <row r="622" spans="1:8" hidden="1" x14ac:dyDescent="0.3">
      <c r="B622" s="535" t="s">
        <v>238</v>
      </c>
      <c r="H622" s="426">
        <f>H15+H145+H206+H247+H272+H312+H333+H374+H432+H441+H449+H459+H469+H475+H407+H543</f>
        <v>2065834.6089999997</v>
      </c>
    </row>
    <row r="623" spans="1:8" hidden="1" x14ac:dyDescent="0.3"/>
    <row r="624" spans="1:8" hidden="1" x14ac:dyDescent="0.3">
      <c r="H624" s="426">
        <f>(H622/H14)*100</f>
        <v>97.578997057961658</v>
      </c>
    </row>
    <row r="625" spans="1:8" hidden="1" x14ac:dyDescent="0.3"/>
    <row r="626" spans="1:8" hidden="1" x14ac:dyDescent="0.3">
      <c r="B626" s="535" t="s">
        <v>239</v>
      </c>
      <c r="H626" s="426">
        <f>H549+H606</f>
        <v>21592.422799999997</v>
      </c>
    </row>
    <row r="627" spans="1:8" hidden="1" x14ac:dyDescent="0.3">
      <c r="H627" s="426">
        <f>(H626/H628)*100</f>
        <v>1.0344037166837268</v>
      </c>
    </row>
    <row r="628" spans="1:8" hidden="1" x14ac:dyDescent="0.3">
      <c r="H628" s="426">
        <f>H622+H626</f>
        <v>2087427.0317999998</v>
      </c>
    </row>
    <row r="629" spans="1:8" s="630" customFormat="1" x14ac:dyDescent="0.3">
      <c r="A629" s="631"/>
      <c r="B629" s="632"/>
      <c r="C629" s="633"/>
      <c r="D629" s="633"/>
      <c r="E629" s="633"/>
      <c r="F629" s="633"/>
      <c r="G629" s="634"/>
      <c r="H629" s="635"/>
    </row>
  </sheetData>
  <autoFilter ref="A4:H628"/>
  <mergeCells count="3">
    <mergeCell ref="A9:H9"/>
    <mergeCell ref="C12:F12"/>
    <mergeCell ref="C13:F13"/>
  </mergeCells>
  <printOptions horizontalCentered="1"/>
  <pageMargins left="1.1811023622047245" right="0.39370078740157483" top="0.78740157480314965" bottom="0.39370078740157483" header="0" footer="0"/>
  <pageSetup paperSize="9" scale="77" fitToHeight="0" orientation="portrait" blackAndWhite="1" r:id="rId1"/>
  <headerFooter differentFirst="1" alignWithMargins="0">
    <oddHeader>&amp;C&amp;"Times New Roman,обычный"&amp;12&amp;P</oddHeader>
  </headerFooter>
  <rowBreaks count="2" manualBreakCount="2">
    <brk id="589" max="7" man="1"/>
    <brk id="60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74"/>
  <sheetViews>
    <sheetView zoomScale="80" zoomScaleNormal="80" zoomScaleSheetLayoutView="70" workbookViewId="0">
      <pane ySplit="6" topLeftCell="A92" activePane="bottomLeft" state="frozen"/>
      <selection activeCell="D42" sqref="D42"/>
      <selection pane="bottomLeft" activeCell="I2" sqref="I2"/>
    </sheetView>
  </sheetViews>
  <sheetFormatPr defaultColWidth="9.109375" defaultRowHeight="15.6" x14ac:dyDescent="0.3"/>
  <cols>
    <col min="1" max="1" width="4.5546875" style="425" customWidth="1"/>
    <col min="2" max="2" width="62.44140625" style="535" customWidth="1"/>
    <col min="3" max="3" width="3.109375" style="536" customWidth="1"/>
    <col min="4" max="4" width="2.33203125" style="536" customWidth="1"/>
    <col min="5" max="5" width="3" style="536" customWidth="1"/>
    <col min="6" max="6" width="8" style="536" customWidth="1"/>
    <col min="7" max="7" width="5.5546875" style="534" customWidth="1"/>
    <col min="8" max="8" width="14.109375" style="54" customWidth="1"/>
    <col min="9" max="9" width="13.33203125" style="55" customWidth="1"/>
    <col min="10" max="10" width="17.6640625" style="55" customWidth="1"/>
    <col min="11" max="11" width="16.44140625" style="55" customWidth="1"/>
    <col min="12" max="12" width="14.6640625" style="55" customWidth="1"/>
    <col min="13" max="16384" width="9.109375" style="55"/>
  </cols>
  <sheetData>
    <row r="1" spans="1:12" ht="18" x14ac:dyDescent="0.35">
      <c r="I1" s="192" t="s">
        <v>573</v>
      </c>
    </row>
    <row r="2" spans="1:12" ht="18" x14ac:dyDescent="0.35">
      <c r="I2" s="192" t="s">
        <v>719</v>
      </c>
    </row>
    <row r="4" spans="1:12" s="43" customFormat="1" ht="18" x14ac:dyDescent="0.35">
      <c r="I4" s="48" t="s">
        <v>575</v>
      </c>
    </row>
    <row r="5" spans="1:12" s="43" customFormat="1" ht="18" x14ac:dyDescent="0.35">
      <c r="I5" s="48" t="s">
        <v>631</v>
      </c>
    </row>
    <row r="9" spans="1:12" ht="76.5" customHeight="1" x14ac:dyDescent="0.3">
      <c r="A9" s="686" t="s">
        <v>567</v>
      </c>
      <c r="B9" s="686"/>
      <c r="C9" s="686"/>
      <c r="D9" s="686"/>
      <c r="E9" s="686"/>
      <c r="F9" s="686"/>
      <c r="G9" s="686"/>
      <c r="H9" s="686"/>
      <c r="I9" s="686"/>
    </row>
    <row r="10" spans="1:12" x14ac:dyDescent="0.3">
      <c r="A10" s="55"/>
      <c r="B10" s="55"/>
      <c r="C10" s="425"/>
      <c r="D10" s="425"/>
      <c r="E10" s="425"/>
      <c r="F10" s="425"/>
      <c r="G10" s="426"/>
    </row>
    <row r="11" spans="1:12" ht="18" x14ac:dyDescent="0.35">
      <c r="A11" s="427"/>
      <c r="B11" s="51"/>
      <c r="C11" s="52"/>
      <c r="D11" s="52"/>
      <c r="E11" s="52"/>
      <c r="F11" s="52"/>
      <c r="G11" s="55"/>
      <c r="I11" s="428" t="s">
        <v>23</v>
      </c>
    </row>
    <row r="12" spans="1:12" ht="18" x14ac:dyDescent="0.35">
      <c r="A12" s="694" t="s">
        <v>24</v>
      </c>
      <c r="B12" s="695" t="s">
        <v>25</v>
      </c>
      <c r="C12" s="695" t="s">
        <v>29</v>
      </c>
      <c r="D12" s="695"/>
      <c r="E12" s="695"/>
      <c r="F12" s="695"/>
      <c r="G12" s="695" t="s">
        <v>30</v>
      </c>
      <c r="H12" s="693" t="s">
        <v>15</v>
      </c>
      <c r="I12" s="693"/>
    </row>
    <row r="13" spans="1:12" ht="40.950000000000003" customHeight="1" x14ac:dyDescent="0.3">
      <c r="A13" s="694"/>
      <c r="B13" s="695"/>
      <c r="C13" s="695"/>
      <c r="D13" s="695"/>
      <c r="E13" s="695"/>
      <c r="F13" s="695"/>
      <c r="G13" s="695"/>
      <c r="H13" s="429" t="s">
        <v>484</v>
      </c>
      <c r="I13" s="429" t="s">
        <v>557</v>
      </c>
    </row>
    <row r="14" spans="1:12" ht="18" x14ac:dyDescent="0.35">
      <c r="A14" s="277">
        <v>1</v>
      </c>
      <c r="B14" s="430">
        <v>2</v>
      </c>
      <c r="C14" s="690" t="s">
        <v>31</v>
      </c>
      <c r="D14" s="691"/>
      <c r="E14" s="691"/>
      <c r="F14" s="692"/>
      <c r="G14" s="291" t="s">
        <v>32</v>
      </c>
      <c r="H14" s="278">
        <v>5</v>
      </c>
      <c r="I14" s="278">
        <v>6</v>
      </c>
    </row>
    <row r="15" spans="1:12" ht="18" x14ac:dyDescent="0.35">
      <c r="A15" s="431"/>
      <c r="B15" s="432" t="s">
        <v>203</v>
      </c>
      <c r="C15" s="433"/>
      <c r="D15" s="433"/>
      <c r="E15" s="433"/>
      <c r="F15" s="433"/>
      <c r="G15" s="434"/>
      <c r="H15" s="435">
        <f>H16+H119+H163+H202+H225+H253+H270+H294+H328+H342+H351+H357+H367+H383+H441+H448+H453+H377+H435</f>
        <v>1756852.1999999997</v>
      </c>
      <c r="I15" s="435">
        <f>I16+I119+I163+I202+I225+I253+I270+I294+I328+I342+I351+I357+I367+I383+I441+I448+I453+I377+I435</f>
        <v>1599190.5999999996</v>
      </c>
      <c r="J15" s="436"/>
      <c r="K15" s="620">
        <f>H15-'прил10 (ведом 23-24)'!M16</f>
        <v>0</v>
      </c>
      <c r="L15" s="594">
        <f>I15-'прил10 (ведом 23-24)'!N16</f>
        <v>0</v>
      </c>
    </row>
    <row r="16" spans="1:12" s="441" customFormat="1" ht="52.2" x14ac:dyDescent="0.3">
      <c r="A16" s="437">
        <v>1</v>
      </c>
      <c r="B16" s="370" t="s">
        <v>206</v>
      </c>
      <c r="C16" s="438" t="s">
        <v>40</v>
      </c>
      <c r="D16" s="438" t="s">
        <v>43</v>
      </c>
      <c r="E16" s="438" t="s">
        <v>44</v>
      </c>
      <c r="F16" s="439" t="s">
        <v>45</v>
      </c>
      <c r="G16" s="440"/>
      <c r="H16" s="316">
        <f>H17+H73+H87</f>
        <v>1168127.6000000001</v>
      </c>
      <c r="I16" s="316">
        <f>I17+I73+I87</f>
        <v>1098796.8</v>
      </c>
    </row>
    <row r="17" spans="1:9" ht="24" customHeight="1" x14ac:dyDescent="0.35">
      <c r="A17" s="431"/>
      <c r="B17" s="442" t="s">
        <v>207</v>
      </c>
      <c r="C17" s="639" t="s">
        <v>40</v>
      </c>
      <c r="D17" s="639" t="s">
        <v>46</v>
      </c>
      <c r="E17" s="639" t="s">
        <v>44</v>
      </c>
      <c r="F17" s="640" t="s">
        <v>45</v>
      </c>
      <c r="G17" s="291"/>
      <c r="H17" s="266">
        <f>H18+H34</f>
        <v>1054372.1000000001</v>
      </c>
      <c r="I17" s="266">
        <f>I18+I34</f>
        <v>955979.39999999991</v>
      </c>
    </row>
    <row r="18" spans="1:9" ht="18" x14ac:dyDescent="0.35">
      <c r="A18" s="431"/>
      <c r="B18" s="442" t="s">
        <v>268</v>
      </c>
      <c r="C18" s="251" t="s">
        <v>40</v>
      </c>
      <c r="D18" s="252" t="s">
        <v>46</v>
      </c>
      <c r="E18" s="252" t="s">
        <v>38</v>
      </c>
      <c r="F18" s="253" t="s">
        <v>45</v>
      </c>
      <c r="G18" s="291"/>
      <c r="H18" s="266">
        <f>H25+H21+H28+H30+H19+H23+H32</f>
        <v>443035.7</v>
      </c>
      <c r="I18" s="266">
        <f>I25+I21+I28+I30+I19+I23+I32</f>
        <v>343717.4</v>
      </c>
    </row>
    <row r="19" spans="1:9" ht="36" x14ac:dyDescent="0.35">
      <c r="A19" s="431"/>
      <c r="B19" s="442" t="s">
        <v>490</v>
      </c>
      <c r="C19" s="251" t="s">
        <v>40</v>
      </c>
      <c r="D19" s="252" t="s">
        <v>46</v>
      </c>
      <c r="E19" s="252" t="s">
        <v>38</v>
      </c>
      <c r="F19" s="253" t="s">
        <v>92</v>
      </c>
      <c r="G19" s="35"/>
      <c r="H19" s="266">
        <f>H20</f>
        <v>88673.2</v>
      </c>
      <c r="I19" s="266">
        <f>I20</f>
        <v>97540.6</v>
      </c>
    </row>
    <row r="20" spans="1:9" ht="42" customHeight="1" x14ac:dyDescent="0.35">
      <c r="A20" s="431"/>
      <c r="B20" s="442" t="s">
        <v>77</v>
      </c>
      <c r="C20" s="251" t="s">
        <v>40</v>
      </c>
      <c r="D20" s="252" t="s">
        <v>46</v>
      </c>
      <c r="E20" s="252" t="s">
        <v>38</v>
      </c>
      <c r="F20" s="253" t="s">
        <v>92</v>
      </c>
      <c r="G20" s="35" t="s">
        <v>78</v>
      </c>
      <c r="H20" s="266">
        <f>'прил10 (ведом 23-24)'!M309</f>
        <v>88673.2</v>
      </c>
      <c r="I20" s="266">
        <f>'прил10 (ведом 23-24)'!N309</f>
        <v>97540.6</v>
      </c>
    </row>
    <row r="21" spans="1:9" ht="42" customHeight="1" x14ac:dyDescent="0.35">
      <c r="A21" s="431"/>
      <c r="B21" s="264" t="s">
        <v>208</v>
      </c>
      <c r="C21" s="251" t="s">
        <v>40</v>
      </c>
      <c r="D21" s="252" t="s">
        <v>46</v>
      </c>
      <c r="E21" s="252" t="s">
        <v>38</v>
      </c>
      <c r="F21" s="253" t="s">
        <v>274</v>
      </c>
      <c r="G21" s="35"/>
      <c r="H21" s="266">
        <f>H22</f>
        <v>25889.5</v>
      </c>
      <c r="I21" s="266">
        <f>I22</f>
        <v>25889.5</v>
      </c>
    </row>
    <row r="22" spans="1:9" ht="42" customHeight="1" x14ac:dyDescent="0.35">
      <c r="A22" s="431"/>
      <c r="B22" s="264" t="s">
        <v>77</v>
      </c>
      <c r="C22" s="251" t="s">
        <v>40</v>
      </c>
      <c r="D22" s="252" t="s">
        <v>46</v>
      </c>
      <c r="E22" s="252" t="s">
        <v>38</v>
      </c>
      <c r="F22" s="253" t="s">
        <v>274</v>
      </c>
      <c r="G22" s="35" t="s">
        <v>78</v>
      </c>
      <c r="H22" s="266">
        <f>'прил10 (ведом 23-24)'!M311</f>
        <v>25889.5</v>
      </c>
      <c r="I22" s="266">
        <f>'прил10 (ведом 23-24)'!N311</f>
        <v>25889.5</v>
      </c>
    </row>
    <row r="23" spans="1:9" ht="42" customHeight="1" x14ac:dyDescent="0.35">
      <c r="A23" s="431"/>
      <c r="B23" s="264" t="s">
        <v>209</v>
      </c>
      <c r="C23" s="443" t="s">
        <v>40</v>
      </c>
      <c r="D23" s="444" t="s">
        <v>46</v>
      </c>
      <c r="E23" s="444" t="s">
        <v>38</v>
      </c>
      <c r="F23" s="445" t="s">
        <v>275</v>
      </c>
      <c r="G23" s="446"/>
      <c r="H23" s="266">
        <f>H24</f>
        <v>23118.499999999993</v>
      </c>
      <c r="I23" s="266">
        <f>I24</f>
        <v>0</v>
      </c>
    </row>
    <row r="24" spans="1:9" ht="42" customHeight="1" x14ac:dyDescent="0.35">
      <c r="A24" s="431"/>
      <c r="B24" s="447" t="s">
        <v>204</v>
      </c>
      <c r="C24" s="443" t="s">
        <v>40</v>
      </c>
      <c r="D24" s="444" t="s">
        <v>46</v>
      </c>
      <c r="E24" s="444" t="s">
        <v>38</v>
      </c>
      <c r="F24" s="445" t="s">
        <v>275</v>
      </c>
      <c r="G24" s="446" t="s">
        <v>205</v>
      </c>
      <c r="H24" s="266">
        <f>'прил10 (ведом 23-24)'!M263</f>
        <v>23118.499999999993</v>
      </c>
      <c r="I24" s="266">
        <f>'прил10 (ведом 23-24)'!N263</f>
        <v>0</v>
      </c>
    </row>
    <row r="25" spans="1:9" ht="117.75" customHeight="1" x14ac:dyDescent="0.35">
      <c r="A25" s="431"/>
      <c r="B25" s="442" t="s">
        <v>284</v>
      </c>
      <c r="C25" s="251" t="s">
        <v>40</v>
      </c>
      <c r="D25" s="252" t="s">
        <v>46</v>
      </c>
      <c r="E25" s="252" t="s">
        <v>38</v>
      </c>
      <c r="F25" s="253" t="s">
        <v>285</v>
      </c>
      <c r="G25" s="35"/>
      <c r="H25" s="266">
        <f>SUM(H26:H27)</f>
        <v>5452.5</v>
      </c>
      <c r="I25" s="266">
        <f>SUM(I26:I27)</f>
        <v>5452.5</v>
      </c>
    </row>
    <row r="26" spans="1:9" ht="36" x14ac:dyDescent="0.35">
      <c r="A26" s="431"/>
      <c r="B26" s="442" t="s">
        <v>56</v>
      </c>
      <c r="C26" s="251" t="s">
        <v>40</v>
      </c>
      <c r="D26" s="252" t="s">
        <v>46</v>
      </c>
      <c r="E26" s="252" t="s">
        <v>38</v>
      </c>
      <c r="F26" s="253" t="s">
        <v>285</v>
      </c>
      <c r="G26" s="35" t="s">
        <v>57</v>
      </c>
      <c r="H26" s="266">
        <f>'прил10 (ведом 23-24)'!M423</f>
        <v>80.5</v>
      </c>
      <c r="I26" s="266">
        <f>'прил10 (ведом 23-24)'!N423</f>
        <v>80.5</v>
      </c>
    </row>
    <row r="27" spans="1:9" ht="24" customHeight="1" x14ac:dyDescent="0.35">
      <c r="A27" s="431"/>
      <c r="B27" s="448" t="s">
        <v>121</v>
      </c>
      <c r="C27" s="251" t="s">
        <v>40</v>
      </c>
      <c r="D27" s="252" t="s">
        <v>46</v>
      </c>
      <c r="E27" s="252" t="s">
        <v>38</v>
      </c>
      <c r="F27" s="253" t="s">
        <v>285</v>
      </c>
      <c r="G27" s="35" t="s">
        <v>122</v>
      </c>
      <c r="H27" s="266">
        <f>'прил10 (ведом 23-24)'!M424</f>
        <v>5372</v>
      </c>
      <c r="I27" s="266">
        <f>'прил10 (ведом 23-24)'!N424</f>
        <v>5372</v>
      </c>
    </row>
    <row r="28" spans="1:9" ht="162" x14ac:dyDescent="0.35">
      <c r="A28" s="431"/>
      <c r="B28" s="442" t="s">
        <v>269</v>
      </c>
      <c r="C28" s="251" t="s">
        <v>40</v>
      </c>
      <c r="D28" s="252" t="s">
        <v>46</v>
      </c>
      <c r="E28" s="252" t="s">
        <v>38</v>
      </c>
      <c r="F28" s="253" t="s">
        <v>270</v>
      </c>
      <c r="G28" s="35"/>
      <c r="H28" s="266">
        <f>H29</f>
        <v>571.29999999999995</v>
      </c>
      <c r="I28" s="266">
        <f>I29</f>
        <v>588.5</v>
      </c>
    </row>
    <row r="29" spans="1:9" ht="42.75" customHeight="1" x14ac:dyDescent="0.35">
      <c r="A29" s="431"/>
      <c r="B29" s="442" t="s">
        <v>77</v>
      </c>
      <c r="C29" s="251" t="s">
        <v>40</v>
      </c>
      <c r="D29" s="252" t="s">
        <v>46</v>
      </c>
      <c r="E29" s="252" t="s">
        <v>38</v>
      </c>
      <c r="F29" s="253" t="s">
        <v>270</v>
      </c>
      <c r="G29" s="35" t="s">
        <v>78</v>
      </c>
      <c r="H29" s="266">
        <f>'прил10 (ведом 23-24)'!M313</f>
        <v>571.29999999999995</v>
      </c>
      <c r="I29" s="266">
        <f>'прил10 (ведом 23-24)'!N313</f>
        <v>588.5</v>
      </c>
    </row>
    <row r="30" spans="1:9" ht="97.5" customHeight="1" x14ac:dyDescent="0.35">
      <c r="A30" s="431"/>
      <c r="B30" s="442" t="s">
        <v>352</v>
      </c>
      <c r="C30" s="251" t="s">
        <v>40</v>
      </c>
      <c r="D30" s="252" t="s">
        <v>46</v>
      </c>
      <c r="E30" s="252" t="s">
        <v>38</v>
      </c>
      <c r="F30" s="253" t="s">
        <v>271</v>
      </c>
      <c r="G30" s="35"/>
      <c r="H30" s="266">
        <f>H31</f>
        <v>214246.3</v>
      </c>
      <c r="I30" s="266">
        <f>I31</f>
        <v>214246.3</v>
      </c>
    </row>
    <row r="31" spans="1:9" ht="42.75" customHeight="1" x14ac:dyDescent="0.35">
      <c r="A31" s="431"/>
      <c r="B31" s="448" t="s">
        <v>77</v>
      </c>
      <c r="C31" s="251" t="s">
        <v>40</v>
      </c>
      <c r="D31" s="252" t="s">
        <v>46</v>
      </c>
      <c r="E31" s="252" t="s">
        <v>38</v>
      </c>
      <c r="F31" s="253" t="s">
        <v>271</v>
      </c>
      <c r="G31" s="35" t="s">
        <v>78</v>
      </c>
      <c r="H31" s="266">
        <f>'прил10 (ведом 23-24)'!M315</f>
        <v>214246.3</v>
      </c>
      <c r="I31" s="266">
        <f>'прил10 (ведом 23-24)'!N315</f>
        <v>214246.3</v>
      </c>
    </row>
    <row r="32" spans="1:9" ht="108" x14ac:dyDescent="0.35">
      <c r="A32" s="431"/>
      <c r="B32" s="447" t="s">
        <v>550</v>
      </c>
      <c r="C32" s="251" t="s">
        <v>40</v>
      </c>
      <c r="D32" s="252" t="s">
        <v>46</v>
      </c>
      <c r="E32" s="252" t="s">
        <v>38</v>
      </c>
      <c r="F32" s="253" t="s">
        <v>549</v>
      </c>
      <c r="G32" s="35"/>
      <c r="H32" s="266">
        <f>H33</f>
        <v>85084.400000000009</v>
      </c>
      <c r="I32" s="266">
        <f>I33</f>
        <v>0</v>
      </c>
    </row>
    <row r="33" spans="1:9" ht="42.75" customHeight="1" x14ac:dyDescent="0.35">
      <c r="A33" s="431"/>
      <c r="B33" s="447" t="s">
        <v>204</v>
      </c>
      <c r="C33" s="251" t="s">
        <v>40</v>
      </c>
      <c r="D33" s="252" t="s">
        <v>46</v>
      </c>
      <c r="E33" s="252" t="s">
        <v>38</v>
      </c>
      <c r="F33" s="253" t="s">
        <v>549</v>
      </c>
      <c r="G33" s="35" t="s">
        <v>205</v>
      </c>
      <c r="H33" s="266">
        <f>'прил10 (ведом 23-24)'!M265</f>
        <v>85084.400000000009</v>
      </c>
      <c r="I33" s="266">
        <f>'прил10 (ведом 23-24)'!N265</f>
        <v>0</v>
      </c>
    </row>
    <row r="34" spans="1:9" ht="18" x14ac:dyDescent="0.35">
      <c r="A34" s="431"/>
      <c r="B34" s="442" t="s">
        <v>273</v>
      </c>
      <c r="C34" s="251" t="s">
        <v>40</v>
      </c>
      <c r="D34" s="252" t="s">
        <v>46</v>
      </c>
      <c r="E34" s="252" t="s">
        <v>40</v>
      </c>
      <c r="F34" s="253" t="s">
        <v>45</v>
      </c>
      <c r="G34" s="35"/>
      <c r="H34" s="266">
        <f>H50+H54+H58+H35+H43+H64+H47+H40+H61+H69</f>
        <v>611336.40000000014</v>
      </c>
      <c r="I34" s="266">
        <f>I50+I54+I58+I35+I43+I64+I47+I40+I61+I69+I67</f>
        <v>612261.99999999988</v>
      </c>
    </row>
    <row r="35" spans="1:9" ht="36" x14ac:dyDescent="0.35">
      <c r="A35" s="431"/>
      <c r="B35" s="442" t="s">
        <v>490</v>
      </c>
      <c r="C35" s="251" t="s">
        <v>40</v>
      </c>
      <c r="D35" s="252" t="s">
        <v>46</v>
      </c>
      <c r="E35" s="252" t="s">
        <v>40</v>
      </c>
      <c r="F35" s="253" t="s">
        <v>92</v>
      </c>
      <c r="G35" s="35"/>
      <c r="H35" s="266">
        <f>SUM(H36:H39)</f>
        <v>63512.2</v>
      </c>
      <c r="I35" s="266">
        <f>SUM(I36:I39)</f>
        <v>69863.400000000009</v>
      </c>
    </row>
    <row r="36" spans="1:9" ht="90" x14ac:dyDescent="0.35">
      <c r="A36" s="431"/>
      <c r="B36" s="264" t="s">
        <v>50</v>
      </c>
      <c r="C36" s="251" t="s">
        <v>40</v>
      </c>
      <c r="D36" s="252" t="s">
        <v>46</v>
      </c>
      <c r="E36" s="252" t="s">
        <v>40</v>
      </c>
      <c r="F36" s="253" t="s">
        <v>92</v>
      </c>
      <c r="G36" s="35" t="s">
        <v>51</v>
      </c>
      <c r="H36" s="266">
        <f>'прил10 (ведом 23-24)'!M331</f>
        <v>319.10000000000002</v>
      </c>
      <c r="I36" s="266">
        <f>'прил10 (ведом 23-24)'!N331</f>
        <v>319.10000000000002</v>
      </c>
    </row>
    <row r="37" spans="1:9" ht="36" x14ac:dyDescent="0.35">
      <c r="A37" s="431"/>
      <c r="B37" s="264" t="s">
        <v>56</v>
      </c>
      <c r="C37" s="251" t="s">
        <v>40</v>
      </c>
      <c r="D37" s="252" t="s">
        <v>46</v>
      </c>
      <c r="E37" s="252" t="s">
        <v>40</v>
      </c>
      <c r="F37" s="253" t="s">
        <v>92</v>
      </c>
      <c r="G37" s="35" t="s">
        <v>57</v>
      </c>
      <c r="H37" s="266">
        <f>'прил10 (ведом 23-24)'!M332</f>
        <v>4475.6000000000004</v>
      </c>
      <c r="I37" s="266">
        <f>'прил10 (ведом 23-24)'!N332</f>
        <v>5635.2</v>
      </c>
    </row>
    <row r="38" spans="1:9" ht="43.5" customHeight="1" x14ac:dyDescent="0.35">
      <c r="A38" s="431"/>
      <c r="B38" s="442" t="s">
        <v>77</v>
      </c>
      <c r="C38" s="251" t="s">
        <v>40</v>
      </c>
      <c r="D38" s="252" t="s">
        <v>46</v>
      </c>
      <c r="E38" s="252" t="s">
        <v>40</v>
      </c>
      <c r="F38" s="253" t="s">
        <v>92</v>
      </c>
      <c r="G38" s="35" t="s">
        <v>78</v>
      </c>
      <c r="H38" s="266">
        <f>'прил10 (ведом 23-24)'!M333</f>
        <v>58156.5</v>
      </c>
      <c r="I38" s="266">
        <f>'прил10 (ведом 23-24)'!N333</f>
        <v>63353.5</v>
      </c>
    </row>
    <row r="39" spans="1:9" ht="18" x14ac:dyDescent="0.35">
      <c r="A39" s="431"/>
      <c r="B39" s="442" t="s">
        <v>58</v>
      </c>
      <c r="C39" s="251" t="s">
        <v>40</v>
      </c>
      <c r="D39" s="252" t="s">
        <v>46</v>
      </c>
      <c r="E39" s="252" t="s">
        <v>40</v>
      </c>
      <c r="F39" s="253" t="s">
        <v>92</v>
      </c>
      <c r="G39" s="35" t="s">
        <v>59</v>
      </c>
      <c r="H39" s="266">
        <f>'прил10 (ведом 23-24)'!M334</f>
        <v>561</v>
      </c>
      <c r="I39" s="266">
        <f>'прил10 (ведом 23-24)'!N334</f>
        <v>555.6</v>
      </c>
    </row>
    <row r="40" spans="1:9" ht="36" x14ac:dyDescent="0.35">
      <c r="A40" s="431"/>
      <c r="B40" s="264" t="s">
        <v>208</v>
      </c>
      <c r="C40" s="251" t="s">
        <v>40</v>
      </c>
      <c r="D40" s="252" t="s">
        <v>46</v>
      </c>
      <c r="E40" s="252" t="s">
        <v>40</v>
      </c>
      <c r="F40" s="253" t="s">
        <v>274</v>
      </c>
      <c r="G40" s="35"/>
      <c r="H40" s="266">
        <f>H41+H42</f>
        <v>19606.299999999996</v>
      </c>
      <c r="I40" s="266">
        <f>I41+I42</f>
        <v>20406</v>
      </c>
    </row>
    <row r="41" spans="1:9" ht="36" x14ac:dyDescent="0.35">
      <c r="A41" s="431"/>
      <c r="B41" s="264" t="s">
        <v>56</v>
      </c>
      <c r="C41" s="251" t="s">
        <v>40</v>
      </c>
      <c r="D41" s="252" t="s">
        <v>46</v>
      </c>
      <c r="E41" s="252" t="s">
        <v>40</v>
      </c>
      <c r="F41" s="253" t="s">
        <v>274</v>
      </c>
      <c r="G41" s="35" t="s">
        <v>57</v>
      </c>
      <c r="H41" s="266">
        <f>'прил10 (ведом 23-24)'!M336</f>
        <v>0</v>
      </c>
      <c r="I41" s="266">
        <f>'прил10 (ведом 23-24)'!N336</f>
        <v>3854.4</v>
      </c>
    </row>
    <row r="42" spans="1:9" ht="36" x14ac:dyDescent="0.35">
      <c r="A42" s="431"/>
      <c r="B42" s="264" t="s">
        <v>77</v>
      </c>
      <c r="C42" s="251" t="s">
        <v>40</v>
      </c>
      <c r="D42" s="252" t="s">
        <v>46</v>
      </c>
      <c r="E42" s="252" t="s">
        <v>40</v>
      </c>
      <c r="F42" s="253" t="s">
        <v>274</v>
      </c>
      <c r="G42" s="35" t="s">
        <v>78</v>
      </c>
      <c r="H42" s="266">
        <f>'прил10 (ведом 23-24)'!M337</f>
        <v>19606.299999999996</v>
      </c>
      <c r="I42" s="266">
        <f>'прил10 (ведом 23-24)'!N337</f>
        <v>16551.599999999999</v>
      </c>
    </row>
    <row r="43" spans="1:9" ht="36" x14ac:dyDescent="0.35">
      <c r="A43" s="431"/>
      <c r="B43" s="264" t="s">
        <v>209</v>
      </c>
      <c r="C43" s="251" t="s">
        <v>40</v>
      </c>
      <c r="D43" s="252" t="s">
        <v>46</v>
      </c>
      <c r="E43" s="252" t="s">
        <v>40</v>
      </c>
      <c r="F43" s="253" t="s">
        <v>275</v>
      </c>
      <c r="G43" s="35"/>
      <c r="H43" s="266">
        <f>H44+H46+H45</f>
        <v>17968.5</v>
      </c>
      <c r="I43" s="266">
        <f>I44+I46+I45</f>
        <v>4618.1000000000004</v>
      </c>
    </row>
    <row r="44" spans="1:9" ht="36" x14ac:dyDescent="0.35">
      <c r="A44" s="431"/>
      <c r="B44" s="264" t="s">
        <v>56</v>
      </c>
      <c r="C44" s="251" t="s">
        <v>40</v>
      </c>
      <c r="D44" s="252" t="s">
        <v>46</v>
      </c>
      <c r="E44" s="252" t="s">
        <v>40</v>
      </c>
      <c r="F44" s="253" t="s">
        <v>275</v>
      </c>
      <c r="G44" s="35" t="s">
        <v>57</v>
      </c>
      <c r="H44" s="266">
        <f>'прил10 (ведом 23-24)'!M339</f>
        <v>142</v>
      </c>
      <c r="I44" s="266">
        <f>'прил10 (ведом 23-24)'!N339</f>
        <v>142</v>
      </c>
    </row>
    <row r="45" spans="1:9" ht="36" x14ac:dyDescent="0.35">
      <c r="A45" s="431"/>
      <c r="B45" s="447" t="s">
        <v>204</v>
      </c>
      <c r="C45" s="251" t="s">
        <v>40</v>
      </c>
      <c r="D45" s="252" t="s">
        <v>46</v>
      </c>
      <c r="E45" s="252" t="s">
        <v>40</v>
      </c>
      <c r="F45" s="253" t="s">
        <v>275</v>
      </c>
      <c r="G45" s="35" t="s">
        <v>205</v>
      </c>
      <c r="H45" s="266">
        <f>'прил10 (ведом 23-24)'!M271</f>
        <v>13350.399999999998</v>
      </c>
      <c r="I45" s="266">
        <f>'прил10 (ведом 23-24)'!N271</f>
        <v>0</v>
      </c>
    </row>
    <row r="46" spans="1:9" ht="37.5" customHeight="1" x14ac:dyDescent="0.35">
      <c r="A46" s="431"/>
      <c r="B46" s="264" t="s">
        <v>77</v>
      </c>
      <c r="C46" s="251" t="s">
        <v>40</v>
      </c>
      <c r="D46" s="252" t="s">
        <v>46</v>
      </c>
      <c r="E46" s="252" t="s">
        <v>40</v>
      </c>
      <c r="F46" s="253" t="s">
        <v>275</v>
      </c>
      <c r="G46" s="35" t="s">
        <v>78</v>
      </c>
      <c r="H46" s="266">
        <f>'прил10 (ведом 23-24)'!M340</f>
        <v>4476.1000000000004</v>
      </c>
      <c r="I46" s="266">
        <f>'прил10 (ведом 23-24)'!N340</f>
        <v>4476.1000000000004</v>
      </c>
    </row>
    <row r="47" spans="1:9" ht="144" x14ac:dyDescent="0.35">
      <c r="A47" s="431"/>
      <c r="B47" s="264" t="s">
        <v>587</v>
      </c>
      <c r="C47" s="251" t="s">
        <v>40</v>
      </c>
      <c r="D47" s="252" t="s">
        <v>46</v>
      </c>
      <c r="E47" s="252" t="s">
        <v>40</v>
      </c>
      <c r="F47" s="253" t="s">
        <v>586</v>
      </c>
      <c r="G47" s="35"/>
      <c r="H47" s="266">
        <f>H48+H49</f>
        <v>33409.299999999996</v>
      </c>
      <c r="I47" s="266">
        <f>I48+I49</f>
        <v>35284.199999999997</v>
      </c>
    </row>
    <row r="48" spans="1:9" ht="90.75" customHeight="1" x14ac:dyDescent="0.35">
      <c r="A48" s="431"/>
      <c r="B48" s="264" t="s">
        <v>50</v>
      </c>
      <c r="C48" s="251" t="s">
        <v>40</v>
      </c>
      <c r="D48" s="252" t="s">
        <v>46</v>
      </c>
      <c r="E48" s="252" t="s">
        <v>40</v>
      </c>
      <c r="F48" s="253" t="s">
        <v>586</v>
      </c>
      <c r="G48" s="35" t="s">
        <v>51</v>
      </c>
      <c r="H48" s="266">
        <f>'прил10 (ведом 23-24)'!M342</f>
        <v>2734.2</v>
      </c>
      <c r="I48" s="266">
        <f>'прил10 (ведом 23-24)'!N342</f>
        <v>2812.4</v>
      </c>
    </row>
    <row r="49" spans="1:9" ht="36" customHeight="1" x14ac:dyDescent="0.35">
      <c r="A49" s="431"/>
      <c r="B49" s="264" t="s">
        <v>77</v>
      </c>
      <c r="C49" s="251" t="s">
        <v>40</v>
      </c>
      <c r="D49" s="252" t="s">
        <v>46</v>
      </c>
      <c r="E49" s="252" t="s">
        <v>40</v>
      </c>
      <c r="F49" s="253" t="s">
        <v>586</v>
      </c>
      <c r="G49" s="35" t="s">
        <v>78</v>
      </c>
      <c r="H49" s="266">
        <f>'прил10 (ведом 23-24)'!M343</f>
        <v>30675.1</v>
      </c>
      <c r="I49" s="266">
        <f>'прил10 (ведом 23-24)'!N343</f>
        <v>32471.8</v>
      </c>
    </row>
    <row r="50" spans="1:9" ht="162" x14ac:dyDescent="0.35">
      <c r="A50" s="431"/>
      <c r="B50" s="442" t="s">
        <v>269</v>
      </c>
      <c r="C50" s="251" t="s">
        <v>40</v>
      </c>
      <c r="D50" s="252" t="s">
        <v>46</v>
      </c>
      <c r="E50" s="252" t="s">
        <v>40</v>
      </c>
      <c r="F50" s="253" t="s">
        <v>270</v>
      </c>
      <c r="G50" s="35"/>
      <c r="H50" s="266">
        <f>SUM(H51:H53)</f>
        <v>1659.2</v>
      </c>
      <c r="I50" s="266">
        <f>SUM(I51:I53)</f>
        <v>1709</v>
      </c>
    </row>
    <row r="51" spans="1:9" ht="90" x14ac:dyDescent="0.35">
      <c r="A51" s="431"/>
      <c r="B51" s="264" t="s">
        <v>50</v>
      </c>
      <c r="C51" s="251" t="s">
        <v>40</v>
      </c>
      <c r="D51" s="252" t="s">
        <v>46</v>
      </c>
      <c r="E51" s="252" t="s">
        <v>40</v>
      </c>
      <c r="F51" s="253" t="s">
        <v>270</v>
      </c>
      <c r="G51" s="35" t="s">
        <v>51</v>
      </c>
      <c r="H51" s="266">
        <f>'прил10 (ведом 23-24)'!M345</f>
        <v>99.7</v>
      </c>
      <c r="I51" s="266">
        <f>'прил10 (ведом 23-24)'!N345</f>
        <v>99.7</v>
      </c>
    </row>
    <row r="52" spans="1:9" ht="26.25" customHeight="1" x14ac:dyDescent="0.35">
      <c r="A52" s="431"/>
      <c r="B52" s="264" t="s">
        <v>121</v>
      </c>
      <c r="C52" s="251" t="s">
        <v>40</v>
      </c>
      <c r="D52" s="252" t="s">
        <v>46</v>
      </c>
      <c r="E52" s="252" t="s">
        <v>40</v>
      </c>
      <c r="F52" s="253" t="s">
        <v>270</v>
      </c>
      <c r="G52" s="35" t="s">
        <v>122</v>
      </c>
      <c r="H52" s="266">
        <f>'прил10 (ведом 23-24)'!M346</f>
        <v>6.6</v>
      </c>
      <c r="I52" s="266">
        <f>'прил10 (ведом 23-24)'!N346</f>
        <v>6.6</v>
      </c>
    </row>
    <row r="53" spans="1:9" ht="39" customHeight="1" x14ac:dyDescent="0.35">
      <c r="A53" s="431"/>
      <c r="B53" s="442" t="s">
        <v>77</v>
      </c>
      <c r="C53" s="251" t="s">
        <v>40</v>
      </c>
      <c r="D53" s="252" t="s">
        <v>46</v>
      </c>
      <c r="E53" s="252" t="s">
        <v>40</v>
      </c>
      <c r="F53" s="253" t="s">
        <v>270</v>
      </c>
      <c r="G53" s="35" t="s">
        <v>78</v>
      </c>
      <c r="H53" s="266">
        <f>'прил10 (ведом 23-24)'!M347</f>
        <v>1552.9</v>
      </c>
      <c r="I53" s="266">
        <f>'прил10 (ведом 23-24)'!N347</f>
        <v>1602.7</v>
      </c>
    </row>
    <row r="54" spans="1:9" ht="93" customHeight="1" x14ac:dyDescent="0.35">
      <c r="A54" s="431"/>
      <c r="B54" s="442" t="s">
        <v>352</v>
      </c>
      <c r="C54" s="251" t="s">
        <v>40</v>
      </c>
      <c r="D54" s="252" t="s">
        <v>46</v>
      </c>
      <c r="E54" s="252" t="s">
        <v>40</v>
      </c>
      <c r="F54" s="253" t="s">
        <v>271</v>
      </c>
      <c r="G54" s="35"/>
      <c r="H54" s="266">
        <f>SUM(H55:H57)</f>
        <v>402579.3</v>
      </c>
      <c r="I54" s="266">
        <f>SUM(I55:I57)</f>
        <v>402579.3</v>
      </c>
    </row>
    <row r="55" spans="1:9" ht="90" x14ac:dyDescent="0.35">
      <c r="A55" s="431"/>
      <c r="B55" s="442" t="s">
        <v>50</v>
      </c>
      <c r="C55" s="251" t="s">
        <v>40</v>
      </c>
      <c r="D55" s="252" t="s">
        <v>46</v>
      </c>
      <c r="E55" s="252" t="s">
        <v>40</v>
      </c>
      <c r="F55" s="253" t="s">
        <v>271</v>
      </c>
      <c r="G55" s="35" t="s">
        <v>51</v>
      </c>
      <c r="H55" s="266">
        <f>'прил10 (ведом 23-24)'!M349</f>
        <v>26623.599999999999</v>
      </c>
      <c r="I55" s="266">
        <f>'прил10 (ведом 23-24)'!N349</f>
        <v>26623.599999999999</v>
      </c>
    </row>
    <row r="56" spans="1:9" ht="36" x14ac:dyDescent="0.35">
      <c r="A56" s="431"/>
      <c r="B56" s="442" t="s">
        <v>56</v>
      </c>
      <c r="C56" s="251" t="s">
        <v>40</v>
      </c>
      <c r="D56" s="252" t="s">
        <v>46</v>
      </c>
      <c r="E56" s="252" t="s">
        <v>40</v>
      </c>
      <c r="F56" s="253" t="s">
        <v>271</v>
      </c>
      <c r="G56" s="35" t="s">
        <v>57</v>
      </c>
      <c r="H56" s="266">
        <f>'прил10 (ведом 23-24)'!M350</f>
        <v>3027.7</v>
      </c>
      <c r="I56" s="266">
        <f>'прил10 (ведом 23-24)'!N350</f>
        <v>3027.7</v>
      </c>
    </row>
    <row r="57" spans="1:9" ht="43.5" customHeight="1" x14ac:dyDescent="0.35">
      <c r="A57" s="431"/>
      <c r="B57" s="442" t="s">
        <v>77</v>
      </c>
      <c r="C57" s="251" t="s">
        <v>40</v>
      </c>
      <c r="D57" s="252" t="s">
        <v>46</v>
      </c>
      <c r="E57" s="252" t="s">
        <v>40</v>
      </c>
      <c r="F57" s="253" t="s">
        <v>271</v>
      </c>
      <c r="G57" s="35" t="s">
        <v>78</v>
      </c>
      <c r="H57" s="266">
        <f>'прил10 (ведом 23-24)'!M351</f>
        <v>372928</v>
      </c>
      <c r="I57" s="266">
        <f>'прил10 (ведом 23-24)'!N351</f>
        <v>372928</v>
      </c>
    </row>
    <row r="58" spans="1:9" ht="78" customHeight="1" x14ac:dyDescent="0.35">
      <c r="A58" s="431"/>
      <c r="B58" s="442" t="s">
        <v>210</v>
      </c>
      <c r="C58" s="639" t="s">
        <v>40</v>
      </c>
      <c r="D58" s="639" t="s">
        <v>46</v>
      </c>
      <c r="E58" s="639" t="s">
        <v>40</v>
      </c>
      <c r="F58" s="640" t="s">
        <v>276</v>
      </c>
      <c r="G58" s="291"/>
      <c r="H58" s="266">
        <f>SUM(H59:H60)</f>
        <v>2380.9</v>
      </c>
      <c r="I58" s="266">
        <f>SUM(I59:I60)</f>
        <v>2550.2999999999997</v>
      </c>
    </row>
    <row r="59" spans="1:9" ht="36" x14ac:dyDescent="0.35">
      <c r="A59" s="431"/>
      <c r="B59" s="264" t="s">
        <v>56</v>
      </c>
      <c r="C59" s="251" t="s">
        <v>40</v>
      </c>
      <c r="D59" s="252" t="s">
        <v>46</v>
      </c>
      <c r="E59" s="252" t="s">
        <v>40</v>
      </c>
      <c r="F59" s="253" t="s">
        <v>276</v>
      </c>
      <c r="G59" s="35" t="s">
        <v>57</v>
      </c>
      <c r="H59" s="266">
        <f>'прил10 (ведом 23-24)'!M353</f>
        <v>102.8</v>
      </c>
      <c r="I59" s="266">
        <f>'прил10 (ведом 23-24)'!N353</f>
        <v>111.2</v>
      </c>
    </row>
    <row r="60" spans="1:9" ht="45.75" customHeight="1" x14ac:dyDescent="0.35">
      <c r="A60" s="431"/>
      <c r="B60" s="442" t="s">
        <v>77</v>
      </c>
      <c r="C60" s="639" t="s">
        <v>40</v>
      </c>
      <c r="D60" s="639" t="s">
        <v>46</v>
      </c>
      <c r="E60" s="639" t="s">
        <v>40</v>
      </c>
      <c r="F60" s="640" t="s">
        <v>276</v>
      </c>
      <c r="G60" s="291" t="s">
        <v>78</v>
      </c>
      <c r="H60" s="266">
        <f>'прил10 (ведом 23-24)'!M354</f>
        <v>2278.1</v>
      </c>
      <c r="I60" s="266">
        <f>'прил10 (ведом 23-24)'!N354</f>
        <v>2439.1</v>
      </c>
    </row>
    <row r="61" spans="1:9" ht="143.4" customHeight="1" x14ac:dyDescent="0.35">
      <c r="A61" s="431"/>
      <c r="B61" s="24" t="s">
        <v>623</v>
      </c>
      <c r="C61" s="644" t="s">
        <v>40</v>
      </c>
      <c r="D61" s="645" t="s">
        <v>46</v>
      </c>
      <c r="E61" s="645" t="s">
        <v>40</v>
      </c>
      <c r="F61" s="646" t="s">
        <v>622</v>
      </c>
      <c r="G61" s="10"/>
      <c r="H61" s="266">
        <f>H62+H63</f>
        <v>1196.0999999999999</v>
      </c>
      <c r="I61" s="266">
        <f>I62+I63</f>
        <v>1196.0999999999999</v>
      </c>
    </row>
    <row r="62" spans="1:9" ht="45.75" customHeight="1" x14ac:dyDescent="0.35">
      <c r="A62" s="431"/>
      <c r="B62" s="24" t="s">
        <v>56</v>
      </c>
      <c r="C62" s="644" t="s">
        <v>40</v>
      </c>
      <c r="D62" s="645" t="s">
        <v>46</v>
      </c>
      <c r="E62" s="645" t="s">
        <v>40</v>
      </c>
      <c r="F62" s="646" t="s">
        <v>622</v>
      </c>
      <c r="G62" s="10" t="s">
        <v>57</v>
      </c>
      <c r="H62" s="266">
        <f>'прил10 (ведом 23-24)'!M356</f>
        <v>15</v>
      </c>
      <c r="I62" s="266">
        <f>'прил10 (ведом 23-24)'!N356</f>
        <v>15</v>
      </c>
    </row>
    <row r="63" spans="1:9" ht="45.75" customHeight="1" x14ac:dyDescent="0.35">
      <c r="A63" s="431"/>
      <c r="B63" s="24" t="s">
        <v>77</v>
      </c>
      <c r="C63" s="644" t="s">
        <v>40</v>
      </c>
      <c r="D63" s="645" t="s">
        <v>46</v>
      </c>
      <c r="E63" s="645" t="s">
        <v>40</v>
      </c>
      <c r="F63" s="646" t="s">
        <v>622</v>
      </c>
      <c r="G63" s="10" t="s">
        <v>78</v>
      </c>
      <c r="H63" s="266">
        <f>'прил10 (ведом 23-24)'!M357</f>
        <v>1181.0999999999999</v>
      </c>
      <c r="I63" s="266">
        <f>'прил10 (ведом 23-24)'!N357</f>
        <v>1181.0999999999999</v>
      </c>
    </row>
    <row r="64" spans="1:9" ht="72.75" customHeight="1" x14ac:dyDescent="0.35">
      <c r="A64" s="431"/>
      <c r="B64" s="264" t="s">
        <v>480</v>
      </c>
      <c r="C64" s="251" t="s">
        <v>40</v>
      </c>
      <c r="D64" s="252" t="s">
        <v>46</v>
      </c>
      <c r="E64" s="252" t="s">
        <v>40</v>
      </c>
      <c r="F64" s="253" t="s">
        <v>479</v>
      </c>
      <c r="G64" s="35"/>
      <c r="H64" s="266">
        <f>H65+H66</f>
        <v>56500.700000000004</v>
      </c>
      <c r="I64" s="266">
        <f>I65+I66</f>
        <v>57707.200000000004</v>
      </c>
    </row>
    <row r="65" spans="1:9" ht="33.75" customHeight="1" x14ac:dyDescent="0.35">
      <c r="A65" s="431"/>
      <c r="B65" s="264" t="s">
        <v>56</v>
      </c>
      <c r="C65" s="251" t="s">
        <v>40</v>
      </c>
      <c r="D65" s="252" t="s">
        <v>46</v>
      </c>
      <c r="E65" s="252" t="s">
        <v>40</v>
      </c>
      <c r="F65" s="253" t="s">
        <v>479</v>
      </c>
      <c r="G65" s="35" t="s">
        <v>57</v>
      </c>
      <c r="H65" s="266">
        <f>'прил10 (ведом 23-24)'!M359</f>
        <v>1755.4</v>
      </c>
      <c r="I65" s="266">
        <f>'прил10 (ведом 23-24)'!N359</f>
        <v>1801.9</v>
      </c>
    </row>
    <row r="66" spans="1:9" ht="35.25" customHeight="1" x14ac:dyDescent="0.35">
      <c r="A66" s="431"/>
      <c r="B66" s="264" t="s">
        <v>77</v>
      </c>
      <c r="C66" s="251" t="s">
        <v>40</v>
      </c>
      <c r="D66" s="252" t="s">
        <v>46</v>
      </c>
      <c r="E66" s="252" t="s">
        <v>40</v>
      </c>
      <c r="F66" s="253" t="s">
        <v>479</v>
      </c>
      <c r="G66" s="35" t="s">
        <v>78</v>
      </c>
      <c r="H66" s="266">
        <f>'прил10 (ведом 23-24)'!M360</f>
        <v>54745.3</v>
      </c>
      <c r="I66" s="266">
        <f>'прил10 (ведом 23-24)'!N360</f>
        <v>55905.3</v>
      </c>
    </row>
    <row r="67" spans="1:9" ht="158.4" customHeight="1" x14ac:dyDescent="0.35">
      <c r="A67" s="431"/>
      <c r="B67" s="24" t="s">
        <v>624</v>
      </c>
      <c r="C67" s="644" t="s">
        <v>40</v>
      </c>
      <c r="D67" s="645" t="s">
        <v>46</v>
      </c>
      <c r="E67" s="645" t="s">
        <v>40</v>
      </c>
      <c r="F67" s="646" t="s">
        <v>625</v>
      </c>
      <c r="G67" s="10"/>
      <c r="H67" s="266">
        <f>H68</f>
        <v>0</v>
      </c>
      <c r="I67" s="266">
        <f>I68</f>
        <v>3900.6</v>
      </c>
    </row>
    <row r="68" spans="1:9" ht="46.95" customHeight="1" x14ac:dyDescent="0.35">
      <c r="A68" s="431"/>
      <c r="B68" s="24" t="s">
        <v>77</v>
      </c>
      <c r="C68" s="644" t="s">
        <v>40</v>
      </c>
      <c r="D68" s="645" t="s">
        <v>46</v>
      </c>
      <c r="E68" s="645" t="s">
        <v>40</v>
      </c>
      <c r="F68" s="646" t="s">
        <v>625</v>
      </c>
      <c r="G68" s="10" t="s">
        <v>78</v>
      </c>
      <c r="H68" s="266">
        <f>'прил10 (ведом 23-24)'!M362</f>
        <v>0</v>
      </c>
      <c r="I68" s="266">
        <f>'прил10 (ведом 23-24)'!N362</f>
        <v>3900.6</v>
      </c>
    </row>
    <row r="69" spans="1:9" ht="77.400000000000006" customHeight="1" x14ac:dyDescent="0.35">
      <c r="A69" s="431"/>
      <c r="B69" s="24" t="s">
        <v>620</v>
      </c>
      <c r="C69" s="644" t="s">
        <v>40</v>
      </c>
      <c r="D69" s="645" t="s">
        <v>46</v>
      </c>
      <c r="E69" s="645" t="s">
        <v>40</v>
      </c>
      <c r="F69" s="646" t="s">
        <v>619</v>
      </c>
      <c r="G69" s="35"/>
      <c r="H69" s="266">
        <f>H70+H71+H72</f>
        <v>12523.9</v>
      </c>
      <c r="I69" s="266">
        <f>I70+I71+I72</f>
        <v>12447.800000000001</v>
      </c>
    </row>
    <row r="70" spans="1:9" ht="35.25" customHeight="1" x14ac:dyDescent="0.35">
      <c r="A70" s="431"/>
      <c r="B70" s="24" t="s">
        <v>56</v>
      </c>
      <c r="C70" s="644" t="s">
        <v>40</v>
      </c>
      <c r="D70" s="645" t="s">
        <v>46</v>
      </c>
      <c r="E70" s="645" t="s">
        <v>40</v>
      </c>
      <c r="F70" s="646" t="s">
        <v>619</v>
      </c>
      <c r="G70" s="10" t="s">
        <v>57</v>
      </c>
      <c r="H70" s="266">
        <f>'прил10 (ведом 23-24)'!M364</f>
        <v>80</v>
      </c>
      <c r="I70" s="266">
        <f>'прил10 (ведом 23-24)'!N364</f>
        <v>79.5</v>
      </c>
    </row>
    <row r="71" spans="1:9" ht="35.25" customHeight="1" x14ac:dyDescent="0.35">
      <c r="A71" s="431"/>
      <c r="B71" s="24" t="s">
        <v>121</v>
      </c>
      <c r="C71" s="644" t="s">
        <v>40</v>
      </c>
      <c r="D71" s="645" t="s">
        <v>46</v>
      </c>
      <c r="E71" s="645" t="s">
        <v>40</v>
      </c>
      <c r="F71" s="646" t="s">
        <v>619</v>
      </c>
      <c r="G71" s="10" t="s">
        <v>122</v>
      </c>
      <c r="H71" s="266">
        <f>'прил10 (ведом 23-24)'!M365</f>
        <v>64</v>
      </c>
      <c r="I71" s="266">
        <f>'прил10 (ведом 23-24)'!N365</f>
        <v>63.6</v>
      </c>
    </row>
    <row r="72" spans="1:9" ht="35.25" customHeight="1" x14ac:dyDescent="0.35">
      <c r="A72" s="431"/>
      <c r="B72" s="24" t="s">
        <v>77</v>
      </c>
      <c r="C72" s="644" t="s">
        <v>40</v>
      </c>
      <c r="D72" s="645" t="s">
        <v>46</v>
      </c>
      <c r="E72" s="645" t="s">
        <v>40</v>
      </c>
      <c r="F72" s="646" t="s">
        <v>619</v>
      </c>
      <c r="G72" s="10" t="s">
        <v>78</v>
      </c>
      <c r="H72" s="266">
        <f>'прил10 (ведом 23-24)'!M366</f>
        <v>12379.9</v>
      </c>
      <c r="I72" s="266">
        <f>'прил10 (ведом 23-24)'!N366</f>
        <v>12304.7</v>
      </c>
    </row>
    <row r="73" spans="1:9" ht="18" x14ac:dyDescent="0.35">
      <c r="A73" s="431"/>
      <c r="B73" s="442" t="s">
        <v>211</v>
      </c>
      <c r="C73" s="251" t="s">
        <v>40</v>
      </c>
      <c r="D73" s="252" t="s">
        <v>90</v>
      </c>
      <c r="E73" s="252" t="s">
        <v>44</v>
      </c>
      <c r="F73" s="253" t="s">
        <v>45</v>
      </c>
      <c r="G73" s="291"/>
      <c r="H73" s="266">
        <f>H74</f>
        <v>61998.399999999994</v>
      </c>
      <c r="I73" s="266">
        <f>I74</f>
        <v>67055.8</v>
      </c>
    </row>
    <row r="74" spans="1:9" ht="36" x14ac:dyDescent="0.35">
      <c r="A74" s="431"/>
      <c r="B74" s="442" t="s">
        <v>277</v>
      </c>
      <c r="C74" s="251" t="s">
        <v>40</v>
      </c>
      <c r="D74" s="252" t="s">
        <v>90</v>
      </c>
      <c r="E74" s="252" t="s">
        <v>38</v>
      </c>
      <c r="F74" s="253" t="s">
        <v>45</v>
      </c>
      <c r="G74" s="291"/>
      <c r="H74" s="266">
        <f>H75+H83+H85+H80</f>
        <v>61998.399999999994</v>
      </c>
      <c r="I74" s="266">
        <f>I75+I83+I85+I80</f>
        <v>67055.8</v>
      </c>
    </row>
    <row r="75" spans="1:9" ht="36" x14ac:dyDescent="0.35">
      <c r="A75" s="431"/>
      <c r="B75" s="442" t="s">
        <v>490</v>
      </c>
      <c r="C75" s="251" t="s">
        <v>40</v>
      </c>
      <c r="D75" s="252" t="s">
        <v>90</v>
      </c>
      <c r="E75" s="252" t="s">
        <v>38</v>
      </c>
      <c r="F75" s="253" t="s">
        <v>92</v>
      </c>
      <c r="G75" s="35"/>
      <c r="H75" s="266">
        <f>SUM(H76:H79)</f>
        <v>50541.2</v>
      </c>
      <c r="I75" s="266">
        <f>SUM(I76:I79)</f>
        <v>55595.3</v>
      </c>
    </row>
    <row r="76" spans="1:9" ht="90" x14ac:dyDescent="0.35">
      <c r="A76" s="431"/>
      <c r="B76" s="264" t="s">
        <v>50</v>
      </c>
      <c r="C76" s="251" t="s">
        <v>40</v>
      </c>
      <c r="D76" s="252" t="s">
        <v>90</v>
      </c>
      <c r="E76" s="252" t="s">
        <v>38</v>
      </c>
      <c r="F76" s="253" t="s">
        <v>92</v>
      </c>
      <c r="G76" s="35" t="s">
        <v>51</v>
      </c>
      <c r="H76" s="266">
        <f>'прил10 (ведом 23-24)'!M376</f>
        <v>20212.7</v>
      </c>
      <c r="I76" s="266">
        <f>'прил10 (ведом 23-24)'!N376</f>
        <v>20212.7</v>
      </c>
    </row>
    <row r="77" spans="1:9" ht="36" x14ac:dyDescent="0.35">
      <c r="A77" s="431"/>
      <c r="B77" s="264" t="s">
        <v>56</v>
      </c>
      <c r="C77" s="251" t="s">
        <v>40</v>
      </c>
      <c r="D77" s="252" t="s">
        <v>90</v>
      </c>
      <c r="E77" s="252" t="s">
        <v>38</v>
      </c>
      <c r="F77" s="253" t="s">
        <v>92</v>
      </c>
      <c r="G77" s="35" t="s">
        <v>57</v>
      </c>
      <c r="H77" s="266">
        <f>'прил10 (ведом 23-24)'!M377</f>
        <v>1988.9</v>
      </c>
      <c r="I77" s="266">
        <f>'прил10 (ведом 23-24)'!N377</f>
        <v>4230.6000000000004</v>
      </c>
    </row>
    <row r="78" spans="1:9" ht="46.5" customHeight="1" x14ac:dyDescent="0.35">
      <c r="A78" s="431"/>
      <c r="B78" s="442" t="s">
        <v>77</v>
      </c>
      <c r="C78" s="251" t="s">
        <v>40</v>
      </c>
      <c r="D78" s="252" t="s">
        <v>90</v>
      </c>
      <c r="E78" s="252" t="s">
        <v>38</v>
      </c>
      <c r="F78" s="253" t="s">
        <v>92</v>
      </c>
      <c r="G78" s="35" t="s">
        <v>78</v>
      </c>
      <c r="H78" s="266">
        <f>'прил10 (ведом 23-24)'!M378</f>
        <v>28226.400000000001</v>
      </c>
      <c r="I78" s="266">
        <f>'прил10 (ведом 23-24)'!N378</f>
        <v>31039</v>
      </c>
    </row>
    <row r="79" spans="1:9" ht="18" x14ac:dyDescent="0.35">
      <c r="A79" s="431"/>
      <c r="B79" s="264" t="s">
        <v>58</v>
      </c>
      <c r="C79" s="251" t="s">
        <v>40</v>
      </c>
      <c r="D79" s="252" t="s">
        <v>90</v>
      </c>
      <c r="E79" s="252" t="s">
        <v>38</v>
      </c>
      <c r="F79" s="253" t="s">
        <v>92</v>
      </c>
      <c r="G79" s="35" t="s">
        <v>59</v>
      </c>
      <c r="H79" s="266">
        <f>'прил10 (ведом 23-24)'!M379</f>
        <v>113.2</v>
      </c>
      <c r="I79" s="266">
        <f>'прил10 (ведом 23-24)'!N379</f>
        <v>113</v>
      </c>
    </row>
    <row r="80" spans="1:9" ht="36" x14ac:dyDescent="0.35">
      <c r="A80" s="431"/>
      <c r="B80" s="264" t="s">
        <v>208</v>
      </c>
      <c r="C80" s="251" t="s">
        <v>40</v>
      </c>
      <c r="D80" s="252" t="s">
        <v>90</v>
      </c>
      <c r="E80" s="252" t="s">
        <v>38</v>
      </c>
      <c r="F80" s="253" t="s">
        <v>274</v>
      </c>
      <c r="G80" s="35"/>
      <c r="H80" s="266">
        <f>H81+H82</f>
        <v>1260</v>
      </c>
      <c r="I80" s="266">
        <f>I81+I82</f>
        <v>1260</v>
      </c>
    </row>
    <row r="81" spans="1:9" ht="36" x14ac:dyDescent="0.35">
      <c r="A81" s="431"/>
      <c r="B81" s="264" t="s">
        <v>56</v>
      </c>
      <c r="C81" s="251" t="s">
        <v>40</v>
      </c>
      <c r="D81" s="252" t="s">
        <v>90</v>
      </c>
      <c r="E81" s="252" t="s">
        <v>38</v>
      </c>
      <c r="F81" s="253" t="s">
        <v>274</v>
      </c>
      <c r="G81" s="35" t="s">
        <v>57</v>
      </c>
      <c r="H81" s="266">
        <f>'прил10 (ведом 23-24)'!M381</f>
        <v>506.3</v>
      </c>
      <c r="I81" s="266">
        <f>'прил10 (ведом 23-24)'!N381</f>
        <v>506.3</v>
      </c>
    </row>
    <row r="82" spans="1:9" ht="36" x14ac:dyDescent="0.35">
      <c r="A82" s="431"/>
      <c r="B82" s="449" t="s">
        <v>77</v>
      </c>
      <c r="C82" s="251" t="s">
        <v>40</v>
      </c>
      <c r="D82" s="252" t="s">
        <v>90</v>
      </c>
      <c r="E82" s="252" t="s">
        <v>38</v>
      </c>
      <c r="F82" s="253" t="s">
        <v>274</v>
      </c>
      <c r="G82" s="35" t="s">
        <v>78</v>
      </c>
      <c r="H82" s="266">
        <f>'прил10 (ведом 23-24)'!M382</f>
        <v>753.7</v>
      </c>
      <c r="I82" s="266">
        <f>'прил10 (ведом 23-24)'!N382</f>
        <v>753.7</v>
      </c>
    </row>
    <row r="83" spans="1:9" ht="162" customHeight="1" x14ac:dyDescent="0.35">
      <c r="A83" s="431"/>
      <c r="B83" s="442" t="s">
        <v>269</v>
      </c>
      <c r="C83" s="251" t="s">
        <v>40</v>
      </c>
      <c r="D83" s="252" t="s">
        <v>90</v>
      </c>
      <c r="E83" s="252" t="s">
        <v>38</v>
      </c>
      <c r="F83" s="253" t="s">
        <v>270</v>
      </c>
      <c r="G83" s="35"/>
      <c r="H83" s="266">
        <f>H84</f>
        <v>110.4</v>
      </c>
      <c r="I83" s="266">
        <f>I84</f>
        <v>113.7</v>
      </c>
    </row>
    <row r="84" spans="1:9" ht="36" x14ac:dyDescent="0.35">
      <c r="A84" s="431"/>
      <c r="B84" s="264" t="s">
        <v>77</v>
      </c>
      <c r="C84" s="251" t="s">
        <v>40</v>
      </c>
      <c r="D84" s="252" t="s">
        <v>90</v>
      </c>
      <c r="E84" s="252" t="s">
        <v>38</v>
      </c>
      <c r="F84" s="253" t="s">
        <v>270</v>
      </c>
      <c r="G84" s="35" t="s">
        <v>78</v>
      </c>
      <c r="H84" s="266">
        <f>'прил10 (ведом 23-24)'!M384</f>
        <v>110.4</v>
      </c>
      <c r="I84" s="266">
        <f>'прил10 (ведом 23-24)'!N384</f>
        <v>113.7</v>
      </c>
    </row>
    <row r="85" spans="1:9" ht="96.75" customHeight="1" x14ac:dyDescent="0.35">
      <c r="A85" s="431"/>
      <c r="B85" s="264" t="s">
        <v>352</v>
      </c>
      <c r="C85" s="251" t="s">
        <v>40</v>
      </c>
      <c r="D85" s="252" t="s">
        <v>90</v>
      </c>
      <c r="E85" s="252" t="s">
        <v>38</v>
      </c>
      <c r="F85" s="253" t="s">
        <v>271</v>
      </c>
      <c r="G85" s="35"/>
      <c r="H85" s="266">
        <f>H86</f>
        <v>10086.799999999999</v>
      </c>
      <c r="I85" s="266">
        <f>I86</f>
        <v>10086.799999999999</v>
      </c>
    </row>
    <row r="86" spans="1:9" ht="45" customHeight="1" x14ac:dyDescent="0.35">
      <c r="A86" s="431"/>
      <c r="B86" s="264" t="s">
        <v>77</v>
      </c>
      <c r="C86" s="251" t="s">
        <v>40</v>
      </c>
      <c r="D86" s="252" t="s">
        <v>90</v>
      </c>
      <c r="E86" s="252" t="s">
        <v>38</v>
      </c>
      <c r="F86" s="253" t="s">
        <v>271</v>
      </c>
      <c r="G86" s="35" t="s">
        <v>78</v>
      </c>
      <c r="H86" s="266">
        <f>'прил10 (ведом 23-24)'!M386</f>
        <v>10086.799999999999</v>
      </c>
      <c r="I86" s="266">
        <f>'прил10 (ведом 23-24)'!N386</f>
        <v>10086.799999999999</v>
      </c>
    </row>
    <row r="87" spans="1:9" ht="42" customHeight="1" x14ac:dyDescent="0.35">
      <c r="A87" s="431"/>
      <c r="B87" s="442" t="s">
        <v>213</v>
      </c>
      <c r="C87" s="251" t="s">
        <v>40</v>
      </c>
      <c r="D87" s="252" t="s">
        <v>31</v>
      </c>
      <c r="E87" s="252" t="s">
        <v>44</v>
      </c>
      <c r="F87" s="253" t="s">
        <v>45</v>
      </c>
      <c r="G87" s="291"/>
      <c r="H87" s="266">
        <f>H88+H104+H109+H112+H115</f>
        <v>51757.100000000013</v>
      </c>
      <c r="I87" s="266">
        <f>I88+I104+I109+I112+I115</f>
        <v>75761.600000000006</v>
      </c>
    </row>
    <row r="88" spans="1:9" ht="36" x14ac:dyDescent="0.35">
      <c r="A88" s="431"/>
      <c r="B88" s="442" t="s">
        <v>283</v>
      </c>
      <c r="C88" s="251" t="s">
        <v>40</v>
      </c>
      <c r="D88" s="252" t="s">
        <v>31</v>
      </c>
      <c r="E88" s="252" t="s">
        <v>38</v>
      </c>
      <c r="F88" s="253" t="s">
        <v>45</v>
      </c>
      <c r="G88" s="291"/>
      <c r="H88" s="266">
        <f>H89+H93+H102+H100+H98</f>
        <v>43561.600000000006</v>
      </c>
      <c r="I88" s="266">
        <f>I89+I93+I102+I100+I98</f>
        <v>67566.100000000006</v>
      </c>
    </row>
    <row r="89" spans="1:9" ht="36" x14ac:dyDescent="0.35">
      <c r="A89" s="431"/>
      <c r="B89" s="442" t="s">
        <v>48</v>
      </c>
      <c r="C89" s="251" t="s">
        <v>40</v>
      </c>
      <c r="D89" s="252" t="s">
        <v>31</v>
      </c>
      <c r="E89" s="252" t="s">
        <v>38</v>
      </c>
      <c r="F89" s="253" t="s">
        <v>49</v>
      </c>
      <c r="G89" s="35"/>
      <c r="H89" s="266">
        <f>SUM(H90:H92)</f>
        <v>927.8</v>
      </c>
      <c r="I89" s="266">
        <f>SUM(I90:I92)</f>
        <v>10582.3</v>
      </c>
    </row>
    <row r="90" spans="1:9" ht="90" x14ac:dyDescent="0.35">
      <c r="A90" s="431"/>
      <c r="B90" s="442" t="s">
        <v>50</v>
      </c>
      <c r="C90" s="251" t="s">
        <v>40</v>
      </c>
      <c r="D90" s="252" t="s">
        <v>31</v>
      </c>
      <c r="E90" s="252" t="s">
        <v>38</v>
      </c>
      <c r="F90" s="253" t="s">
        <v>49</v>
      </c>
      <c r="G90" s="35" t="s">
        <v>51</v>
      </c>
      <c r="H90" s="266">
        <f>'прил10 (ведом 23-24)'!M405</f>
        <v>0</v>
      </c>
      <c r="I90" s="266">
        <f>'прил10 (ведом 23-24)'!N405</f>
        <v>9648.2999999999993</v>
      </c>
    </row>
    <row r="91" spans="1:9" ht="36" x14ac:dyDescent="0.35">
      <c r="A91" s="431"/>
      <c r="B91" s="442" t="s">
        <v>56</v>
      </c>
      <c r="C91" s="251" t="s">
        <v>40</v>
      </c>
      <c r="D91" s="252" t="s">
        <v>31</v>
      </c>
      <c r="E91" s="252" t="s">
        <v>38</v>
      </c>
      <c r="F91" s="253" t="s">
        <v>49</v>
      </c>
      <c r="G91" s="35" t="s">
        <v>57</v>
      </c>
      <c r="H91" s="266">
        <f>'прил10 (ведом 23-24)'!M406</f>
        <v>910.9</v>
      </c>
      <c r="I91" s="266">
        <f>'прил10 (ведом 23-24)'!N406</f>
        <v>917.2</v>
      </c>
    </row>
    <row r="92" spans="1:9" ht="18" x14ac:dyDescent="0.35">
      <c r="A92" s="431"/>
      <c r="B92" s="442" t="s">
        <v>58</v>
      </c>
      <c r="C92" s="251" t="s">
        <v>40</v>
      </c>
      <c r="D92" s="252" t="s">
        <v>31</v>
      </c>
      <c r="E92" s="252" t="s">
        <v>38</v>
      </c>
      <c r="F92" s="253" t="s">
        <v>49</v>
      </c>
      <c r="G92" s="35" t="s">
        <v>59</v>
      </c>
      <c r="H92" s="266">
        <f>'прил10 (ведом 23-24)'!M407</f>
        <v>16.899999999999999</v>
      </c>
      <c r="I92" s="266">
        <f>'прил10 (ведом 23-24)'!N407</f>
        <v>16.8</v>
      </c>
    </row>
    <row r="93" spans="1:9" ht="36" x14ac:dyDescent="0.35">
      <c r="A93" s="431"/>
      <c r="B93" s="442" t="s">
        <v>490</v>
      </c>
      <c r="C93" s="251" t="s">
        <v>40</v>
      </c>
      <c r="D93" s="252" t="s">
        <v>31</v>
      </c>
      <c r="E93" s="252" t="s">
        <v>38</v>
      </c>
      <c r="F93" s="253" t="s">
        <v>92</v>
      </c>
      <c r="G93" s="35"/>
      <c r="H93" s="266">
        <f>SUM(H94:H97)</f>
        <v>33630.5</v>
      </c>
      <c r="I93" s="266">
        <f>SUM(I94:I97)</f>
        <v>47980.5</v>
      </c>
    </row>
    <row r="94" spans="1:9" ht="90" x14ac:dyDescent="0.35">
      <c r="A94" s="431"/>
      <c r="B94" s="442" t="s">
        <v>50</v>
      </c>
      <c r="C94" s="251" t="s">
        <v>40</v>
      </c>
      <c r="D94" s="252" t="s">
        <v>31</v>
      </c>
      <c r="E94" s="252" t="s">
        <v>38</v>
      </c>
      <c r="F94" s="253" t="s">
        <v>92</v>
      </c>
      <c r="G94" s="35" t="s">
        <v>51</v>
      </c>
      <c r="H94" s="266">
        <f>'прил10 (ведом 23-24)'!M409</f>
        <v>24125.5</v>
      </c>
      <c r="I94" s="266">
        <f>'прил10 (ведом 23-24)'!N409</f>
        <v>28006.9</v>
      </c>
    </row>
    <row r="95" spans="1:9" ht="36" x14ac:dyDescent="0.35">
      <c r="A95" s="431"/>
      <c r="B95" s="442" t="s">
        <v>56</v>
      </c>
      <c r="C95" s="251" t="s">
        <v>40</v>
      </c>
      <c r="D95" s="252" t="s">
        <v>31</v>
      </c>
      <c r="E95" s="252" t="s">
        <v>38</v>
      </c>
      <c r="F95" s="253" t="s">
        <v>92</v>
      </c>
      <c r="G95" s="35" t="s">
        <v>57</v>
      </c>
      <c r="H95" s="266">
        <f>'прил10 (ведом 23-24)'!M410</f>
        <v>2651.3</v>
      </c>
      <c r="I95" s="266">
        <f>'прил10 (ведом 23-24)'!N410</f>
        <v>3071.4</v>
      </c>
    </row>
    <row r="96" spans="1:9" ht="45.75" customHeight="1" x14ac:dyDescent="0.35">
      <c r="A96" s="431"/>
      <c r="B96" s="264" t="s">
        <v>77</v>
      </c>
      <c r="C96" s="251" t="s">
        <v>40</v>
      </c>
      <c r="D96" s="252" t="s">
        <v>31</v>
      </c>
      <c r="E96" s="252" t="s">
        <v>38</v>
      </c>
      <c r="F96" s="253" t="s">
        <v>92</v>
      </c>
      <c r="G96" s="35" t="s">
        <v>78</v>
      </c>
      <c r="H96" s="266">
        <f>'прил10 (ведом 23-24)'!M411</f>
        <v>6847.9000000000015</v>
      </c>
      <c r="I96" s="266">
        <f>'прил10 (ведом 23-24)'!N411</f>
        <v>16896.7</v>
      </c>
    </row>
    <row r="97" spans="1:9" ht="18" x14ac:dyDescent="0.35">
      <c r="A97" s="431"/>
      <c r="B97" s="264" t="s">
        <v>58</v>
      </c>
      <c r="C97" s="251" t="s">
        <v>40</v>
      </c>
      <c r="D97" s="252" t="s">
        <v>31</v>
      </c>
      <c r="E97" s="252" t="s">
        <v>38</v>
      </c>
      <c r="F97" s="253" t="s">
        <v>92</v>
      </c>
      <c r="G97" s="35" t="s">
        <v>59</v>
      </c>
      <c r="H97" s="266">
        <f>'прил10 (ведом 23-24)'!M412</f>
        <v>5.8</v>
      </c>
      <c r="I97" s="266">
        <f>'прил10 (ведом 23-24)'!N412</f>
        <v>5.5</v>
      </c>
    </row>
    <row r="98" spans="1:9" ht="36" x14ac:dyDescent="0.35">
      <c r="A98" s="431"/>
      <c r="B98" s="24" t="s">
        <v>690</v>
      </c>
      <c r="C98" s="644" t="s">
        <v>40</v>
      </c>
      <c r="D98" s="645" t="s">
        <v>31</v>
      </c>
      <c r="E98" s="645" t="s">
        <v>38</v>
      </c>
      <c r="F98" s="646" t="s">
        <v>689</v>
      </c>
      <c r="G98" s="10"/>
      <c r="H98" s="266">
        <f>H99</f>
        <v>518.6</v>
      </c>
      <c r="I98" s="266">
        <f>I99</f>
        <v>518.6</v>
      </c>
    </row>
    <row r="99" spans="1:9" ht="36" x14ac:dyDescent="0.35">
      <c r="A99" s="431"/>
      <c r="B99" s="24" t="s">
        <v>77</v>
      </c>
      <c r="C99" s="644" t="s">
        <v>40</v>
      </c>
      <c r="D99" s="645" t="s">
        <v>31</v>
      </c>
      <c r="E99" s="645" t="s">
        <v>38</v>
      </c>
      <c r="F99" s="646" t="s">
        <v>689</v>
      </c>
      <c r="G99" s="10" t="s">
        <v>78</v>
      </c>
      <c r="H99" s="266">
        <f>'прил10 (ведом 23-24)'!M414</f>
        <v>518.6</v>
      </c>
      <c r="I99" s="266">
        <f>'прил10 (ведом 23-24)'!N414</f>
        <v>518.6</v>
      </c>
    </row>
    <row r="100" spans="1:9" ht="97.5" customHeight="1" x14ac:dyDescent="0.35">
      <c r="A100" s="431"/>
      <c r="B100" s="264" t="s">
        <v>352</v>
      </c>
      <c r="C100" s="251" t="s">
        <v>40</v>
      </c>
      <c r="D100" s="252" t="s">
        <v>31</v>
      </c>
      <c r="E100" s="252" t="s">
        <v>38</v>
      </c>
      <c r="F100" s="253" t="s">
        <v>271</v>
      </c>
      <c r="G100" s="35"/>
      <c r="H100" s="266">
        <f>SUM(H101:H101)</f>
        <v>6189.9</v>
      </c>
      <c r="I100" s="266">
        <f>SUM(I101:I101)</f>
        <v>6189.9</v>
      </c>
    </row>
    <row r="101" spans="1:9" ht="90" x14ac:dyDescent="0.35">
      <c r="A101" s="431"/>
      <c r="B101" s="264" t="s">
        <v>50</v>
      </c>
      <c r="C101" s="251" t="s">
        <v>40</v>
      </c>
      <c r="D101" s="252" t="s">
        <v>31</v>
      </c>
      <c r="E101" s="252" t="s">
        <v>38</v>
      </c>
      <c r="F101" s="253" t="s">
        <v>271</v>
      </c>
      <c r="G101" s="35" t="s">
        <v>51</v>
      </c>
      <c r="H101" s="266">
        <f>'прил10 (ведом 23-24)'!M416</f>
        <v>6189.9</v>
      </c>
      <c r="I101" s="266">
        <f>'прил10 (ведом 23-24)'!N416</f>
        <v>6189.9</v>
      </c>
    </row>
    <row r="102" spans="1:9" ht="214.5" customHeight="1" x14ac:dyDescent="0.35">
      <c r="A102" s="431"/>
      <c r="B102" s="264" t="s">
        <v>459</v>
      </c>
      <c r="C102" s="251" t="s">
        <v>40</v>
      </c>
      <c r="D102" s="252" t="s">
        <v>31</v>
      </c>
      <c r="E102" s="252" t="s">
        <v>38</v>
      </c>
      <c r="F102" s="253" t="s">
        <v>353</v>
      </c>
      <c r="G102" s="35"/>
      <c r="H102" s="266">
        <f>SUM(H103:H103)</f>
        <v>2294.8000000000002</v>
      </c>
      <c r="I102" s="266">
        <f>SUM(I103:I103)</f>
        <v>2294.8000000000002</v>
      </c>
    </row>
    <row r="103" spans="1:9" ht="45" customHeight="1" x14ac:dyDescent="0.35">
      <c r="A103" s="431"/>
      <c r="B103" s="264" t="s">
        <v>77</v>
      </c>
      <c r="C103" s="251" t="s">
        <v>40</v>
      </c>
      <c r="D103" s="252" t="s">
        <v>31</v>
      </c>
      <c r="E103" s="252" t="s">
        <v>38</v>
      </c>
      <c r="F103" s="253" t="s">
        <v>353</v>
      </c>
      <c r="G103" s="35" t="s">
        <v>78</v>
      </c>
      <c r="H103" s="266">
        <f>'прил10 (ведом 23-24)'!M370</f>
        <v>2294.8000000000002</v>
      </c>
      <c r="I103" s="266">
        <f>'прил10 (ведом 23-24)'!N370</f>
        <v>2294.8000000000002</v>
      </c>
    </row>
    <row r="104" spans="1:9" ht="45" customHeight="1" x14ac:dyDescent="0.35">
      <c r="A104" s="431"/>
      <c r="B104" s="264" t="s">
        <v>282</v>
      </c>
      <c r="C104" s="251" t="s">
        <v>40</v>
      </c>
      <c r="D104" s="252" t="s">
        <v>31</v>
      </c>
      <c r="E104" s="252" t="s">
        <v>40</v>
      </c>
      <c r="F104" s="253" t="s">
        <v>45</v>
      </c>
      <c r="G104" s="35"/>
      <c r="H104" s="266">
        <f>H105+H107</f>
        <v>7938.2999999999993</v>
      </c>
      <c r="I104" s="266">
        <f>I105+I107</f>
        <v>7938.2999999999993</v>
      </c>
    </row>
    <row r="105" spans="1:9" ht="45" customHeight="1" x14ac:dyDescent="0.35">
      <c r="A105" s="431"/>
      <c r="B105" s="264" t="s">
        <v>503</v>
      </c>
      <c r="C105" s="251" t="s">
        <v>40</v>
      </c>
      <c r="D105" s="252" t="s">
        <v>31</v>
      </c>
      <c r="E105" s="252" t="s">
        <v>40</v>
      </c>
      <c r="F105" s="253" t="s">
        <v>502</v>
      </c>
      <c r="G105" s="35"/>
      <c r="H105" s="266">
        <f>H106</f>
        <v>1188.3999999999999</v>
      </c>
      <c r="I105" s="266">
        <f>I106</f>
        <v>1188.3999999999999</v>
      </c>
    </row>
    <row r="106" spans="1:9" ht="45" customHeight="1" x14ac:dyDescent="0.35">
      <c r="A106" s="431"/>
      <c r="B106" s="264" t="s">
        <v>77</v>
      </c>
      <c r="C106" s="251" t="s">
        <v>40</v>
      </c>
      <c r="D106" s="252" t="s">
        <v>31</v>
      </c>
      <c r="E106" s="252" t="s">
        <v>40</v>
      </c>
      <c r="F106" s="253" t="s">
        <v>502</v>
      </c>
      <c r="G106" s="35" t="s">
        <v>78</v>
      </c>
      <c r="H106" s="266">
        <f>'прил10 (ведом 23-24)'!M397</f>
        <v>1188.3999999999999</v>
      </c>
      <c r="I106" s="266">
        <f>'прил10 (ведом 23-24)'!N397</f>
        <v>1188.3999999999999</v>
      </c>
    </row>
    <row r="107" spans="1:9" ht="109.5" customHeight="1" x14ac:dyDescent="0.35">
      <c r="A107" s="431"/>
      <c r="B107" s="264" t="s">
        <v>464</v>
      </c>
      <c r="C107" s="251" t="s">
        <v>40</v>
      </c>
      <c r="D107" s="252" t="s">
        <v>31</v>
      </c>
      <c r="E107" s="252" t="s">
        <v>40</v>
      </c>
      <c r="F107" s="253" t="s">
        <v>463</v>
      </c>
      <c r="G107" s="35"/>
      <c r="H107" s="266">
        <f>H108</f>
        <v>6749.9</v>
      </c>
      <c r="I107" s="266">
        <f>I108</f>
        <v>6749.9</v>
      </c>
    </row>
    <row r="108" spans="1:9" ht="39" customHeight="1" x14ac:dyDescent="0.35">
      <c r="A108" s="431"/>
      <c r="B108" s="264" t="s">
        <v>77</v>
      </c>
      <c r="C108" s="251" t="s">
        <v>40</v>
      </c>
      <c r="D108" s="252" t="s">
        <v>31</v>
      </c>
      <c r="E108" s="252" t="s">
        <v>40</v>
      </c>
      <c r="F108" s="253" t="s">
        <v>463</v>
      </c>
      <c r="G108" s="35" t="s">
        <v>78</v>
      </c>
      <c r="H108" s="266">
        <f>'прил10 (ведом 23-24)'!M399</f>
        <v>6749.9</v>
      </c>
      <c r="I108" s="266">
        <f>'прил10 (ведом 23-24)'!N399</f>
        <v>6749.9</v>
      </c>
    </row>
    <row r="109" spans="1:9" ht="36" customHeight="1" x14ac:dyDescent="0.35">
      <c r="A109" s="431"/>
      <c r="B109" s="290" t="s">
        <v>358</v>
      </c>
      <c r="C109" s="638" t="s">
        <v>40</v>
      </c>
      <c r="D109" s="639" t="s">
        <v>31</v>
      </c>
      <c r="E109" s="639" t="s">
        <v>64</v>
      </c>
      <c r="F109" s="640" t="s">
        <v>45</v>
      </c>
      <c r="G109" s="291"/>
      <c r="H109" s="266">
        <f>H110</f>
        <v>127.4</v>
      </c>
      <c r="I109" s="266">
        <f>I110</f>
        <v>127.4</v>
      </c>
    </row>
    <row r="110" spans="1:9" ht="51.75" customHeight="1" x14ac:dyDescent="0.35">
      <c r="A110" s="431"/>
      <c r="B110" s="290" t="s">
        <v>505</v>
      </c>
      <c r="C110" s="638" t="s">
        <v>40</v>
      </c>
      <c r="D110" s="639" t="s">
        <v>31</v>
      </c>
      <c r="E110" s="639" t="s">
        <v>64</v>
      </c>
      <c r="F110" s="640" t="s">
        <v>106</v>
      </c>
      <c r="G110" s="291"/>
      <c r="H110" s="266">
        <f>H111</f>
        <v>127.4</v>
      </c>
      <c r="I110" s="266">
        <f>I111</f>
        <v>127.4</v>
      </c>
    </row>
    <row r="111" spans="1:9" ht="36" x14ac:dyDescent="0.35">
      <c r="A111" s="431"/>
      <c r="B111" s="290" t="s">
        <v>56</v>
      </c>
      <c r="C111" s="638" t="s">
        <v>40</v>
      </c>
      <c r="D111" s="639" t="s">
        <v>31</v>
      </c>
      <c r="E111" s="639" t="s">
        <v>64</v>
      </c>
      <c r="F111" s="640" t="s">
        <v>106</v>
      </c>
      <c r="G111" s="291" t="s">
        <v>57</v>
      </c>
      <c r="H111" s="266">
        <f>'прил10 (ведом 23-24)'!M296</f>
        <v>127.4</v>
      </c>
      <c r="I111" s="266">
        <f>'прил10 (ведом 23-24)'!N296</f>
        <v>127.4</v>
      </c>
    </row>
    <row r="112" spans="1:9" ht="34.5" customHeight="1" x14ac:dyDescent="0.35">
      <c r="A112" s="431"/>
      <c r="B112" s="290" t="s">
        <v>494</v>
      </c>
      <c r="C112" s="638" t="s">
        <v>40</v>
      </c>
      <c r="D112" s="639" t="s">
        <v>31</v>
      </c>
      <c r="E112" s="639" t="s">
        <v>53</v>
      </c>
      <c r="F112" s="640" t="s">
        <v>45</v>
      </c>
      <c r="G112" s="291"/>
      <c r="H112" s="266">
        <f>H113</f>
        <v>24</v>
      </c>
      <c r="I112" s="266">
        <f>I113</f>
        <v>24</v>
      </c>
    </row>
    <row r="113" spans="1:9" ht="24" customHeight="1" x14ac:dyDescent="0.35">
      <c r="A113" s="431"/>
      <c r="B113" s="290" t="s">
        <v>506</v>
      </c>
      <c r="C113" s="638" t="s">
        <v>40</v>
      </c>
      <c r="D113" s="639" t="s">
        <v>31</v>
      </c>
      <c r="E113" s="639" t="s">
        <v>53</v>
      </c>
      <c r="F113" s="640" t="s">
        <v>493</v>
      </c>
      <c r="G113" s="291"/>
      <c r="H113" s="266">
        <f>H114</f>
        <v>24</v>
      </c>
      <c r="I113" s="266">
        <f>I114</f>
        <v>24</v>
      </c>
    </row>
    <row r="114" spans="1:9" ht="33.75" customHeight="1" x14ac:dyDescent="0.35">
      <c r="A114" s="431"/>
      <c r="B114" s="290" t="s">
        <v>56</v>
      </c>
      <c r="C114" s="638" t="s">
        <v>40</v>
      </c>
      <c r="D114" s="639" t="s">
        <v>31</v>
      </c>
      <c r="E114" s="639" t="s">
        <v>53</v>
      </c>
      <c r="F114" s="640" t="s">
        <v>493</v>
      </c>
      <c r="G114" s="291" t="s">
        <v>57</v>
      </c>
      <c r="H114" s="266">
        <f>'прил10 (ведом 23-24)'!M299</f>
        <v>24</v>
      </c>
      <c r="I114" s="266">
        <f>'прил10 (ведом 23-24)'!N299</f>
        <v>24</v>
      </c>
    </row>
    <row r="115" spans="1:9" ht="33.6" customHeight="1" x14ac:dyDescent="0.35">
      <c r="A115" s="431"/>
      <c r="B115" s="290" t="s">
        <v>504</v>
      </c>
      <c r="C115" s="638" t="s">
        <v>40</v>
      </c>
      <c r="D115" s="639" t="s">
        <v>31</v>
      </c>
      <c r="E115" s="639" t="s">
        <v>66</v>
      </c>
      <c r="F115" s="640" t="s">
        <v>45</v>
      </c>
      <c r="G115" s="291"/>
      <c r="H115" s="266">
        <f>H116</f>
        <v>105.8</v>
      </c>
      <c r="I115" s="266">
        <f>I116</f>
        <v>105.8</v>
      </c>
    </row>
    <row r="116" spans="1:9" ht="36.75" customHeight="1" x14ac:dyDescent="0.35">
      <c r="A116" s="431"/>
      <c r="B116" s="290" t="s">
        <v>128</v>
      </c>
      <c r="C116" s="638" t="s">
        <v>40</v>
      </c>
      <c r="D116" s="639" t="s">
        <v>31</v>
      </c>
      <c r="E116" s="639" t="s">
        <v>66</v>
      </c>
      <c r="F116" s="640" t="s">
        <v>91</v>
      </c>
      <c r="G116" s="291"/>
      <c r="H116" s="266">
        <f>H117</f>
        <v>105.8</v>
      </c>
      <c r="I116" s="266">
        <f>I117</f>
        <v>105.8</v>
      </c>
    </row>
    <row r="117" spans="1:9" ht="34.5" customHeight="1" x14ac:dyDescent="0.35">
      <c r="A117" s="431"/>
      <c r="B117" s="290" t="s">
        <v>56</v>
      </c>
      <c r="C117" s="638" t="s">
        <v>40</v>
      </c>
      <c r="D117" s="639" t="s">
        <v>31</v>
      </c>
      <c r="E117" s="639" t="s">
        <v>66</v>
      </c>
      <c r="F117" s="640" t="s">
        <v>91</v>
      </c>
      <c r="G117" s="291" t="s">
        <v>57</v>
      </c>
      <c r="H117" s="266">
        <f>'прил10 (ведом 23-24)'!M302</f>
        <v>105.8</v>
      </c>
      <c r="I117" s="266">
        <f>'прил10 (ведом 23-24)'!N302</f>
        <v>105.8</v>
      </c>
    </row>
    <row r="118" spans="1:9" ht="18" x14ac:dyDescent="0.35">
      <c r="A118" s="431"/>
      <c r="B118" s="450"/>
      <c r="C118" s="638"/>
      <c r="D118" s="639"/>
      <c r="E118" s="639"/>
      <c r="F118" s="640"/>
      <c r="G118" s="291"/>
      <c r="H118" s="266"/>
      <c r="I118" s="266"/>
    </row>
    <row r="119" spans="1:9" s="441" customFormat="1" ht="52.2" x14ac:dyDescent="0.3">
      <c r="A119" s="451">
        <v>2</v>
      </c>
      <c r="B119" s="370" t="s">
        <v>214</v>
      </c>
      <c r="C119" s="452" t="s">
        <v>64</v>
      </c>
      <c r="D119" s="452" t="s">
        <v>43</v>
      </c>
      <c r="E119" s="452" t="s">
        <v>44</v>
      </c>
      <c r="F119" s="453" t="s">
        <v>45</v>
      </c>
      <c r="G119" s="440"/>
      <c r="H119" s="316">
        <f>H120+H149+H142</f>
        <v>93411</v>
      </c>
      <c r="I119" s="316">
        <f>I120+I149+I142</f>
        <v>102079.3</v>
      </c>
    </row>
    <row r="120" spans="1:9" s="441" customFormat="1" ht="54" x14ac:dyDescent="0.35">
      <c r="A120" s="431"/>
      <c r="B120" s="454" t="s">
        <v>215</v>
      </c>
      <c r="C120" s="251" t="s">
        <v>64</v>
      </c>
      <c r="D120" s="252" t="s">
        <v>46</v>
      </c>
      <c r="E120" s="252" t="s">
        <v>44</v>
      </c>
      <c r="F120" s="253" t="s">
        <v>45</v>
      </c>
      <c r="G120" s="291"/>
      <c r="H120" s="266">
        <f>H121+H126+H129+H132+H139</f>
        <v>83755.100000000006</v>
      </c>
      <c r="I120" s="266">
        <f>I121+I126+I129+I132+I139</f>
        <v>91766.5</v>
      </c>
    </row>
    <row r="121" spans="1:9" s="441" customFormat="1" ht="36" x14ac:dyDescent="0.35">
      <c r="A121" s="431"/>
      <c r="B121" s="454" t="s">
        <v>277</v>
      </c>
      <c r="C121" s="251" t="s">
        <v>64</v>
      </c>
      <c r="D121" s="252" t="s">
        <v>46</v>
      </c>
      <c r="E121" s="252" t="s">
        <v>38</v>
      </c>
      <c r="F121" s="253" t="s">
        <v>45</v>
      </c>
      <c r="G121" s="291"/>
      <c r="H121" s="266">
        <f>H122+H124</f>
        <v>58973.3</v>
      </c>
      <c r="I121" s="266">
        <f>I122+I124</f>
        <v>64613.9</v>
      </c>
    </row>
    <row r="122" spans="1:9" s="441" customFormat="1" ht="36" x14ac:dyDescent="0.35">
      <c r="A122" s="431"/>
      <c r="B122" s="442" t="s">
        <v>490</v>
      </c>
      <c r="C122" s="251" t="s">
        <v>64</v>
      </c>
      <c r="D122" s="252" t="s">
        <v>46</v>
      </c>
      <c r="E122" s="252" t="s">
        <v>38</v>
      </c>
      <c r="F122" s="253" t="s">
        <v>92</v>
      </c>
      <c r="G122" s="35"/>
      <c r="H122" s="266">
        <f>H123</f>
        <v>56990</v>
      </c>
      <c r="I122" s="266">
        <f>I123</f>
        <v>62630.6</v>
      </c>
    </row>
    <row r="123" spans="1:9" s="441" customFormat="1" ht="42.75" customHeight="1" x14ac:dyDescent="0.35">
      <c r="A123" s="431"/>
      <c r="B123" s="448" t="s">
        <v>77</v>
      </c>
      <c r="C123" s="251" t="s">
        <v>64</v>
      </c>
      <c r="D123" s="252" t="s">
        <v>46</v>
      </c>
      <c r="E123" s="252" t="s">
        <v>38</v>
      </c>
      <c r="F123" s="253" t="s">
        <v>92</v>
      </c>
      <c r="G123" s="35" t="s">
        <v>78</v>
      </c>
      <c r="H123" s="266">
        <f>'прил10 (ведом 23-24)'!M440</f>
        <v>56990</v>
      </c>
      <c r="I123" s="266">
        <f>'прил10 (ведом 23-24)'!N440</f>
        <v>62630.6</v>
      </c>
    </row>
    <row r="124" spans="1:9" s="441" customFormat="1" ht="42.75" customHeight="1" x14ac:dyDescent="0.35">
      <c r="A124" s="431"/>
      <c r="B124" s="455" t="s">
        <v>318</v>
      </c>
      <c r="C124" s="251" t="s">
        <v>64</v>
      </c>
      <c r="D124" s="252" t="s">
        <v>46</v>
      </c>
      <c r="E124" s="252" t="s">
        <v>38</v>
      </c>
      <c r="F124" s="253" t="s">
        <v>319</v>
      </c>
      <c r="G124" s="35"/>
      <c r="H124" s="266">
        <f>'прил10 (ведом 23-24)'!M441</f>
        <v>1983.3</v>
      </c>
      <c r="I124" s="266">
        <f>'прил10 (ведом 23-24)'!N441</f>
        <v>1983.3</v>
      </c>
    </row>
    <row r="125" spans="1:9" s="441" customFormat="1" ht="42.75" customHeight="1" x14ac:dyDescent="0.35">
      <c r="A125" s="431"/>
      <c r="B125" s="455" t="s">
        <v>77</v>
      </c>
      <c r="C125" s="251" t="s">
        <v>64</v>
      </c>
      <c r="D125" s="252" t="s">
        <v>46</v>
      </c>
      <c r="E125" s="252" t="s">
        <v>38</v>
      </c>
      <c r="F125" s="253" t="s">
        <v>319</v>
      </c>
      <c r="G125" s="35" t="s">
        <v>78</v>
      </c>
      <c r="H125" s="266">
        <f>'прил10 (ведом 23-24)'!M442</f>
        <v>1983.3</v>
      </c>
      <c r="I125" s="266">
        <f>'прил10 (ведом 23-24)'!N442</f>
        <v>1983.3</v>
      </c>
    </row>
    <row r="126" spans="1:9" s="441" customFormat="1" ht="18" x14ac:dyDescent="0.35">
      <c r="A126" s="431"/>
      <c r="B126" s="455" t="s">
        <v>278</v>
      </c>
      <c r="C126" s="251" t="s">
        <v>64</v>
      </c>
      <c r="D126" s="252" t="s">
        <v>46</v>
      </c>
      <c r="E126" s="252" t="s">
        <v>40</v>
      </c>
      <c r="F126" s="253" t="s">
        <v>45</v>
      </c>
      <c r="G126" s="35"/>
      <c r="H126" s="266">
        <f>H127</f>
        <v>225</v>
      </c>
      <c r="I126" s="266">
        <f>I127</f>
        <v>225</v>
      </c>
    </row>
    <row r="127" spans="1:9" s="441" customFormat="1" ht="42.75" customHeight="1" x14ac:dyDescent="0.35">
      <c r="A127" s="431"/>
      <c r="B127" s="455" t="s">
        <v>212</v>
      </c>
      <c r="C127" s="251" t="s">
        <v>64</v>
      </c>
      <c r="D127" s="252" t="s">
        <v>46</v>
      </c>
      <c r="E127" s="252" t="s">
        <v>40</v>
      </c>
      <c r="F127" s="253" t="s">
        <v>280</v>
      </c>
      <c r="G127" s="35"/>
      <c r="H127" s="266">
        <f>H128</f>
        <v>225</v>
      </c>
      <c r="I127" s="266">
        <f>I128</f>
        <v>225</v>
      </c>
    </row>
    <row r="128" spans="1:9" s="441" customFormat="1" ht="18" x14ac:dyDescent="0.35">
      <c r="A128" s="431"/>
      <c r="B128" s="455" t="s">
        <v>121</v>
      </c>
      <c r="C128" s="251" t="s">
        <v>64</v>
      </c>
      <c r="D128" s="252" t="s">
        <v>46</v>
      </c>
      <c r="E128" s="252" t="s">
        <v>40</v>
      </c>
      <c r="F128" s="253" t="s">
        <v>280</v>
      </c>
      <c r="G128" s="35" t="s">
        <v>122</v>
      </c>
      <c r="H128" s="266">
        <f>'прил10 (ведом 23-24)'!M454</f>
        <v>225</v>
      </c>
      <c r="I128" s="266">
        <f>'прил10 (ведом 23-24)'!N454</f>
        <v>225</v>
      </c>
    </row>
    <row r="129" spans="1:9" s="441" customFormat="1" ht="18" x14ac:dyDescent="0.35">
      <c r="A129" s="431"/>
      <c r="B129" s="442" t="s">
        <v>320</v>
      </c>
      <c r="C129" s="456" t="s">
        <v>64</v>
      </c>
      <c r="D129" s="457" t="s">
        <v>46</v>
      </c>
      <c r="E129" s="457" t="s">
        <v>64</v>
      </c>
      <c r="F129" s="458" t="s">
        <v>45</v>
      </c>
      <c r="G129" s="459"/>
      <c r="H129" s="266">
        <f>H130</f>
        <v>11243.5</v>
      </c>
      <c r="I129" s="266">
        <f>I130</f>
        <v>12367.9</v>
      </c>
    </row>
    <row r="130" spans="1:9" s="441" customFormat="1" ht="36" x14ac:dyDescent="0.35">
      <c r="A130" s="431"/>
      <c r="B130" s="442" t="s">
        <v>490</v>
      </c>
      <c r="C130" s="456" t="s">
        <v>64</v>
      </c>
      <c r="D130" s="457" t="s">
        <v>46</v>
      </c>
      <c r="E130" s="457" t="s">
        <v>64</v>
      </c>
      <c r="F130" s="458" t="s">
        <v>92</v>
      </c>
      <c r="G130" s="459"/>
      <c r="H130" s="266">
        <f>H131</f>
        <v>11243.5</v>
      </c>
      <c r="I130" s="266">
        <f>I131</f>
        <v>12367.9</v>
      </c>
    </row>
    <row r="131" spans="1:9" s="441" customFormat="1" ht="45" customHeight="1" x14ac:dyDescent="0.35">
      <c r="A131" s="431"/>
      <c r="B131" s="448" t="s">
        <v>77</v>
      </c>
      <c r="C131" s="251" t="s">
        <v>64</v>
      </c>
      <c r="D131" s="252" t="s">
        <v>46</v>
      </c>
      <c r="E131" s="252" t="s">
        <v>64</v>
      </c>
      <c r="F131" s="253" t="s">
        <v>92</v>
      </c>
      <c r="G131" s="35" t="s">
        <v>78</v>
      </c>
      <c r="H131" s="266">
        <f>'прил10 (ведом 23-24)'!M461</f>
        <v>11243.5</v>
      </c>
      <c r="I131" s="266">
        <f>'прил10 (ведом 23-24)'!N461</f>
        <v>12367.9</v>
      </c>
    </row>
    <row r="132" spans="1:9" s="441" customFormat="1" ht="36" x14ac:dyDescent="0.35">
      <c r="A132" s="431"/>
      <c r="B132" s="448" t="s">
        <v>322</v>
      </c>
      <c r="C132" s="456" t="s">
        <v>64</v>
      </c>
      <c r="D132" s="457" t="s">
        <v>46</v>
      </c>
      <c r="E132" s="457" t="s">
        <v>53</v>
      </c>
      <c r="F132" s="253" t="s">
        <v>45</v>
      </c>
      <c r="G132" s="35"/>
      <c r="H132" s="266">
        <f>H133+H137</f>
        <v>13024.300000000001</v>
      </c>
      <c r="I132" s="266">
        <f>I133+I137</f>
        <v>14270.7</v>
      </c>
    </row>
    <row r="133" spans="1:9" s="441" customFormat="1" ht="36" x14ac:dyDescent="0.35">
      <c r="A133" s="431"/>
      <c r="B133" s="442" t="s">
        <v>490</v>
      </c>
      <c r="C133" s="456" t="s">
        <v>64</v>
      </c>
      <c r="D133" s="457" t="s">
        <v>46</v>
      </c>
      <c r="E133" s="457" t="s">
        <v>53</v>
      </c>
      <c r="F133" s="458" t="s">
        <v>92</v>
      </c>
      <c r="G133" s="459"/>
      <c r="H133" s="266">
        <f>SUM(H134:H136)</f>
        <v>11046.500000000002</v>
      </c>
      <c r="I133" s="266">
        <f>SUM(I134:I136)</f>
        <v>14270.7</v>
      </c>
    </row>
    <row r="134" spans="1:9" s="441" customFormat="1" ht="90" x14ac:dyDescent="0.35">
      <c r="A134" s="431"/>
      <c r="B134" s="264" t="s">
        <v>50</v>
      </c>
      <c r="C134" s="251" t="s">
        <v>64</v>
      </c>
      <c r="D134" s="252" t="s">
        <v>46</v>
      </c>
      <c r="E134" s="252" t="s">
        <v>53</v>
      </c>
      <c r="F134" s="253" t="s">
        <v>92</v>
      </c>
      <c r="G134" s="35" t="s">
        <v>51</v>
      </c>
      <c r="H134" s="266">
        <f>'прил10 (ведом 23-24)'!M464</f>
        <v>9917.8000000000011</v>
      </c>
      <c r="I134" s="266">
        <f>'прил10 (ведом 23-24)'!N464</f>
        <v>11895.6</v>
      </c>
    </row>
    <row r="135" spans="1:9" s="441" customFormat="1" ht="36" x14ac:dyDescent="0.35">
      <c r="A135" s="431"/>
      <c r="B135" s="264" t="s">
        <v>56</v>
      </c>
      <c r="C135" s="251" t="s">
        <v>64</v>
      </c>
      <c r="D135" s="252" t="s">
        <v>46</v>
      </c>
      <c r="E135" s="252" t="s">
        <v>53</v>
      </c>
      <c r="F135" s="253" t="s">
        <v>92</v>
      </c>
      <c r="G135" s="35" t="s">
        <v>57</v>
      </c>
      <c r="H135" s="266">
        <f>'прил10 (ведом 23-24)'!M465</f>
        <v>1081.7</v>
      </c>
      <c r="I135" s="266">
        <f>'прил10 (ведом 23-24)'!N465</f>
        <v>2328.1</v>
      </c>
    </row>
    <row r="136" spans="1:9" s="441" customFormat="1" ht="18" x14ac:dyDescent="0.35">
      <c r="A136" s="431"/>
      <c r="B136" s="264" t="s">
        <v>58</v>
      </c>
      <c r="C136" s="251" t="s">
        <v>64</v>
      </c>
      <c r="D136" s="252" t="s">
        <v>46</v>
      </c>
      <c r="E136" s="252" t="s">
        <v>53</v>
      </c>
      <c r="F136" s="253" t="s">
        <v>92</v>
      </c>
      <c r="G136" s="35" t="s">
        <v>59</v>
      </c>
      <c r="H136" s="266">
        <f>'прил10 (ведом 23-24)'!M466</f>
        <v>47</v>
      </c>
      <c r="I136" s="266">
        <f>'прил10 (ведом 23-24)'!N466</f>
        <v>47</v>
      </c>
    </row>
    <row r="137" spans="1:9" s="441" customFormat="1" ht="18" x14ac:dyDescent="0.35">
      <c r="A137" s="431"/>
      <c r="B137" s="24" t="s">
        <v>491</v>
      </c>
      <c r="C137" s="644" t="s">
        <v>64</v>
      </c>
      <c r="D137" s="645" t="s">
        <v>46</v>
      </c>
      <c r="E137" s="645" t="s">
        <v>53</v>
      </c>
      <c r="F137" s="646" t="s">
        <v>394</v>
      </c>
      <c r="G137" s="10"/>
      <c r="H137" s="266">
        <f>H138</f>
        <v>1977.8</v>
      </c>
      <c r="I137" s="266">
        <f>I138</f>
        <v>0</v>
      </c>
    </row>
    <row r="138" spans="1:9" s="441" customFormat="1" ht="36" x14ac:dyDescent="0.35">
      <c r="A138" s="431"/>
      <c r="B138" s="24" t="s">
        <v>56</v>
      </c>
      <c r="C138" s="644" t="s">
        <v>64</v>
      </c>
      <c r="D138" s="645" t="s">
        <v>46</v>
      </c>
      <c r="E138" s="645" t="s">
        <v>53</v>
      </c>
      <c r="F138" s="646" t="s">
        <v>394</v>
      </c>
      <c r="G138" s="10" t="s">
        <v>57</v>
      </c>
      <c r="H138" s="266">
        <f>'прил10 (ведом 23-24)'!M468</f>
        <v>1977.8</v>
      </c>
      <c r="I138" s="266">
        <f>'прил10 (ведом 23-24)'!N468</f>
        <v>0</v>
      </c>
    </row>
    <row r="139" spans="1:9" s="441" customFormat="1" ht="39.75" customHeight="1" x14ac:dyDescent="0.35">
      <c r="A139" s="431"/>
      <c r="B139" s="455" t="s">
        <v>282</v>
      </c>
      <c r="C139" s="251" t="s">
        <v>64</v>
      </c>
      <c r="D139" s="252" t="s">
        <v>46</v>
      </c>
      <c r="E139" s="252" t="s">
        <v>66</v>
      </c>
      <c r="F139" s="253" t="s">
        <v>45</v>
      </c>
      <c r="G139" s="35"/>
      <c r="H139" s="266">
        <f>'прил10 (ведом 23-24)'!M446</f>
        <v>289</v>
      </c>
      <c r="I139" s="266">
        <f>'прил10 (ведом 23-24)'!N446</f>
        <v>289</v>
      </c>
    </row>
    <row r="140" spans="1:9" s="441" customFormat="1" ht="36" x14ac:dyDescent="0.35">
      <c r="A140" s="431"/>
      <c r="B140" s="455" t="s">
        <v>503</v>
      </c>
      <c r="C140" s="251" t="s">
        <v>64</v>
      </c>
      <c r="D140" s="252" t="s">
        <v>46</v>
      </c>
      <c r="E140" s="252" t="s">
        <v>66</v>
      </c>
      <c r="F140" s="253" t="s">
        <v>502</v>
      </c>
      <c r="G140" s="35"/>
      <c r="H140" s="266">
        <f>'прил10 (ведом 23-24)'!M447</f>
        <v>289</v>
      </c>
      <c r="I140" s="266">
        <f>'прил10 (ведом 23-24)'!N447</f>
        <v>289</v>
      </c>
    </row>
    <row r="141" spans="1:9" s="441" customFormat="1" ht="34.5" customHeight="1" x14ac:dyDescent="0.35">
      <c r="A141" s="431"/>
      <c r="B141" s="455" t="s">
        <v>77</v>
      </c>
      <c r="C141" s="251" t="s">
        <v>64</v>
      </c>
      <c r="D141" s="252" t="s">
        <v>46</v>
      </c>
      <c r="E141" s="252" t="s">
        <v>66</v>
      </c>
      <c r="F141" s="253" t="s">
        <v>502</v>
      </c>
      <c r="G141" s="35" t="s">
        <v>78</v>
      </c>
      <c r="H141" s="266">
        <f>'прил10 (ведом 23-24)'!M448</f>
        <v>289</v>
      </c>
      <c r="I141" s="266">
        <f>'прил10 (ведом 23-24)'!N448</f>
        <v>289</v>
      </c>
    </row>
    <row r="142" spans="1:9" s="441" customFormat="1" ht="36" x14ac:dyDescent="0.35">
      <c r="A142" s="431"/>
      <c r="B142" s="264" t="s">
        <v>330</v>
      </c>
      <c r="C142" s="456" t="s">
        <v>64</v>
      </c>
      <c r="D142" s="457" t="s">
        <v>90</v>
      </c>
      <c r="E142" s="457" t="s">
        <v>44</v>
      </c>
      <c r="F142" s="253" t="s">
        <v>45</v>
      </c>
      <c r="G142" s="35"/>
      <c r="H142" s="266">
        <f>H143</f>
        <v>349.5</v>
      </c>
      <c r="I142" s="266">
        <f>I143</f>
        <v>349.5</v>
      </c>
    </row>
    <row r="143" spans="1:9" s="441" customFormat="1" ht="90" x14ac:dyDescent="0.35">
      <c r="A143" s="431"/>
      <c r="B143" s="455" t="s">
        <v>323</v>
      </c>
      <c r="C143" s="456" t="s">
        <v>64</v>
      </c>
      <c r="D143" s="457" t="s">
        <v>90</v>
      </c>
      <c r="E143" s="457" t="s">
        <v>64</v>
      </c>
      <c r="F143" s="253" t="s">
        <v>45</v>
      </c>
      <c r="G143" s="35"/>
      <c r="H143" s="266">
        <f>H147+H144</f>
        <v>349.5</v>
      </c>
      <c r="I143" s="266">
        <f>I147+I144</f>
        <v>349.5</v>
      </c>
    </row>
    <row r="144" spans="1:9" s="441" customFormat="1" ht="36" x14ac:dyDescent="0.35">
      <c r="A144" s="431"/>
      <c r="B144" s="455" t="s">
        <v>318</v>
      </c>
      <c r="C144" s="456" t="s">
        <v>64</v>
      </c>
      <c r="D144" s="457" t="s">
        <v>90</v>
      </c>
      <c r="E144" s="457" t="s">
        <v>64</v>
      </c>
      <c r="F144" s="253" t="s">
        <v>319</v>
      </c>
      <c r="G144" s="35"/>
      <c r="H144" s="266">
        <f>H145+H146</f>
        <v>307.39999999999998</v>
      </c>
      <c r="I144" s="266">
        <f>I145+I146</f>
        <v>307.39999999999998</v>
      </c>
    </row>
    <row r="145" spans="1:9" s="441" customFormat="1" ht="36" x14ac:dyDescent="0.35">
      <c r="A145" s="431"/>
      <c r="B145" s="264" t="s">
        <v>56</v>
      </c>
      <c r="C145" s="456" t="s">
        <v>64</v>
      </c>
      <c r="D145" s="457" t="s">
        <v>90</v>
      </c>
      <c r="E145" s="457" t="s">
        <v>64</v>
      </c>
      <c r="F145" s="253" t="s">
        <v>319</v>
      </c>
      <c r="G145" s="35" t="s">
        <v>57</v>
      </c>
      <c r="H145" s="266">
        <f>'прил10 (ведом 23-24)'!M472</f>
        <v>289.5</v>
      </c>
      <c r="I145" s="266">
        <f>'прил10 (ведом 23-24)'!N472</f>
        <v>289.5</v>
      </c>
    </row>
    <row r="146" spans="1:9" s="441" customFormat="1" ht="38.25" customHeight="1" x14ac:dyDescent="0.35">
      <c r="A146" s="431"/>
      <c r="B146" s="455" t="s">
        <v>77</v>
      </c>
      <c r="C146" s="456" t="s">
        <v>64</v>
      </c>
      <c r="D146" s="457" t="s">
        <v>90</v>
      </c>
      <c r="E146" s="457" t="s">
        <v>64</v>
      </c>
      <c r="F146" s="253" t="s">
        <v>319</v>
      </c>
      <c r="G146" s="35" t="s">
        <v>78</v>
      </c>
      <c r="H146" s="266">
        <f>'прил10 (ведом 23-24)'!M473</f>
        <v>17.899999999999999</v>
      </c>
      <c r="I146" s="266">
        <f>'прил10 (ведом 23-24)'!N473</f>
        <v>17.899999999999999</v>
      </c>
    </row>
    <row r="147" spans="1:9" s="441" customFormat="1" ht="36" x14ac:dyDescent="0.35">
      <c r="A147" s="431"/>
      <c r="B147" s="455" t="s">
        <v>433</v>
      </c>
      <c r="C147" s="251" t="s">
        <v>64</v>
      </c>
      <c r="D147" s="252" t="s">
        <v>90</v>
      </c>
      <c r="E147" s="252" t="s">
        <v>64</v>
      </c>
      <c r="F147" s="253" t="s">
        <v>434</v>
      </c>
      <c r="G147" s="35"/>
      <c r="H147" s="266">
        <f>H148</f>
        <v>42.1</v>
      </c>
      <c r="I147" s="266">
        <f>I148</f>
        <v>42.1</v>
      </c>
    </row>
    <row r="148" spans="1:9" s="441" customFormat="1" ht="42" customHeight="1" x14ac:dyDescent="0.35">
      <c r="A148" s="431"/>
      <c r="B148" s="455" t="s">
        <v>77</v>
      </c>
      <c r="C148" s="251" t="s">
        <v>64</v>
      </c>
      <c r="D148" s="252" t="s">
        <v>90</v>
      </c>
      <c r="E148" s="252" t="s">
        <v>64</v>
      </c>
      <c r="F148" s="253" t="s">
        <v>434</v>
      </c>
      <c r="G148" s="35" t="s">
        <v>78</v>
      </c>
      <c r="H148" s="266">
        <f>'прил10 (ведом 23-24)'!M475</f>
        <v>42.1</v>
      </c>
      <c r="I148" s="266">
        <f>'прил10 (ведом 23-24)'!N475</f>
        <v>42.1</v>
      </c>
    </row>
    <row r="149" spans="1:9" s="441" customFormat="1" ht="39" customHeight="1" x14ac:dyDescent="0.35">
      <c r="A149" s="431"/>
      <c r="B149" s="442" t="s">
        <v>217</v>
      </c>
      <c r="C149" s="251" t="s">
        <v>64</v>
      </c>
      <c r="D149" s="252" t="s">
        <v>31</v>
      </c>
      <c r="E149" s="252" t="s">
        <v>44</v>
      </c>
      <c r="F149" s="253" t="s">
        <v>45</v>
      </c>
      <c r="G149" s="291"/>
      <c r="H149" s="266">
        <f>H150+H159</f>
        <v>9306.4</v>
      </c>
      <c r="I149" s="266">
        <f>I150+I159</f>
        <v>9963.2999999999993</v>
      </c>
    </row>
    <row r="150" spans="1:9" s="441" customFormat="1" ht="36" x14ac:dyDescent="0.35">
      <c r="A150" s="431"/>
      <c r="B150" s="442" t="s">
        <v>283</v>
      </c>
      <c r="C150" s="251" t="s">
        <v>64</v>
      </c>
      <c r="D150" s="252" t="s">
        <v>31</v>
      </c>
      <c r="E150" s="252" t="s">
        <v>38</v>
      </c>
      <c r="F150" s="253" t="s">
        <v>45</v>
      </c>
      <c r="G150" s="35"/>
      <c r="H150" s="266">
        <f>H151+H155</f>
        <v>9253.1</v>
      </c>
      <c r="I150" s="266">
        <f>I151+I155</f>
        <v>9910</v>
      </c>
    </row>
    <row r="151" spans="1:9" ht="36" x14ac:dyDescent="0.35">
      <c r="A151" s="431"/>
      <c r="B151" s="442" t="s">
        <v>48</v>
      </c>
      <c r="C151" s="251" t="s">
        <v>64</v>
      </c>
      <c r="D151" s="252" t="s">
        <v>31</v>
      </c>
      <c r="E151" s="252" t="s">
        <v>38</v>
      </c>
      <c r="F151" s="253" t="s">
        <v>49</v>
      </c>
      <c r="G151" s="459"/>
      <c r="H151" s="266">
        <f>SUM(H152:H154)</f>
        <v>2982.2000000000003</v>
      </c>
      <c r="I151" s="266">
        <f>SUM(I152:I154)</f>
        <v>2983.1</v>
      </c>
    </row>
    <row r="152" spans="1:9" ht="90" x14ac:dyDescent="0.35">
      <c r="A152" s="431"/>
      <c r="B152" s="442" t="s">
        <v>50</v>
      </c>
      <c r="C152" s="251" t="s">
        <v>64</v>
      </c>
      <c r="D152" s="252" t="s">
        <v>31</v>
      </c>
      <c r="E152" s="252" t="s">
        <v>38</v>
      </c>
      <c r="F152" s="253" t="s">
        <v>49</v>
      </c>
      <c r="G152" s="459" t="s">
        <v>51</v>
      </c>
      <c r="H152" s="266">
        <f>'прил10 (ведом 23-24)'!M481</f>
        <v>2712.1</v>
      </c>
      <c r="I152" s="266">
        <f>'прил10 (ведом 23-24)'!N481</f>
        <v>2712.1</v>
      </c>
    </row>
    <row r="153" spans="1:9" ht="36" x14ac:dyDescent="0.35">
      <c r="A153" s="431"/>
      <c r="B153" s="442" t="s">
        <v>56</v>
      </c>
      <c r="C153" s="251" t="s">
        <v>64</v>
      </c>
      <c r="D153" s="252" t="s">
        <v>31</v>
      </c>
      <c r="E153" s="252" t="s">
        <v>38</v>
      </c>
      <c r="F153" s="253" t="s">
        <v>49</v>
      </c>
      <c r="G153" s="459" t="s">
        <v>57</v>
      </c>
      <c r="H153" s="266">
        <f>'прил10 (ведом 23-24)'!M482</f>
        <v>265.8</v>
      </c>
      <c r="I153" s="266">
        <f>'прил10 (ведом 23-24)'!N482</f>
        <v>266.7</v>
      </c>
    </row>
    <row r="154" spans="1:9" ht="18" x14ac:dyDescent="0.35">
      <c r="A154" s="431"/>
      <c r="B154" s="264" t="s">
        <v>58</v>
      </c>
      <c r="C154" s="251" t="s">
        <v>64</v>
      </c>
      <c r="D154" s="252" t="s">
        <v>31</v>
      </c>
      <c r="E154" s="252" t="s">
        <v>38</v>
      </c>
      <c r="F154" s="253" t="s">
        <v>49</v>
      </c>
      <c r="G154" s="35" t="s">
        <v>59</v>
      </c>
      <c r="H154" s="266">
        <f>'прил10 (ведом 23-24)'!M483</f>
        <v>4.3</v>
      </c>
      <c r="I154" s="266">
        <f>'прил10 (ведом 23-24)'!N483</f>
        <v>4.3</v>
      </c>
    </row>
    <row r="155" spans="1:9" ht="36" x14ac:dyDescent="0.35">
      <c r="A155" s="431"/>
      <c r="B155" s="442" t="s">
        <v>490</v>
      </c>
      <c r="C155" s="251" t="s">
        <v>64</v>
      </c>
      <c r="D155" s="252" t="s">
        <v>31</v>
      </c>
      <c r="E155" s="252" t="s">
        <v>38</v>
      </c>
      <c r="F155" s="253" t="s">
        <v>92</v>
      </c>
      <c r="G155" s="35"/>
      <c r="H155" s="266">
        <f>SUM(H156:H158)</f>
        <v>6270.9000000000005</v>
      </c>
      <c r="I155" s="266">
        <f>SUM(I156:I158)</f>
        <v>6926.9000000000005</v>
      </c>
    </row>
    <row r="156" spans="1:9" ht="90" x14ac:dyDescent="0.35">
      <c r="A156" s="431"/>
      <c r="B156" s="442" t="s">
        <v>50</v>
      </c>
      <c r="C156" s="251" t="s">
        <v>64</v>
      </c>
      <c r="D156" s="252" t="s">
        <v>31</v>
      </c>
      <c r="E156" s="252" t="s">
        <v>38</v>
      </c>
      <c r="F156" s="253" t="s">
        <v>92</v>
      </c>
      <c r="G156" s="459" t="s">
        <v>51</v>
      </c>
      <c r="H156" s="266">
        <f>'прил10 (ведом 23-24)'!M485</f>
        <v>6121.1</v>
      </c>
      <c r="I156" s="266">
        <f>'прил10 (ведом 23-24)'!N485</f>
        <v>6121.1</v>
      </c>
    </row>
    <row r="157" spans="1:9" ht="36" x14ac:dyDescent="0.35">
      <c r="A157" s="431"/>
      <c r="B157" s="264" t="s">
        <v>56</v>
      </c>
      <c r="C157" s="251" t="s">
        <v>64</v>
      </c>
      <c r="D157" s="252" t="s">
        <v>31</v>
      </c>
      <c r="E157" s="252" t="s">
        <v>38</v>
      </c>
      <c r="F157" s="253" t="s">
        <v>92</v>
      </c>
      <c r="G157" s="459" t="s">
        <v>57</v>
      </c>
      <c r="H157" s="266">
        <f>'прил10 (ведом 23-24)'!M486</f>
        <v>148.19999999999999</v>
      </c>
      <c r="I157" s="266">
        <f>'прил10 (ведом 23-24)'!N486</f>
        <v>804.2</v>
      </c>
    </row>
    <row r="158" spans="1:9" ht="18" x14ac:dyDescent="0.35">
      <c r="A158" s="431"/>
      <c r="B158" s="264" t="s">
        <v>58</v>
      </c>
      <c r="C158" s="251" t="s">
        <v>64</v>
      </c>
      <c r="D158" s="252" t="s">
        <v>31</v>
      </c>
      <c r="E158" s="252" t="s">
        <v>38</v>
      </c>
      <c r="F158" s="253" t="s">
        <v>92</v>
      </c>
      <c r="G158" s="35" t="s">
        <v>59</v>
      </c>
      <c r="H158" s="266">
        <f>'прил10 (ведом 23-24)'!M487</f>
        <v>1.6</v>
      </c>
      <c r="I158" s="266">
        <f>'прил10 (ведом 23-24)'!N487</f>
        <v>1.6</v>
      </c>
    </row>
    <row r="159" spans="1:9" ht="36" x14ac:dyDescent="0.35">
      <c r="A159" s="431"/>
      <c r="B159" s="264" t="s">
        <v>358</v>
      </c>
      <c r="C159" s="251" t="s">
        <v>64</v>
      </c>
      <c r="D159" s="252" t="s">
        <v>31</v>
      </c>
      <c r="E159" s="252" t="s">
        <v>40</v>
      </c>
      <c r="F159" s="253" t="s">
        <v>45</v>
      </c>
      <c r="G159" s="186"/>
      <c r="H159" s="266">
        <f>H160</f>
        <v>53.3</v>
      </c>
      <c r="I159" s="266">
        <f>I160</f>
        <v>53.3</v>
      </c>
    </row>
    <row r="160" spans="1:9" ht="54" x14ac:dyDescent="0.35">
      <c r="A160" s="431"/>
      <c r="B160" s="264" t="s">
        <v>359</v>
      </c>
      <c r="C160" s="251" t="s">
        <v>64</v>
      </c>
      <c r="D160" s="252" t="s">
        <v>31</v>
      </c>
      <c r="E160" s="252" t="s">
        <v>40</v>
      </c>
      <c r="F160" s="253" t="s">
        <v>106</v>
      </c>
      <c r="G160" s="186"/>
      <c r="H160" s="266">
        <f>H161</f>
        <v>53.3</v>
      </c>
      <c r="I160" s="266">
        <f>I161</f>
        <v>53.3</v>
      </c>
    </row>
    <row r="161" spans="1:9" ht="36" x14ac:dyDescent="0.35">
      <c r="A161" s="431"/>
      <c r="B161" s="264" t="s">
        <v>56</v>
      </c>
      <c r="C161" s="251" t="s">
        <v>64</v>
      </c>
      <c r="D161" s="252" t="s">
        <v>31</v>
      </c>
      <c r="E161" s="252" t="s">
        <v>40</v>
      </c>
      <c r="F161" s="253" t="s">
        <v>106</v>
      </c>
      <c r="G161" s="35" t="s">
        <v>57</v>
      </c>
      <c r="H161" s="266">
        <f>'прил10 (ведом 23-24)'!M433</f>
        <v>53.3</v>
      </c>
      <c r="I161" s="266">
        <f>'прил10 (ведом 23-24)'!N433</f>
        <v>53.3</v>
      </c>
    </row>
    <row r="162" spans="1:9" ht="18" x14ac:dyDescent="0.35">
      <c r="A162" s="431"/>
      <c r="B162" s="450"/>
      <c r="C162" s="639"/>
      <c r="D162" s="460"/>
      <c r="E162" s="376"/>
      <c r="F162" s="461"/>
      <c r="G162" s="291"/>
      <c r="H162" s="266"/>
      <c r="I162" s="266"/>
    </row>
    <row r="163" spans="1:9" s="441" customFormat="1" ht="52.2" x14ac:dyDescent="0.3">
      <c r="A163" s="451">
        <v>3</v>
      </c>
      <c r="B163" s="462" t="s">
        <v>218</v>
      </c>
      <c r="C163" s="452" t="s">
        <v>53</v>
      </c>
      <c r="D163" s="452" t="s">
        <v>43</v>
      </c>
      <c r="E163" s="452" t="s">
        <v>44</v>
      </c>
      <c r="F163" s="453" t="s">
        <v>45</v>
      </c>
      <c r="G163" s="440"/>
      <c r="H163" s="316">
        <f>H164+H175+H197</f>
        <v>49780.4</v>
      </c>
      <c r="I163" s="316">
        <f>I164+I175+I197</f>
        <v>30671.499999999996</v>
      </c>
    </row>
    <row r="164" spans="1:9" s="441" customFormat="1" ht="25.5" customHeight="1" x14ac:dyDescent="0.35">
      <c r="A164" s="451"/>
      <c r="B164" s="267" t="s">
        <v>219</v>
      </c>
      <c r="C164" s="251" t="s">
        <v>53</v>
      </c>
      <c r="D164" s="252" t="s">
        <v>46</v>
      </c>
      <c r="E164" s="252" t="s">
        <v>44</v>
      </c>
      <c r="F164" s="253" t="s">
        <v>45</v>
      </c>
      <c r="G164" s="440"/>
      <c r="H164" s="266">
        <f>H165+H168+H172</f>
        <v>3887.6000000000004</v>
      </c>
      <c r="I164" s="266">
        <f>I165+I168+I172</f>
        <v>854.7</v>
      </c>
    </row>
    <row r="165" spans="1:9" s="441" customFormat="1" ht="18" x14ac:dyDescent="0.35">
      <c r="A165" s="451"/>
      <c r="B165" s="264" t="s">
        <v>278</v>
      </c>
      <c r="C165" s="251" t="s">
        <v>53</v>
      </c>
      <c r="D165" s="252" t="s">
        <v>46</v>
      </c>
      <c r="E165" s="252" t="s">
        <v>38</v>
      </c>
      <c r="F165" s="253" t="s">
        <v>45</v>
      </c>
      <c r="G165" s="35"/>
      <c r="H165" s="266">
        <f>H166</f>
        <v>225</v>
      </c>
      <c r="I165" s="266">
        <f>I166</f>
        <v>225</v>
      </c>
    </row>
    <row r="166" spans="1:9" s="441" customFormat="1" ht="36" x14ac:dyDescent="0.35">
      <c r="A166" s="451"/>
      <c r="B166" s="264" t="s">
        <v>279</v>
      </c>
      <c r="C166" s="251" t="s">
        <v>53</v>
      </c>
      <c r="D166" s="252" t="s">
        <v>46</v>
      </c>
      <c r="E166" s="252" t="s">
        <v>38</v>
      </c>
      <c r="F166" s="253" t="s">
        <v>280</v>
      </c>
      <c r="G166" s="35"/>
      <c r="H166" s="266">
        <f>H167</f>
        <v>225</v>
      </c>
      <c r="I166" s="266">
        <f>I167</f>
        <v>225</v>
      </c>
    </row>
    <row r="167" spans="1:9" s="441" customFormat="1" ht="27" customHeight="1" x14ac:dyDescent="0.35">
      <c r="A167" s="451"/>
      <c r="B167" s="264" t="s">
        <v>121</v>
      </c>
      <c r="C167" s="251" t="s">
        <v>53</v>
      </c>
      <c r="D167" s="252" t="s">
        <v>46</v>
      </c>
      <c r="E167" s="252" t="s">
        <v>38</v>
      </c>
      <c r="F167" s="253" t="s">
        <v>280</v>
      </c>
      <c r="G167" s="35" t="s">
        <v>122</v>
      </c>
      <c r="H167" s="266">
        <f>'прил10 (ведом 23-24)'!M503</f>
        <v>225</v>
      </c>
      <c r="I167" s="266">
        <f>'прил10 (ведом 23-24)'!N503</f>
        <v>225</v>
      </c>
    </row>
    <row r="168" spans="1:9" ht="54" x14ac:dyDescent="0.35">
      <c r="A168" s="431"/>
      <c r="B168" s="264" t="s">
        <v>293</v>
      </c>
      <c r="C168" s="251" t="s">
        <v>53</v>
      </c>
      <c r="D168" s="252" t="s">
        <v>46</v>
      </c>
      <c r="E168" s="252" t="s">
        <v>40</v>
      </c>
      <c r="F168" s="253" t="s">
        <v>45</v>
      </c>
      <c r="G168" s="35"/>
      <c r="H168" s="266">
        <f>H169</f>
        <v>710.6</v>
      </c>
      <c r="I168" s="266">
        <f>I169</f>
        <v>629.70000000000005</v>
      </c>
    </row>
    <row r="169" spans="1:9" ht="36" x14ac:dyDescent="0.35">
      <c r="A169" s="431"/>
      <c r="B169" s="264" t="s">
        <v>220</v>
      </c>
      <c r="C169" s="251" t="s">
        <v>53</v>
      </c>
      <c r="D169" s="252" t="s">
        <v>46</v>
      </c>
      <c r="E169" s="252" t="s">
        <v>40</v>
      </c>
      <c r="F169" s="253" t="s">
        <v>294</v>
      </c>
      <c r="G169" s="35"/>
      <c r="H169" s="266">
        <f>H170+H171</f>
        <v>710.6</v>
      </c>
      <c r="I169" s="266">
        <f>I170+I171</f>
        <v>629.70000000000005</v>
      </c>
    </row>
    <row r="170" spans="1:9" ht="90" x14ac:dyDescent="0.35">
      <c r="A170" s="431"/>
      <c r="B170" s="264" t="s">
        <v>50</v>
      </c>
      <c r="C170" s="251" t="s">
        <v>53</v>
      </c>
      <c r="D170" s="252" t="s">
        <v>46</v>
      </c>
      <c r="E170" s="252" t="s">
        <v>40</v>
      </c>
      <c r="F170" s="253" t="s">
        <v>294</v>
      </c>
      <c r="G170" s="35" t="s">
        <v>51</v>
      </c>
      <c r="H170" s="266">
        <f>'прил10 (ведом 23-24)'!M523</f>
        <v>561.70000000000005</v>
      </c>
      <c r="I170" s="266">
        <f>'прил10 (ведом 23-24)'!N523</f>
        <v>561.70000000000005</v>
      </c>
    </row>
    <row r="171" spans="1:9" ht="36" x14ac:dyDescent="0.35">
      <c r="A171" s="431"/>
      <c r="B171" s="264" t="s">
        <v>56</v>
      </c>
      <c r="C171" s="251" t="s">
        <v>53</v>
      </c>
      <c r="D171" s="252" t="s">
        <v>46</v>
      </c>
      <c r="E171" s="252" t="s">
        <v>40</v>
      </c>
      <c r="F171" s="253" t="s">
        <v>294</v>
      </c>
      <c r="G171" s="35" t="s">
        <v>57</v>
      </c>
      <c r="H171" s="266">
        <f>'прил10 (ведом 23-24)'!M524</f>
        <v>148.9</v>
      </c>
      <c r="I171" s="266">
        <f>'прил10 (ведом 23-24)'!N524</f>
        <v>68</v>
      </c>
    </row>
    <row r="172" spans="1:9" s="441" customFormat="1" ht="27" customHeight="1" x14ac:dyDescent="0.35">
      <c r="A172" s="451"/>
      <c r="B172" s="264" t="s">
        <v>527</v>
      </c>
      <c r="C172" s="251" t="s">
        <v>53</v>
      </c>
      <c r="D172" s="252" t="s">
        <v>46</v>
      </c>
      <c r="E172" s="252" t="s">
        <v>526</v>
      </c>
      <c r="F172" s="253" t="s">
        <v>45</v>
      </c>
      <c r="G172" s="35"/>
      <c r="H172" s="266">
        <f>H173</f>
        <v>2952.0000000000005</v>
      </c>
      <c r="I172" s="266">
        <f>I173</f>
        <v>0</v>
      </c>
    </row>
    <row r="173" spans="1:9" s="441" customFormat="1" ht="40.5" customHeight="1" x14ac:dyDescent="0.35">
      <c r="A173" s="451"/>
      <c r="B173" s="264" t="s">
        <v>528</v>
      </c>
      <c r="C173" s="251" t="s">
        <v>53</v>
      </c>
      <c r="D173" s="252" t="s">
        <v>46</v>
      </c>
      <c r="E173" s="252" t="s">
        <v>526</v>
      </c>
      <c r="F173" s="253" t="s">
        <v>538</v>
      </c>
      <c r="G173" s="35"/>
      <c r="H173" s="266">
        <f>H174</f>
        <v>2952.0000000000005</v>
      </c>
      <c r="I173" s="266">
        <f>I174</f>
        <v>0</v>
      </c>
    </row>
    <row r="174" spans="1:9" s="441" customFormat="1" ht="37.5" customHeight="1" x14ac:dyDescent="0.35">
      <c r="A174" s="451"/>
      <c r="B174" s="264" t="s">
        <v>56</v>
      </c>
      <c r="C174" s="251" t="s">
        <v>53</v>
      </c>
      <c r="D174" s="252" t="s">
        <v>46</v>
      </c>
      <c r="E174" s="252" t="s">
        <v>526</v>
      </c>
      <c r="F174" s="253" t="s">
        <v>538</v>
      </c>
      <c r="G174" s="35" t="s">
        <v>57</v>
      </c>
      <c r="H174" s="266">
        <f>'прил10 (ведом 23-24)'!M527</f>
        <v>2952.0000000000005</v>
      </c>
      <c r="I174" s="266">
        <f>'прил10 (ведом 23-24)'!N527</f>
        <v>0</v>
      </c>
    </row>
    <row r="175" spans="1:9" ht="23.25" customHeight="1" x14ac:dyDescent="0.35">
      <c r="A175" s="431"/>
      <c r="B175" s="442" t="s">
        <v>221</v>
      </c>
      <c r="C175" s="251" t="s">
        <v>53</v>
      </c>
      <c r="D175" s="252" t="s">
        <v>90</v>
      </c>
      <c r="E175" s="252" t="s">
        <v>44</v>
      </c>
      <c r="F175" s="253" t="s">
        <v>45</v>
      </c>
      <c r="G175" s="291"/>
      <c r="H175" s="266">
        <f>H176+H181+H194</f>
        <v>34713.800000000003</v>
      </c>
      <c r="I175" s="266">
        <f>I176+I181+I194</f>
        <v>29816.799999999996</v>
      </c>
    </row>
    <row r="176" spans="1:9" ht="36" x14ac:dyDescent="0.35">
      <c r="A176" s="431"/>
      <c r="B176" s="442" t="s">
        <v>283</v>
      </c>
      <c r="C176" s="251" t="s">
        <v>53</v>
      </c>
      <c r="D176" s="252" t="s">
        <v>90</v>
      </c>
      <c r="E176" s="252" t="s">
        <v>38</v>
      </c>
      <c r="F176" s="253" t="s">
        <v>45</v>
      </c>
      <c r="G176" s="35"/>
      <c r="H176" s="266">
        <f>H177</f>
        <v>2486.9</v>
      </c>
      <c r="I176" s="266">
        <f>I177</f>
        <v>2487.9</v>
      </c>
    </row>
    <row r="177" spans="1:9" ht="36" x14ac:dyDescent="0.35">
      <c r="A177" s="431"/>
      <c r="B177" s="442" t="s">
        <v>48</v>
      </c>
      <c r="C177" s="251" t="s">
        <v>53</v>
      </c>
      <c r="D177" s="252" t="s">
        <v>90</v>
      </c>
      <c r="E177" s="252" t="s">
        <v>38</v>
      </c>
      <c r="F177" s="253" t="s">
        <v>49</v>
      </c>
      <c r="G177" s="35"/>
      <c r="H177" s="266">
        <f>SUM(H178:H180)</f>
        <v>2486.9</v>
      </c>
      <c r="I177" s="266">
        <f>SUM(I178:I180)</f>
        <v>2487.9</v>
      </c>
    </row>
    <row r="178" spans="1:9" ht="90" x14ac:dyDescent="0.35">
      <c r="A178" s="431"/>
      <c r="B178" s="442" t="s">
        <v>50</v>
      </c>
      <c r="C178" s="251" t="s">
        <v>53</v>
      </c>
      <c r="D178" s="252" t="s">
        <v>90</v>
      </c>
      <c r="E178" s="252" t="s">
        <v>38</v>
      </c>
      <c r="F178" s="253" t="s">
        <v>49</v>
      </c>
      <c r="G178" s="35" t="s">
        <v>51</v>
      </c>
      <c r="H178" s="266">
        <f>'прил10 (ведом 23-24)'!M533</f>
        <v>2442.4</v>
      </c>
      <c r="I178" s="266">
        <f>'прил10 (ведом 23-24)'!N533</f>
        <v>2442.4</v>
      </c>
    </row>
    <row r="179" spans="1:9" ht="36" x14ac:dyDescent="0.35">
      <c r="A179" s="431"/>
      <c r="B179" s="264" t="s">
        <v>56</v>
      </c>
      <c r="C179" s="251" t="s">
        <v>53</v>
      </c>
      <c r="D179" s="252" t="s">
        <v>90</v>
      </c>
      <c r="E179" s="252" t="s">
        <v>38</v>
      </c>
      <c r="F179" s="253" t="s">
        <v>49</v>
      </c>
      <c r="G179" s="35" t="s">
        <v>57</v>
      </c>
      <c r="H179" s="266">
        <f>'прил10 (ведом 23-24)'!M534</f>
        <v>42.6</v>
      </c>
      <c r="I179" s="266">
        <f>'прил10 (ведом 23-24)'!N534</f>
        <v>43.7</v>
      </c>
    </row>
    <row r="180" spans="1:9" ht="18" x14ac:dyDescent="0.35">
      <c r="A180" s="431"/>
      <c r="B180" s="264" t="s">
        <v>58</v>
      </c>
      <c r="C180" s="251" t="s">
        <v>53</v>
      </c>
      <c r="D180" s="252" t="s">
        <v>90</v>
      </c>
      <c r="E180" s="252" t="s">
        <v>38</v>
      </c>
      <c r="F180" s="253" t="s">
        <v>49</v>
      </c>
      <c r="G180" s="35" t="s">
        <v>59</v>
      </c>
      <c r="H180" s="266">
        <f>'прил10 (ведом 23-24)'!M535</f>
        <v>1.9</v>
      </c>
      <c r="I180" s="266">
        <f>'прил10 (ведом 23-24)'!N535</f>
        <v>1.8</v>
      </c>
    </row>
    <row r="181" spans="1:9" ht="18" x14ac:dyDescent="0.35">
      <c r="A181" s="431"/>
      <c r="B181" s="442" t="s">
        <v>368</v>
      </c>
      <c r="C181" s="251" t="s">
        <v>53</v>
      </c>
      <c r="D181" s="252" t="s">
        <v>90</v>
      </c>
      <c r="E181" s="252" t="s">
        <v>40</v>
      </c>
      <c r="F181" s="253" t="s">
        <v>45</v>
      </c>
      <c r="G181" s="35"/>
      <c r="H181" s="266">
        <f>H182+H186+H188+H190+H192</f>
        <v>32191.300000000003</v>
      </c>
      <c r="I181" s="266">
        <f>I182+I186+I188+I190+I192</f>
        <v>27293.299999999996</v>
      </c>
    </row>
    <row r="182" spans="1:9" ht="36" x14ac:dyDescent="0.35">
      <c r="A182" s="431"/>
      <c r="B182" s="442" t="s">
        <v>490</v>
      </c>
      <c r="C182" s="251" t="s">
        <v>53</v>
      </c>
      <c r="D182" s="252" t="s">
        <v>90</v>
      </c>
      <c r="E182" s="252" t="s">
        <v>40</v>
      </c>
      <c r="F182" s="253" t="s">
        <v>92</v>
      </c>
      <c r="G182" s="35"/>
      <c r="H182" s="266">
        <f>SUM(H183:H185)</f>
        <v>21214</v>
      </c>
      <c r="I182" s="266">
        <f>SUM(I183:I185)</f>
        <v>21187.199999999997</v>
      </c>
    </row>
    <row r="183" spans="1:9" ht="90" x14ac:dyDescent="0.35">
      <c r="A183" s="431"/>
      <c r="B183" s="442" t="s">
        <v>50</v>
      </c>
      <c r="C183" s="251" t="s">
        <v>53</v>
      </c>
      <c r="D183" s="252" t="s">
        <v>90</v>
      </c>
      <c r="E183" s="252" t="s">
        <v>40</v>
      </c>
      <c r="F183" s="253" t="s">
        <v>92</v>
      </c>
      <c r="G183" s="35" t="s">
        <v>51</v>
      </c>
      <c r="H183" s="266">
        <f>'прил10 (ведом 23-24)'!M507</f>
        <v>17974.3</v>
      </c>
      <c r="I183" s="266">
        <f>'прил10 (ведом 23-24)'!N507</f>
        <v>17974.3</v>
      </c>
    </row>
    <row r="184" spans="1:9" ht="36" x14ac:dyDescent="0.35">
      <c r="A184" s="431"/>
      <c r="B184" s="442" t="s">
        <v>56</v>
      </c>
      <c r="C184" s="251" t="s">
        <v>53</v>
      </c>
      <c r="D184" s="252" t="s">
        <v>90</v>
      </c>
      <c r="E184" s="252" t="s">
        <v>40</v>
      </c>
      <c r="F184" s="253" t="s">
        <v>92</v>
      </c>
      <c r="G184" s="35" t="s">
        <v>57</v>
      </c>
      <c r="H184" s="266">
        <f>'прил10 (ведом 23-24)'!M508</f>
        <v>3182.9</v>
      </c>
      <c r="I184" s="266">
        <f>'прил10 (ведом 23-24)'!N508</f>
        <v>3158.1</v>
      </c>
    </row>
    <row r="185" spans="1:9" ht="18" x14ac:dyDescent="0.35">
      <c r="A185" s="431"/>
      <c r="B185" s="442" t="s">
        <v>58</v>
      </c>
      <c r="C185" s="251" t="s">
        <v>53</v>
      </c>
      <c r="D185" s="252" t="s">
        <v>90</v>
      </c>
      <c r="E185" s="252" t="s">
        <v>40</v>
      </c>
      <c r="F185" s="253" t="s">
        <v>92</v>
      </c>
      <c r="G185" s="35" t="s">
        <v>59</v>
      </c>
      <c r="H185" s="266">
        <f>'прил10 (ведом 23-24)'!M509</f>
        <v>56.8</v>
      </c>
      <c r="I185" s="266">
        <f>'прил10 (ведом 23-24)'!N509</f>
        <v>54.8</v>
      </c>
    </row>
    <row r="186" spans="1:9" ht="36" x14ac:dyDescent="0.35">
      <c r="A186" s="431"/>
      <c r="B186" s="264" t="s">
        <v>220</v>
      </c>
      <c r="C186" s="251" t="s">
        <v>53</v>
      </c>
      <c r="D186" s="252" t="s">
        <v>90</v>
      </c>
      <c r="E186" s="252" t="s">
        <v>40</v>
      </c>
      <c r="F186" s="253" t="s">
        <v>294</v>
      </c>
      <c r="G186" s="35"/>
      <c r="H186" s="266">
        <f>H187</f>
        <v>3956.4</v>
      </c>
      <c r="I186" s="266">
        <f>I187</f>
        <v>4110</v>
      </c>
    </row>
    <row r="187" spans="1:9" ht="36" x14ac:dyDescent="0.35">
      <c r="A187" s="431"/>
      <c r="B187" s="264" t="s">
        <v>56</v>
      </c>
      <c r="C187" s="251" t="s">
        <v>53</v>
      </c>
      <c r="D187" s="252" t="s">
        <v>90</v>
      </c>
      <c r="E187" s="252" t="s">
        <v>40</v>
      </c>
      <c r="F187" s="253" t="s">
        <v>294</v>
      </c>
      <c r="G187" s="35" t="s">
        <v>57</v>
      </c>
      <c r="H187" s="266">
        <f>'прил10 (ведом 23-24)'!M511</f>
        <v>3956.4</v>
      </c>
      <c r="I187" s="266">
        <f>'прил10 (ведом 23-24)'!N511</f>
        <v>4110</v>
      </c>
    </row>
    <row r="188" spans="1:9" ht="183.6" customHeight="1" x14ac:dyDescent="0.35">
      <c r="A188" s="431"/>
      <c r="B188" s="264" t="s">
        <v>460</v>
      </c>
      <c r="C188" s="251" t="s">
        <v>53</v>
      </c>
      <c r="D188" s="252" t="s">
        <v>90</v>
      </c>
      <c r="E188" s="252" t="s">
        <v>40</v>
      </c>
      <c r="F188" s="253" t="s">
        <v>409</v>
      </c>
      <c r="G188" s="35"/>
      <c r="H188" s="266">
        <f>H189</f>
        <v>187.5</v>
      </c>
      <c r="I188" s="266">
        <f>I189</f>
        <v>187.5</v>
      </c>
    </row>
    <row r="189" spans="1:9" ht="90" x14ac:dyDescent="0.35">
      <c r="A189" s="431"/>
      <c r="B189" s="264" t="s">
        <v>50</v>
      </c>
      <c r="C189" s="251" t="s">
        <v>53</v>
      </c>
      <c r="D189" s="252" t="s">
        <v>90</v>
      </c>
      <c r="E189" s="252" t="s">
        <v>40</v>
      </c>
      <c r="F189" s="253" t="s">
        <v>409</v>
      </c>
      <c r="G189" s="35" t="s">
        <v>51</v>
      </c>
      <c r="H189" s="266">
        <f>'прил10 (ведом 23-24)'!M513</f>
        <v>187.5</v>
      </c>
      <c r="I189" s="266">
        <f>'прил10 (ведом 23-24)'!N513</f>
        <v>187.5</v>
      </c>
    </row>
    <row r="190" spans="1:9" ht="54" x14ac:dyDescent="0.35">
      <c r="A190" s="431"/>
      <c r="B190" s="264" t="s">
        <v>462</v>
      </c>
      <c r="C190" s="251" t="s">
        <v>53</v>
      </c>
      <c r="D190" s="252" t="s">
        <v>90</v>
      </c>
      <c r="E190" s="252" t="s">
        <v>40</v>
      </c>
      <c r="F190" s="253" t="s">
        <v>430</v>
      </c>
      <c r="G190" s="35"/>
      <c r="H190" s="266">
        <f>H191</f>
        <v>1713.3999999999999</v>
      </c>
      <c r="I190" s="266">
        <f>I191</f>
        <v>1808.6</v>
      </c>
    </row>
    <row r="191" spans="1:9" ht="90" x14ac:dyDescent="0.35">
      <c r="A191" s="431"/>
      <c r="B191" s="264" t="s">
        <v>50</v>
      </c>
      <c r="C191" s="251" t="s">
        <v>53</v>
      </c>
      <c r="D191" s="252" t="s">
        <v>90</v>
      </c>
      <c r="E191" s="252" t="s">
        <v>40</v>
      </c>
      <c r="F191" s="253" t="s">
        <v>430</v>
      </c>
      <c r="G191" s="35" t="s">
        <v>51</v>
      </c>
      <c r="H191" s="266">
        <f>'прил10 (ведом 23-24)'!M515</f>
        <v>1713.3999999999999</v>
      </c>
      <c r="I191" s="266">
        <f>'прил10 (ведом 23-24)'!N515</f>
        <v>1808.6</v>
      </c>
    </row>
    <row r="192" spans="1:9" ht="144" x14ac:dyDescent="0.35">
      <c r="A192" s="431"/>
      <c r="B192" s="24" t="s">
        <v>682</v>
      </c>
      <c r="C192" s="644" t="s">
        <v>53</v>
      </c>
      <c r="D192" s="645" t="s">
        <v>90</v>
      </c>
      <c r="E192" s="645" t="s">
        <v>40</v>
      </c>
      <c r="F192" s="646" t="s">
        <v>676</v>
      </c>
      <c r="G192" s="35"/>
      <c r="H192" s="266">
        <f>H193</f>
        <v>5120</v>
      </c>
      <c r="I192" s="266">
        <f>I193</f>
        <v>0</v>
      </c>
    </row>
    <row r="193" spans="1:9" ht="36" x14ac:dyDescent="0.35">
      <c r="A193" s="431"/>
      <c r="B193" s="24" t="s">
        <v>56</v>
      </c>
      <c r="C193" s="644" t="s">
        <v>53</v>
      </c>
      <c r="D193" s="645" t="s">
        <v>90</v>
      </c>
      <c r="E193" s="645" t="s">
        <v>40</v>
      </c>
      <c r="F193" s="646" t="s">
        <v>676</v>
      </c>
      <c r="G193" s="10" t="s">
        <v>57</v>
      </c>
      <c r="H193" s="266">
        <f>'прил10 (ведом 23-24)'!M517</f>
        <v>5120</v>
      </c>
      <c r="I193" s="266">
        <f>'прил10 (ведом 23-24)'!N517</f>
        <v>0</v>
      </c>
    </row>
    <row r="194" spans="1:9" ht="36" x14ac:dyDescent="0.35">
      <c r="A194" s="431"/>
      <c r="B194" s="264" t="s">
        <v>358</v>
      </c>
      <c r="C194" s="251" t="s">
        <v>53</v>
      </c>
      <c r="D194" s="252" t="s">
        <v>90</v>
      </c>
      <c r="E194" s="252" t="s">
        <v>64</v>
      </c>
      <c r="F194" s="253" t="s">
        <v>45</v>
      </c>
      <c r="G194" s="35"/>
      <c r="H194" s="266">
        <f>H195</f>
        <v>35.6</v>
      </c>
      <c r="I194" s="266">
        <f>I195</f>
        <v>35.6</v>
      </c>
    </row>
    <row r="195" spans="1:9" ht="54" x14ac:dyDescent="0.35">
      <c r="A195" s="431"/>
      <c r="B195" s="264" t="s">
        <v>359</v>
      </c>
      <c r="C195" s="251" t="s">
        <v>53</v>
      </c>
      <c r="D195" s="252" t="s">
        <v>90</v>
      </c>
      <c r="E195" s="252" t="s">
        <v>64</v>
      </c>
      <c r="F195" s="253" t="s">
        <v>106</v>
      </c>
      <c r="G195" s="35"/>
      <c r="H195" s="266">
        <f>H196</f>
        <v>35.6</v>
      </c>
      <c r="I195" s="266">
        <f>I196</f>
        <v>35.6</v>
      </c>
    </row>
    <row r="196" spans="1:9" ht="36" x14ac:dyDescent="0.35">
      <c r="A196" s="431"/>
      <c r="B196" s="267" t="s">
        <v>56</v>
      </c>
      <c r="C196" s="251" t="s">
        <v>53</v>
      </c>
      <c r="D196" s="252" t="s">
        <v>90</v>
      </c>
      <c r="E196" s="252" t="s">
        <v>64</v>
      </c>
      <c r="F196" s="253" t="s">
        <v>106</v>
      </c>
      <c r="G196" s="35" t="s">
        <v>57</v>
      </c>
      <c r="H196" s="266">
        <f>'прил10 (ведом 23-24)'!M496</f>
        <v>35.6</v>
      </c>
      <c r="I196" s="266">
        <f>'прил10 (ведом 23-24)'!N496</f>
        <v>35.6</v>
      </c>
    </row>
    <row r="197" spans="1:9" ht="18" x14ac:dyDescent="0.35">
      <c r="A197" s="431"/>
      <c r="B197" s="463" t="s">
        <v>343</v>
      </c>
      <c r="C197" s="443" t="s">
        <v>53</v>
      </c>
      <c r="D197" s="444" t="s">
        <v>32</v>
      </c>
      <c r="E197" s="444" t="s">
        <v>44</v>
      </c>
      <c r="F197" s="445" t="s">
        <v>45</v>
      </c>
      <c r="G197" s="446"/>
      <c r="H197" s="266">
        <f t="shared" ref="H197:I199" si="0">H198</f>
        <v>11179.000000000002</v>
      </c>
      <c r="I197" s="266">
        <f t="shared" si="0"/>
        <v>0</v>
      </c>
    </row>
    <row r="198" spans="1:9" ht="54" x14ac:dyDescent="0.35">
      <c r="A198" s="431"/>
      <c r="B198" s="463" t="s">
        <v>431</v>
      </c>
      <c r="C198" s="443" t="s">
        <v>53</v>
      </c>
      <c r="D198" s="444" t="s">
        <v>32</v>
      </c>
      <c r="E198" s="444" t="s">
        <v>64</v>
      </c>
      <c r="F198" s="445" t="s">
        <v>45</v>
      </c>
      <c r="G198" s="446"/>
      <c r="H198" s="266">
        <f t="shared" si="0"/>
        <v>11179.000000000002</v>
      </c>
      <c r="I198" s="266">
        <f t="shared" si="0"/>
        <v>0</v>
      </c>
    </row>
    <row r="199" spans="1:9" ht="36" x14ac:dyDescent="0.35">
      <c r="A199" s="431"/>
      <c r="B199" s="463" t="s">
        <v>220</v>
      </c>
      <c r="C199" s="443" t="s">
        <v>53</v>
      </c>
      <c r="D199" s="444" t="s">
        <v>32</v>
      </c>
      <c r="E199" s="444" t="s">
        <v>64</v>
      </c>
      <c r="F199" s="445" t="s">
        <v>294</v>
      </c>
      <c r="G199" s="446"/>
      <c r="H199" s="266">
        <f t="shared" si="0"/>
        <v>11179.000000000002</v>
      </c>
      <c r="I199" s="266">
        <f t="shared" si="0"/>
        <v>0</v>
      </c>
    </row>
    <row r="200" spans="1:9" ht="36" x14ac:dyDescent="0.35">
      <c r="A200" s="431"/>
      <c r="B200" s="463" t="s">
        <v>204</v>
      </c>
      <c r="C200" s="443" t="s">
        <v>53</v>
      </c>
      <c r="D200" s="444" t="s">
        <v>32</v>
      </c>
      <c r="E200" s="444" t="s">
        <v>64</v>
      </c>
      <c r="F200" s="445" t="s">
        <v>294</v>
      </c>
      <c r="G200" s="464" t="s">
        <v>205</v>
      </c>
      <c r="H200" s="266">
        <f>'прил10 (ведом 23-24)'!M287</f>
        <v>11179.000000000002</v>
      </c>
      <c r="I200" s="266">
        <f>'прил10 (ведом 23-24)'!N287</f>
        <v>0</v>
      </c>
    </row>
    <row r="201" spans="1:9" ht="18" x14ac:dyDescent="0.35">
      <c r="A201" s="431"/>
      <c r="B201" s="450"/>
      <c r="C201" s="638"/>
      <c r="D201" s="639"/>
      <c r="E201" s="639"/>
      <c r="F201" s="640"/>
      <c r="G201" s="291"/>
      <c r="H201" s="266"/>
      <c r="I201" s="266"/>
    </row>
    <row r="202" spans="1:9" s="441" customFormat="1" ht="52.2" x14ac:dyDescent="0.3">
      <c r="A202" s="451">
        <v>4</v>
      </c>
      <c r="B202" s="370" t="s">
        <v>222</v>
      </c>
      <c r="C202" s="438" t="s">
        <v>66</v>
      </c>
      <c r="D202" s="438" t="s">
        <v>43</v>
      </c>
      <c r="E202" s="438" t="s">
        <v>44</v>
      </c>
      <c r="F202" s="439" t="s">
        <v>45</v>
      </c>
      <c r="G202" s="440"/>
      <c r="H202" s="316">
        <f>H203+H209</f>
        <v>6956.4</v>
      </c>
      <c r="I202" s="316">
        <f>I203+I209</f>
        <v>6961.9</v>
      </c>
    </row>
    <row r="203" spans="1:9" s="441" customFormat="1" ht="18" x14ac:dyDescent="0.35">
      <c r="A203" s="431"/>
      <c r="B203" s="442" t="s">
        <v>223</v>
      </c>
      <c r="C203" s="251" t="s">
        <v>66</v>
      </c>
      <c r="D203" s="252" t="s">
        <v>46</v>
      </c>
      <c r="E203" s="252" t="s">
        <v>44</v>
      </c>
      <c r="F203" s="253" t="s">
        <v>45</v>
      </c>
      <c r="G203" s="291"/>
      <c r="H203" s="266">
        <f>H204</f>
        <v>3771.5999999999995</v>
      </c>
      <c r="I203" s="266">
        <f>I204</f>
        <v>3771.5999999999995</v>
      </c>
    </row>
    <row r="204" spans="1:9" s="441" customFormat="1" ht="72" x14ac:dyDescent="0.35">
      <c r="A204" s="431"/>
      <c r="B204" s="442" t="s">
        <v>289</v>
      </c>
      <c r="C204" s="251" t="s">
        <v>66</v>
      </c>
      <c r="D204" s="252" t="s">
        <v>46</v>
      </c>
      <c r="E204" s="252" t="s">
        <v>38</v>
      </c>
      <c r="F204" s="253" t="s">
        <v>45</v>
      </c>
      <c r="G204" s="35"/>
      <c r="H204" s="266">
        <f>H205</f>
        <v>3771.5999999999995</v>
      </c>
      <c r="I204" s="266">
        <f>I205</f>
        <v>3771.5999999999995</v>
      </c>
    </row>
    <row r="205" spans="1:9" ht="36" x14ac:dyDescent="0.35">
      <c r="A205" s="431"/>
      <c r="B205" s="442" t="s">
        <v>490</v>
      </c>
      <c r="C205" s="251" t="s">
        <v>66</v>
      </c>
      <c r="D205" s="252" t="s">
        <v>46</v>
      </c>
      <c r="E205" s="252" t="s">
        <v>38</v>
      </c>
      <c r="F205" s="253" t="s">
        <v>92</v>
      </c>
      <c r="G205" s="35"/>
      <c r="H205" s="266">
        <f>SUM(H206:H208)</f>
        <v>3771.5999999999995</v>
      </c>
      <c r="I205" s="266">
        <f>SUM(I206:I208)</f>
        <v>3771.5999999999995</v>
      </c>
    </row>
    <row r="206" spans="1:9" ht="90" x14ac:dyDescent="0.35">
      <c r="A206" s="431"/>
      <c r="B206" s="442" t="s">
        <v>50</v>
      </c>
      <c r="C206" s="251" t="s">
        <v>66</v>
      </c>
      <c r="D206" s="252" t="s">
        <v>46</v>
      </c>
      <c r="E206" s="252" t="s">
        <v>38</v>
      </c>
      <c r="F206" s="253" t="s">
        <v>92</v>
      </c>
      <c r="G206" s="35" t="s">
        <v>51</v>
      </c>
      <c r="H206" s="266">
        <f>'прил10 (ведом 23-24)'!M557</f>
        <v>3374.2</v>
      </c>
      <c r="I206" s="266">
        <f>'прил10 (ведом 23-24)'!N557</f>
        <v>3374.2</v>
      </c>
    </row>
    <row r="207" spans="1:9" ht="36" x14ac:dyDescent="0.35">
      <c r="A207" s="431"/>
      <c r="B207" s="264" t="s">
        <v>56</v>
      </c>
      <c r="C207" s="251" t="s">
        <v>66</v>
      </c>
      <c r="D207" s="252" t="s">
        <v>46</v>
      </c>
      <c r="E207" s="252" t="s">
        <v>38</v>
      </c>
      <c r="F207" s="253" t="s">
        <v>92</v>
      </c>
      <c r="G207" s="35" t="s">
        <v>57</v>
      </c>
      <c r="H207" s="266">
        <f>'прил10 (ведом 23-24)'!M558</f>
        <v>394.7</v>
      </c>
      <c r="I207" s="266">
        <f>'прил10 (ведом 23-24)'!N558</f>
        <v>394.7</v>
      </c>
    </row>
    <row r="208" spans="1:9" ht="18" x14ac:dyDescent="0.35">
      <c r="A208" s="431"/>
      <c r="B208" s="264" t="s">
        <v>58</v>
      </c>
      <c r="C208" s="251" t="s">
        <v>66</v>
      </c>
      <c r="D208" s="252" t="s">
        <v>46</v>
      </c>
      <c r="E208" s="252" t="s">
        <v>38</v>
      </c>
      <c r="F208" s="253" t="s">
        <v>92</v>
      </c>
      <c r="G208" s="35" t="s">
        <v>59</v>
      </c>
      <c r="H208" s="266">
        <f>'прил10 (ведом 23-24)'!M559</f>
        <v>2.7</v>
      </c>
      <c r="I208" s="266">
        <f>'прил10 (ведом 23-24)'!N559</f>
        <v>2.7</v>
      </c>
    </row>
    <row r="209" spans="1:9" s="441" customFormat="1" ht="22.5" customHeight="1" x14ac:dyDescent="0.35">
      <c r="A209" s="431"/>
      <c r="B209" s="442" t="s">
        <v>221</v>
      </c>
      <c r="C209" s="251" t="s">
        <v>66</v>
      </c>
      <c r="D209" s="252" t="s">
        <v>90</v>
      </c>
      <c r="E209" s="252" t="s">
        <v>44</v>
      </c>
      <c r="F209" s="253" t="s">
        <v>45</v>
      </c>
      <c r="G209" s="35"/>
      <c r="H209" s="266">
        <f>H210+H215+H218+H221</f>
        <v>3184.8</v>
      </c>
      <c r="I209" s="266">
        <f>I210+I215+I218+I221</f>
        <v>3190.2999999999997</v>
      </c>
    </row>
    <row r="210" spans="1:9" s="441" customFormat="1" ht="36" x14ac:dyDescent="0.35">
      <c r="A210" s="431"/>
      <c r="B210" s="442" t="s">
        <v>283</v>
      </c>
      <c r="C210" s="251" t="s">
        <v>66</v>
      </c>
      <c r="D210" s="252" t="s">
        <v>90</v>
      </c>
      <c r="E210" s="252" t="s">
        <v>38</v>
      </c>
      <c r="F210" s="253" t="s">
        <v>45</v>
      </c>
      <c r="G210" s="35"/>
      <c r="H210" s="266">
        <f>H211</f>
        <v>3033.9</v>
      </c>
      <c r="I210" s="266">
        <f>I211</f>
        <v>3039.3999999999996</v>
      </c>
    </row>
    <row r="211" spans="1:9" s="441" customFormat="1" ht="36" x14ac:dyDescent="0.35">
      <c r="A211" s="431"/>
      <c r="B211" s="442" t="s">
        <v>48</v>
      </c>
      <c r="C211" s="251" t="s">
        <v>66</v>
      </c>
      <c r="D211" s="252" t="s">
        <v>90</v>
      </c>
      <c r="E211" s="252" t="s">
        <v>38</v>
      </c>
      <c r="F211" s="253" t="s">
        <v>49</v>
      </c>
      <c r="G211" s="35"/>
      <c r="H211" s="266">
        <f>SUM(H212:H214)</f>
        <v>3033.9</v>
      </c>
      <c r="I211" s="266">
        <f>SUM(I212:I214)</f>
        <v>3039.3999999999996</v>
      </c>
    </row>
    <row r="212" spans="1:9" s="441" customFormat="1" ht="90" x14ac:dyDescent="0.35">
      <c r="A212" s="431"/>
      <c r="B212" s="442" t="s">
        <v>50</v>
      </c>
      <c r="C212" s="251" t="s">
        <v>66</v>
      </c>
      <c r="D212" s="252" t="s">
        <v>90</v>
      </c>
      <c r="E212" s="252" t="s">
        <v>38</v>
      </c>
      <c r="F212" s="253" t="s">
        <v>49</v>
      </c>
      <c r="G212" s="35" t="s">
        <v>51</v>
      </c>
      <c r="H212" s="266">
        <f>'прил10 (ведом 23-24)'!M565</f>
        <v>2735.5</v>
      </c>
      <c r="I212" s="266">
        <f>'прил10 (ведом 23-24)'!N565</f>
        <v>2735.5</v>
      </c>
    </row>
    <row r="213" spans="1:9" ht="36" x14ac:dyDescent="0.35">
      <c r="A213" s="431"/>
      <c r="B213" s="442" t="s">
        <v>56</v>
      </c>
      <c r="C213" s="251" t="s">
        <v>66</v>
      </c>
      <c r="D213" s="252" t="s">
        <v>90</v>
      </c>
      <c r="E213" s="252" t="s">
        <v>38</v>
      </c>
      <c r="F213" s="253" t="s">
        <v>49</v>
      </c>
      <c r="G213" s="35" t="s">
        <v>57</v>
      </c>
      <c r="H213" s="266">
        <f>'прил10 (ведом 23-24)'!M566</f>
        <v>297.10000000000002</v>
      </c>
      <c r="I213" s="266">
        <f>'прил10 (ведом 23-24)'!N566</f>
        <v>302.7</v>
      </c>
    </row>
    <row r="214" spans="1:9" ht="18" x14ac:dyDescent="0.35">
      <c r="A214" s="431"/>
      <c r="B214" s="442" t="s">
        <v>58</v>
      </c>
      <c r="C214" s="251" t="s">
        <v>66</v>
      </c>
      <c r="D214" s="252" t="s">
        <v>90</v>
      </c>
      <c r="E214" s="252" t="s">
        <v>38</v>
      </c>
      <c r="F214" s="253" t="s">
        <v>49</v>
      </c>
      <c r="G214" s="35" t="s">
        <v>59</v>
      </c>
      <c r="H214" s="266">
        <f>'прил10 (ведом 23-24)'!M567</f>
        <v>1.3</v>
      </c>
      <c r="I214" s="266">
        <f>'прил10 (ведом 23-24)'!N567</f>
        <v>1.2</v>
      </c>
    </row>
    <row r="215" spans="1:9" ht="36" x14ac:dyDescent="0.35">
      <c r="A215" s="431"/>
      <c r="B215" s="465" t="s">
        <v>358</v>
      </c>
      <c r="C215" s="252" t="s">
        <v>66</v>
      </c>
      <c r="D215" s="252" t="s">
        <v>90</v>
      </c>
      <c r="E215" s="252" t="s">
        <v>40</v>
      </c>
      <c r="F215" s="253" t="s">
        <v>45</v>
      </c>
      <c r="G215" s="35"/>
      <c r="H215" s="266">
        <f>H216</f>
        <v>93.6</v>
      </c>
      <c r="I215" s="266">
        <f>I216</f>
        <v>93.6</v>
      </c>
    </row>
    <row r="216" spans="1:9" ht="54" x14ac:dyDescent="0.35">
      <c r="A216" s="431"/>
      <c r="B216" s="465" t="s">
        <v>359</v>
      </c>
      <c r="C216" s="251" t="s">
        <v>66</v>
      </c>
      <c r="D216" s="252" t="s">
        <v>90</v>
      </c>
      <c r="E216" s="252" t="s">
        <v>40</v>
      </c>
      <c r="F216" s="253" t="s">
        <v>106</v>
      </c>
      <c r="G216" s="35"/>
      <c r="H216" s="266">
        <f>H217</f>
        <v>93.6</v>
      </c>
      <c r="I216" s="266">
        <f>I217</f>
        <v>93.6</v>
      </c>
    </row>
    <row r="217" spans="1:9" ht="36" x14ac:dyDescent="0.35">
      <c r="A217" s="431"/>
      <c r="B217" s="465" t="s">
        <v>56</v>
      </c>
      <c r="C217" s="251" t="s">
        <v>66</v>
      </c>
      <c r="D217" s="252" t="s">
        <v>90</v>
      </c>
      <c r="E217" s="252" t="s">
        <v>40</v>
      </c>
      <c r="F217" s="253" t="s">
        <v>106</v>
      </c>
      <c r="G217" s="35" t="s">
        <v>57</v>
      </c>
      <c r="H217" s="266">
        <f>'прил10 (ведом 23-24)'!M544</f>
        <v>93.6</v>
      </c>
      <c r="I217" s="266">
        <f>'прил10 (ведом 23-24)'!N544</f>
        <v>93.6</v>
      </c>
    </row>
    <row r="218" spans="1:9" ht="36" x14ac:dyDescent="0.35">
      <c r="A218" s="431"/>
      <c r="B218" s="264" t="s">
        <v>494</v>
      </c>
      <c r="C218" s="252" t="s">
        <v>66</v>
      </c>
      <c r="D218" s="252" t="s">
        <v>90</v>
      </c>
      <c r="E218" s="252" t="s">
        <v>64</v>
      </c>
      <c r="F218" s="253" t="s">
        <v>45</v>
      </c>
      <c r="G218" s="35"/>
      <c r="H218" s="266">
        <f>H219</f>
        <v>14.8</v>
      </c>
      <c r="I218" s="266">
        <f>I219</f>
        <v>14.8</v>
      </c>
    </row>
    <row r="219" spans="1:9" ht="18" x14ac:dyDescent="0.35">
      <c r="A219" s="431"/>
      <c r="B219" s="264" t="s">
        <v>492</v>
      </c>
      <c r="C219" s="252" t="s">
        <v>66</v>
      </c>
      <c r="D219" s="252" t="s">
        <v>90</v>
      </c>
      <c r="E219" s="252" t="s">
        <v>64</v>
      </c>
      <c r="F219" s="253" t="s">
        <v>493</v>
      </c>
      <c r="G219" s="35"/>
      <c r="H219" s="266">
        <f>H220</f>
        <v>14.8</v>
      </c>
      <c r="I219" s="266">
        <f>I220</f>
        <v>14.8</v>
      </c>
    </row>
    <row r="220" spans="1:9" ht="36" x14ac:dyDescent="0.35">
      <c r="A220" s="431"/>
      <c r="B220" s="465" t="s">
        <v>56</v>
      </c>
      <c r="C220" s="252" t="s">
        <v>66</v>
      </c>
      <c r="D220" s="252" t="s">
        <v>90</v>
      </c>
      <c r="E220" s="252" t="s">
        <v>64</v>
      </c>
      <c r="F220" s="253" t="s">
        <v>493</v>
      </c>
      <c r="G220" s="35" t="s">
        <v>57</v>
      </c>
      <c r="H220" s="266">
        <f>'прил10 (ведом 23-24)'!M547</f>
        <v>14.8</v>
      </c>
      <c r="I220" s="266">
        <f>'прил10 (ведом 23-24)'!N547</f>
        <v>14.8</v>
      </c>
    </row>
    <row r="221" spans="1:9" ht="36" x14ac:dyDescent="0.35">
      <c r="A221" s="431"/>
      <c r="B221" s="465" t="s">
        <v>504</v>
      </c>
      <c r="C221" s="252" t="s">
        <v>66</v>
      </c>
      <c r="D221" s="252" t="s">
        <v>90</v>
      </c>
      <c r="E221" s="252" t="s">
        <v>53</v>
      </c>
      <c r="F221" s="640" t="s">
        <v>45</v>
      </c>
      <c r="G221" s="291"/>
      <c r="H221" s="266">
        <f>H222</f>
        <v>42.5</v>
      </c>
      <c r="I221" s="266">
        <f>I222</f>
        <v>42.5</v>
      </c>
    </row>
    <row r="222" spans="1:9" ht="36" x14ac:dyDescent="0.35">
      <c r="A222" s="431"/>
      <c r="B222" s="466" t="s">
        <v>128</v>
      </c>
      <c r="C222" s="252" t="s">
        <v>66</v>
      </c>
      <c r="D222" s="252" t="s">
        <v>90</v>
      </c>
      <c r="E222" s="252" t="s">
        <v>53</v>
      </c>
      <c r="F222" s="467" t="s">
        <v>91</v>
      </c>
      <c r="G222" s="291"/>
      <c r="H222" s="266">
        <f>H223</f>
        <v>42.5</v>
      </c>
      <c r="I222" s="266">
        <f>I223</f>
        <v>42.5</v>
      </c>
    </row>
    <row r="223" spans="1:9" ht="36" x14ac:dyDescent="0.35">
      <c r="A223" s="431"/>
      <c r="B223" s="465" t="s">
        <v>56</v>
      </c>
      <c r="C223" s="252" t="s">
        <v>66</v>
      </c>
      <c r="D223" s="252" t="s">
        <v>90</v>
      </c>
      <c r="E223" s="252" t="s">
        <v>53</v>
      </c>
      <c r="F223" s="640" t="s">
        <v>91</v>
      </c>
      <c r="G223" s="291" t="s">
        <v>57</v>
      </c>
      <c r="H223" s="266">
        <f>'прил10 (ведом 23-24)'!M550</f>
        <v>42.5</v>
      </c>
      <c r="I223" s="266">
        <f>'прил10 (ведом 23-24)'!N550</f>
        <v>42.5</v>
      </c>
    </row>
    <row r="224" spans="1:9" ht="18" x14ac:dyDescent="0.35">
      <c r="A224" s="431"/>
      <c r="B224" s="442"/>
      <c r="C224" s="252"/>
      <c r="D224" s="252"/>
      <c r="E224" s="252"/>
      <c r="F224" s="253"/>
      <c r="G224" s="35"/>
      <c r="H224" s="266"/>
      <c r="I224" s="266"/>
    </row>
    <row r="225" spans="1:9" s="441" customFormat="1" ht="52.2" x14ac:dyDescent="0.3">
      <c r="A225" s="451">
        <v>5</v>
      </c>
      <c r="B225" s="370" t="s">
        <v>81</v>
      </c>
      <c r="C225" s="452" t="s">
        <v>82</v>
      </c>
      <c r="D225" s="452" t="s">
        <v>43</v>
      </c>
      <c r="E225" s="452" t="s">
        <v>44</v>
      </c>
      <c r="F225" s="453" t="s">
        <v>45</v>
      </c>
      <c r="G225" s="440"/>
      <c r="H225" s="316">
        <f>H242+H226+H232+H248</f>
        <v>13058</v>
      </c>
      <c r="I225" s="316">
        <f>I242+I226+I232+I248</f>
        <v>11858.499999999998</v>
      </c>
    </row>
    <row r="226" spans="1:9" ht="54" x14ac:dyDescent="0.35">
      <c r="A226" s="431"/>
      <c r="B226" s="454" t="s">
        <v>83</v>
      </c>
      <c r="C226" s="251" t="s">
        <v>82</v>
      </c>
      <c r="D226" s="252" t="s">
        <v>46</v>
      </c>
      <c r="E226" s="252" t="s">
        <v>44</v>
      </c>
      <c r="F226" s="253" t="s">
        <v>45</v>
      </c>
      <c r="G226" s="291"/>
      <c r="H226" s="266">
        <f>H227</f>
        <v>362.29999999999995</v>
      </c>
      <c r="I226" s="266">
        <f>I227</f>
        <v>362.29999999999995</v>
      </c>
    </row>
    <row r="227" spans="1:9" ht="72" x14ac:dyDescent="0.35">
      <c r="A227" s="431"/>
      <c r="B227" s="442" t="s">
        <v>84</v>
      </c>
      <c r="C227" s="251" t="s">
        <v>82</v>
      </c>
      <c r="D227" s="252" t="s">
        <v>46</v>
      </c>
      <c r="E227" s="252" t="s">
        <v>38</v>
      </c>
      <c r="F227" s="253" t="s">
        <v>45</v>
      </c>
      <c r="G227" s="35"/>
      <c r="H227" s="266">
        <f>H228+H230</f>
        <v>362.29999999999995</v>
      </c>
      <c r="I227" s="266">
        <f>I228+I230</f>
        <v>362.29999999999995</v>
      </c>
    </row>
    <row r="228" spans="1:9" ht="36" x14ac:dyDescent="0.35">
      <c r="A228" s="431"/>
      <c r="B228" s="267" t="s">
        <v>475</v>
      </c>
      <c r="C228" s="251" t="s">
        <v>82</v>
      </c>
      <c r="D228" s="252" t="s">
        <v>46</v>
      </c>
      <c r="E228" s="252" t="s">
        <v>38</v>
      </c>
      <c r="F228" s="253" t="s">
        <v>85</v>
      </c>
      <c r="G228" s="35"/>
      <c r="H228" s="266">
        <f>H229</f>
        <v>298.39999999999998</v>
      </c>
      <c r="I228" s="266">
        <f>I229</f>
        <v>298.39999999999998</v>
      </c>
    </row>
    <row r="229" spans="1:9" ht="36" x14ac:dyDescent="0.35">
      <c r="A229" s="431"/>
      <c r="B229" s="264" t="s">
        <v>56</v>
      </c>
      <c r="C229" s="251" t="s">
        <v>82</v>
      </c>
      <c r="D229" s="252" t="s">
        <v>46</v>
      </c>
      <c r="E229" s="252" t="s">
        <v>38</v>
      </c>
      <c r="F229" s="253" t="s">
        <v>85</v>
      </c>
      <c r="G229" s="35" t="s">
        <v>57</v>
      </c>
      <c r="H229" s="266">
        <f>'прил10 (ведом 23-24)'!M89</f>
        <v>298.39999999999998</v>
      </c>
      <c r="I229" s="266">
        <f>'прил10 (ведом 23-24)'!N89</f>
        <v>298.39999999999998</v>
      </c>
    </row>
    <row r="230" spans="1:9" ht="42" customHeight="1" x14ac:dyDescent="0.35">
      <c r="A230" s="431"/>
      <c r="B230" s="264" t="s">
        <v>86</v>
      </c>
      <c r="C230" s="251" t="s">
        <v>82</v>
      </c>
      <c r="D230" s="252" t="s">
        <v>46</v>
      </c>
      <c r="E230" s="252" t="s">
        <v>38</v>
      </c>
      <c r="F230" s="253" t="s">
        <v>87</v>
      </c>
      <c r="G230" s="35"/>
      <c r="H230" s="266">
        <f>H231</f>
        <v>63.9</v>
      </c>
      <c r="I230" s="266">
        <f>I231</f>
        <v>63.9</v>
      </c>
    </row>
    <row r="231" spans="1:9" ht="36" x14ac:dyDescent="0.35">
      <c r="A231" s="431"/>
      <c r="B231" s="264" t="s">
        <v>56</v>
      </c>
      <c r="C231" s="251" t="s">
        <v>82</v>
      </c>
      <c r="D231" s="252" t="s">
        <v>46</v>
      </c>
      <c r="E231" s="252" t="s">
        <v>38</v>
      </c>
      <c r="F231" s="253" t="s">
        <v>87</v>
      </c>
      <c r="G231" s="35" t="s">
        <v>57</v>
      </c>
      <c r="H231" s="266">
        <f>'прил10 (ведом 23-24)'!M91</f>
        <v>63.9</v>
      </c>
      <c r="I231" s="266">
        <f>'прил10 (ведом 23-24)'!N91</f>
        <v>63.9</v>
      </c>
    </row>
    <row r="232" spans="1:9" ht="36" x14ac:dyDescent="0.35">
      <c r="A232" s="431"/>
      <c r="B232" s="468" t="s">
        <v>126</v>
      </c>
      <c r="C232" s="251" t="s">
        <v>82</v>
      </c>
      <c r="D232" s="252" t="s">
        <v>90</v>
      </c>
      <c r="E232" s="252" t="s">
        <v>44</v>
      </c>
      <c r="F232" s="253" t="s">
        <v>45</v>
      </c>
      <c r="G232" s="291"/>
      <c r="H232" s="266">
        <f>H233+H239</f>
        <v>1665.3000000000002</v>
      </c>
      <c r="I232" s="266">
        <f>I233+I239</f>
        <v>465.40000000000003</v>
      </c>
    </row>
    <row r="233" spans="1:9" ht="36" x14ac:dyDescent="0.35">
      <c r="A233" s="431"/>
      <c r="B233" s="264" t="s">
        <v>272</v>
      </c>
      <c r="C233" s="251" t="s">
        <v>82</v>
      </c>
      <c r="D233" s="252" t="s">
        <v>90</v>
      </c>
      <c r="E233" s="252" t="s">
        <v>38</v>
      </c>
      <c r="F233" s="253" t="s">
        <v>45</v>
      </c>
      <c r="G233" s="35"/>
      <c r="H233" s="266">
        <f>H236+H234</f>
        <v>1221.7</v>
      </c>
      <c r="I233" s="266">
        <f>I236+I234</f>
        <v>21.8</v>
      </c>
    </row>
    <row r="234" spans="1:9" ht="36" x14ac:dyDescent="0.35">
      <c r="A234" s="431"/>
      <c r="B234" s="469" t="s">
        <v>128</v>
      </c>
      <c r="C234" s="251" t="s">
        <v>82</v>
      </c>
      <c r="D234" s="252" t="s">
        <v>90</v>
      </c>
      <c r="E234" s="252" t="s">
        <v>38</v>
      </c>
      <c r="F234" s="253" t="s">
        <v>91</v>
      </c>
      <c r="G234" s="35"/>
      <c r="H234" s="266">
        <f>H235</f>
        <v>21.8</v>
      </c>
      <c r="I234" s="266">
        <f>I235</f>
        <v>21.8</v>
      </c>
    </row>
    <row r="235" spans="1:9" ht="36" x14ac:dyDescent="0.35">
      <c r="A235" s="431"/>
      <c r="B235" s="264" t="s">
        <v>56</v>
      </c>
      <c r="C235" s="251" t="s">
        <v>82</v>
      </c>
      <c r="D235" s="252" t="s">
        <v>90</v>
      </c>
      <c r="E235" s="252" t="s">
        <v>38</v>
      </c>
      <c r="F235" s="253" t="s">
        <v>91</v>
      </c>
      <c r="G235" s="35" t="s">
        <v>57</v>
      </c>
      <c r="H235" s="266">
        <f>'прил10 (ведом 23-24)'!M97</f>
        <v>21.8</v>
      </c>
      <c r="I235" s="266">
        <f>'прил10 (ведом 23-24)'!N97</f>
        <v>21.8</v>
      </c>
    </row>
    <row r="236" spans="1:9" ht="18" x14ac:dyDescent="0.35">
      <c r="A236" s="431"/>
      <c r="B236" s="264" t="s">
        <v>452</v>
      </c>
      <c r="C236" s="251" t="s">
        <v>82</v>
      </c>
      <c r="D236" s="252" t="s">
        <v>90</v>
      </c>
      <c r="E236" s="252" t="s">
        <v>38</v>
      </c>
      <c r="F236" s="253" t="s">
        <v>453</v>
      </c>
      <c r="G236" s="35"/>
      <c r="H236" s="266">
        <f>H237+H238</f>
        <v>1199.9000000000001</v>
      </c>
      <c r="I236" s="266">
        <f>I237+I238</f>
        <v>0</v>
      </c>
    </row>
    <row r="237" spans="1:9" ht="36" x14ac:dyDescent="0.35">
      <c r="A237" s="431"/>
      <c r="B237" s="264" t="s">
        <v>56</v>
      </c>
      <c r="C237" s="251" t="s">
        <v>82</v>
      </c>
      <c r="D237" s="252" t="s">
        <v>90</v>
      </c>
      <c r="E237" s="252" t="s">
        <v>38</v>
      </c>
      <c r="F237" s="253" t="s">
        <v>453</v>
      </c>
      <c r="G237" s="35" t="s">
        <v>57</v>
      </c>
      <c r="H237" s="266">
        <f>'прил10 (ведом 23-24)'!M391</f>
        <v>571.6</v>
      </c>
      <c r="I237" s="266">
        <f>'прил10 (ведом 23-24)'!N391</f>
        <v>0</v>
      </c>
    </row>
    <row r="238" spans="1:9" ht="45" customHeight="1" x14ac:dyDescent="0.35">
      <c r="A238" s="431"/>
      <c r="B238" s="264" t="s">
        <v>77</v>
      </c>
      <c r="C238" s="251" t="s">
        <v>82</v>
      </c>
      <c r="D238" s="252" t="s">
        <v>90</v>
      </c>
      <c r="E238" s="252" t="s">
        <v>38</v>
      </c>
      <c r="F238" s="253" t="s">
        <v>453</v>
      </c>
      <c r="G238" s="35" t="s">
        <v>78</v>
      </c>
      <c r="H238" s="266">
        <f>'прил10 (ведом 23-24)'!M320</f>
        <v>628.29999999999995</v>
      </c>
      <c r="I238" s="266">
        <f>'прил10 (ведом 23-24)'!N320</f>
        <v>0</v>
      </c>
    </row>
    <row r="239" spans="1:9" ht="54.75" customHeight="1" x14ac:dyDescent="0.35">
      <c r="A239" s="431"/>
      <c r="B239" s="469" t="s">
        <v>127</v>
      </c>
      <c r="C239" s="251" t="s">
        <v>82</v>
      </c>
      <c r="D239" s="252" t="s">
        <v>90</v>
      </c>
      <c r="E239" s="252" t="s">
        <v>40</v>
      </c>
      <c r="F239" s="253" t="s">
        <v>45</v>
      </c>
      <c r="G239" s="35"/>
      <c r="H239" s="266">
        <f>H240</f>
        <v>443.6</v>
      </c>
      <c r="I239" s="266">
        <f>I240</f>
        <v>443.6</v>
      </c>
    </row>
    <row r="240" spans="1:9" ht="36.75" customHeight="1" x14ac:dyDescent="0.35">
      <c r="A240" s="431"/>
      <c r="B240" s="469" t="s">
        <v>128</v>
      </c>
      <c r="C240" s="251" t="s">
        <v>82</v>
      </c>
      <c r="D240" s="252" t="s">
        <v>90</v>
      </c>
      <c r="E240" s="252" t="s">
        <v>40</v>
      </c>
      <c r="F240" s="253" t="s">
        <v>91</v>
      </c>
      <c r="G240" s="35"/>
      <c r="H240" s="266">
        <f>H241</f>
        <v>443.6</v>
      </c>
      <c r="I240" s="266">
        <f>I241</f>
        <v>443.6</v>
      </c>
    </row>
    <row r="241" spans="1:9" ht="32.25" customHeight="1" x14ac:dyDescent="0.35">
      <c r="A241" s="431"/>
      <c r="B241" s="264" t="s">
        <v>56</v>
      </c>
      <c r="C241" s="251" t="s">
        <v>82</v>
      </c>
      <c r="D241" s="252" t="s">
        <v>90</v>
      </c>
      <c r="E241" s="252" t="s">
        <v>40</v>
      </c>
      <c r="F241" s="253" t="s">
        <v>91</v>
      </c>
      <c r="G241" s="35" t="s">
        <v>57</v>
      </c>
      <c r="H241" s="266">
        <f>'прил10 (ведом 23-24)'!M100</f>
        <v>443.6</v>
      </c>
      <c r="I241" s="266">
        <f>'прил10 (ведом 23-24)'!N100</f>
        <v>443.6</v>
      </c>
    </row>
    <row r="242" spans="1:9" ht="54" x14ac:dyDescent="0.35">
      <c r="A242" s="431"/>
      <c r="B242" s="470" t="s">
        <v>375</v>
      </c>
      <c r="C242" s="251" t="s">
        <v>82</v>
      </c>
      <c r="D242" s="252" t="s">
        <v>31</v>
      </c>
      <c r="E242" s="252" t="s">
        <v>44</v>
      </c>
      <c r="F242" s="253" t="s">
        <v>45</v>
      </c>
      <c r="G242" s="35"/>
      <c r="H242" s="266">
        <f>H243</f>
        <v>11008.6</v>
      </c>
      <c r="I242" s="266">
        <f>I243</f>
        <v>11009</v>
      </c>
    </row>
    <row r="243" spans="1:9" ht="74.400000000000006" customHeight="1" x14ac:dyDescent="0.35">
      <c r="A243" s="431"/>
      <c r="B243" s="471" t="s">
        <v>326</v>
      </c>
      <c r="C243" s="251" t="s">
        <v>82</v>
      </c>
      <c r="D243" s="252" t="s">
        <v>31</v>
      </c>
      <c r="E243" s="252" t="s">
        <v>38</v>
      </c>
      <c r="F243" s="253" t="s">
        <v>45</v>
      </c>
      <c r="G243" s="35"/>
      <c r="H243" s="266">
        <f>H244</f>
        <v>11008.6</v>
      </c>
      <c r="I243" s="266">
        <f>I244</f>
        <v>11009</v>
      </c>
    </row>
    <row r="244" spans="1:9" ht="36" x14ac:dyDescent="0.35">
      <c r="A244" s="431"/>
      <c r="B244" s="442" t="s">
        <v>490</v>
      </c>
      <c r="C244" s="251" t="s">
        <v>82</v>
      </c>
      <c r="D244" s="252" t="s">
        <v>31</v>
      </c>
      <c r="E244" s="252" t="s">
        <v>38</v>
      </c>
      <c r="F244" s="253" t="s">
        <v>92</v>
      </c>
      <c r="G244" s="35"/>
      <c r="H244" s="266">
        <f>SUM(H245:H247)</f>
        <v>11008.6</v>
      </c>
      <c r="I244" s="266">
        <f>SUM(I245:I247)</f>
        <v>11009</v>
      </c>
    </row>
    <row r="245" spans="1:9" s="441" customFormat="1" ht="90" x14ac:dyDescent="0.35">
      <c r="A245" s="431"/>
      <c r="B245" s="442" t="s">
        <v>50</v>
      </c>
      <c r="C245" s="251" t="s">
        <v>82</v>
      </c>
      <c r="D245" s="252" t="s">
        <v>31</v>
      </c>
      <c r="E245" s="252" t="s">
        <v>38</v>
      </c>
      <c r="F245" s="253" t="s">
        <v>92</v>
      </c>
      <c r="G245" s="35" t="s">
        <v>51</v>
      </c>
      <c r="H245" s="266">
        <f>'прил10 (ведом 23-24)'!M104</f>
        <v>10645.2</v>
      </c>
      <c r="I245" s="266">
        <f>'прил10 (ведом 23-24)'!N104</f>
        <v>10645.2</v>
      </c>
    </row>
    <row r="246" spans="1:9" ht="36" x14ac:dyDescent="0.35">
      <c r="A246" s="431"/>
      <c r="B246" s="442" t="s">
        <v>56</v>
      </c>
      <c r="C246" s="251" t="s">
        <v>82</v>
      </c>
      <c r="D246" s="252" t="s">
        <v>31</v>
      </c>
      <c r="E246" s="252" t="s">
        <v>38</v>
      </c>
      <c r="F246" s="253" t="s">
        <v>92</v>
      </c>
      <c r="G246" s="35" t="s">
        <v>57</v>
      </c>
      <c r="H246" s="266">
        <f>'прил10 (ведом 23-24)'!M105</f>
        <v>357.1</v>
      </c>
      <c r="I246" s="266">
        <f>'прил10 (ведом 23-24)'!N105</f>
        <v>357.5</v>
      </c>
    </row>
    <row r="247" spans="1:9" ht="18" x14ac:dyDescent="0.35">
      <c r="A247" s="431"/>
      <c r="B247" s="264" t="s">
        <v>58</v>
      </c>
      <c r="C247" s="251" t="s">
        <v>82</v>
      </c>
      <c r="D247" s="252" t="s">
        <v>31</v>
      </c>
      <c r="E247" s="252" t="s">
        <v>38</v>
      </c>
      <c r="F247" s="253" t="s">
        <v>92</v>
      </c>
      <c r="G247" s="35" t="s">
        <v>59</v>
      </c>
      <c r="H247" s="266">
        <f>'прил10 (ведом 23-24)'!M106</f>
        <v>6.3</v>
      </c>
      <c r="I247" s="266">
        <f>'прил10 (ведом 23-24)'!N106</f>
        <v>6.3</v>
      </c>
    </row>
    <row r="248" spans="1:9" ht="54" x14ac:dyDescent="0.35">
      <c r="A248" s="431"/>
      <c r="B248" s="472" t="s">
        <v>529</v>
      </c>
      <c r="C248" s="251" t="s">
        <v>82</v>
      </c>
      <c r="D248" s="252" t="s">
        <v>32</v>
      </c>
      <c r="E248" s="252" t="s">
        <v>44</v>
      </c>
      <c r="F248" s="253" t="s">
        <v>45</v>
      </c>
      <c r="G248" s="35"/>
      <c r="H248" s="266">
        <f t="shared" ref="H248:I250" si="1">H249</f>
        <v>21.8</v>
      </c>
      <c r="I248" s="266">
        <f t="shared" si="1"/>
        <v>21.8</v>
      </c>
    </row>
    <row r="249" spans="1:9" ht="54" x14ac:dyDescent="0.35">
      <c r="A249" s="431"/>
      <c r="B249" s="473" t="s">
        <v>530</v>
      </c>
      <c r="C249" s="251" t="s">
        <v>82</v>
      </c>
      <c r="D249" s="252" t="s">
        <v>32</v>
      </c>
      <c r="E249" s="252" t="s">
        <v>38</v>
      </c>
      <c r="F249" s="253" t="s">
        <v>45</v>
      </c>
      <c r="G249" s="35"/>
      <c r="H249" s="266">
        <f t="shared" si="1"/>
        <v>21.8</v>
      </c>
      <c r="I249" s="266">
        <f t="shared" si="1"/>
        <v>21.8</v>
      </c>
    </row>
    <row r="250" spans="1:9" ht="36" x14ac:dyDescent="0.35">
      <c r="A250" s="431"/>
      <c r="B250" s="474" t="s">
        <v>86</v>
      </c>
      <c r="C250" s="251" t="s">
        <v>82</v>
      </c>
      <c r="D250" s="252" t="s">
        <v>32</v>
      </c>
      <c r="E250" s="252" t="s">
        <v>38</v>
      </c>
      <c r="F250" s="253" t="s">
        <v>87</v>
      </c>
      <c r="G250" s="35"/>
      <c r="H250" s="266">
        <f t="shared" si="1"/>
        <v>21.8</v>
      </c>
      <c r="I250" s="266">
        <f t="shared" si="1"/>
        <v>21.8</v>
      </c>
    </row>
    <row r="251" spans="1:9" ht="36" x14ac:dyDescent="0.35">
      <c r="A251" s="431"/>
      <c r="B251" s="475" t="s">
        <v>56</v>
      </c>
      <c r="C251" s="251" t="s">
        <v>82</v>
      </c>
      <c r="D251" s="252" t="s">
        <v>32</v>
      </c>
      <c r="E251" s="252" t="s">
        <v>38</v>
      </c>
      <c r="F251" s="253" t="s">
        <v>87</v>
      </c>
      <c r="G251" s="35" t="s">
        <v>57</v>
      </c>
      <c r="H251" s="266">
        <f>'прил10 (ведом 23-24)'!M110</f>
        <v>21.8</v>
      </c>
      <c r="I251" s="266">
        <f>'прил10 (ведом 23-24)'!N110</f>
        <v>21.8</v>
      </c>
    </row>
    <row r="252" spans="1:9" ht="18" x14ac:dyDescent="0.35">
      <c r="A252" s="476"/>
      <c r="B252" s="448"/>
      <c r="C252" s="477"/>
      <c r="D252" s="639"/>
      <c r="E252" s="639"/>
      <c r="F252" s="640"/>
      <c r="G252" s="291"/>
      <c r="H252" s="266"/>
      <c r="I252" s="266"/>
    </row>
    <row r="253" spans="1:9" s="441" customFormat="1" ht="52.2" x14ac:dyDescent="0.3">
      <c r="A253" s="451">
        <v>6</v>
      </c>
      <c r="B253" s="462" t="s">
        <v>224</v>
      </c>
      <c r="C253" s="438" t="s">
        <v>225</v>
      </c>
      <c r="D253" s="438" t="s">
        <v>43</v>
      </c>
      <c r="E253" s="438" t="s">
        <v>44</v>
      </c>
      <c r="F253" s="439" t="s">
        <v>45</v>
      </c>
      <c r="G253" s="440"/>
      <c r="H253" s="316">
        <f>H254</f>
        <v>35633.799999999996</v>
      </c>
      <c r="I253" s="316">
        <f>I254</f>
        <v>35625.999999999993</v>
      </c>
    </row>
    <row r="254" spans="1:9" ht="27" customHeight="1" x14ac:dyDescent="0.35">
      <c r="A254" s="431"/>
      <c r="B254" s="442" t="s">
        <v>343</v>
      </c>
      <c r="C254" s="478" t="s">
        <v>225</v>
      </c>
      <c r="D254" s="479" t="s">
        <v>46</v>
      </c>
      <c r="E254" s="252" t="s">
        <v>44</v>
      </c>
      <c r="F254" s="253" t="s">
        <v>45</v>
      </c>
      <c r="G254" s="35"/>
      <c r="H254" s="266">
        <f>H255+H260+H263+H266</f>
        <v>35633.799999999996</v>
      </c>
      <c r="I254" s="266">
        <f>I255+I260+I263+I266</f>
        <v>35625.999999999993</v>
      </c>
    </row>
    <row r="255" spans="1:9" ht="40.950000000000003" customHeight="1" x14ac:dyDescent="0.35">
      <c r="A255" s="431"/>
      <c r="B255" s="442" t="s">
        <v>305</v>
      </c>
      <c r="C255" s="478" t="s">
        <v>225</v>
      </c>
      <c r="D255" s="479" t="s">
        <v>46</v>
      </c>
      <c r="E255" s="252" t="s">
        <v>38</v>
      </c>
      <c r="F255" s="253" t="s">
        <v>45</v>
      </c>
      <c r="G255" s="35"/>
      <c r="H255" s="266">
        <f>H256</f>
        <v>25791.5</v>
      </c>
      <c r="I255" s="266">
        <f>I256</f>
        <v>25792.2</v>
      </c>
    </row>
    <row r="256" spans="1:9" ht="36" x14ac:dyDescent="0.35">
      <c r="A256" s="431"/>
      <c r="B256" s="442" t="s">
        <v>48</v>
      </c>
      <c r="C256" s="478" t="s">
        <v>225</v>
      </c>
      <c r="D256" s="479" t="s">
        <v>46</v>
      </c>
      <c r="E256" s="252" t="s">
        <v>38</v>
      </c>
      <c r="F256" s="253" t="s">
        <v>49</v>
      </c>
      <c r="G256" s="35"/>
      <c r="H256" s="266">
        <f>SUM(H257:H259)</f>
        <v>25791.5</v>
      </c>
      <c r="I256" s="266">
        <f>SUM(I257:I259)</f>
        <v>25792.2</v>
      </c>
    </row>
    <row r="257" spans="1:9" ht="90" x14ac:dyDescent="0.35">
      <c r="A257" s="431"/>
      <c r="B257" s="442" t="s">
        <v>50</v>
      </c>
      <c r="C257" s="478" t="s">
        <v>225</v>
      </c>
      <c r="D257" s="479" t="s">
        <v>46</v>
      </c>
      <c r="E257" s="252" t="s">
        <v>38</v>
      </c>
      <c r="F257" s="253" t="s">
        <v>49</v>
      </c>
      <c r="G257" s="35" t="s">
        <v>51</v>
      </c>
      <c r="H257" s="266">
        <f>'прил10 (ведом 23-24)'!M188</f>
        <v>25067.7</v>
      </c>
      <c r="I257" s="266">
        <f>'прил10 (ведом 23-24)'!N188</f>
        <v>25067.7</v>
      </c>
    </row>
    <row r="258" spans="1:9" ht="36" x14ac:dyDescent="0.35">
      <c r="A258" s="431"/>
      <c r="B258" s="264" t="s">
        <v>56</v>
      </c>
      <c r="C258" s="478" t="s">
        <v>225</v>
      </c>
      <c r="D258" s="479" t="s">
        <v>46</v>
      </c>
      <c r="E258" s="252" t="s">
        <v>38</v>
      </c>
      <c r="F258" s="253" t="s">
        <v>49</v>
      </c>
      <c r="G258" s="35" t="s">
        <v>57</v>
      </c>
      <c r="H258" s="266">
        <f>'прил10 (ведом 23-24)'!M189</f>
        <v>719.1</v>
      </c>
      <c r="I258" s="266">
        <f>'прил10 (ведом 23-24)'!N189</f>
        <v>719.9</v>
      </c>
    </row>
    <row r="259" spans="1:9" ht="18" x14ac:dyDescent="0.35">
      <c r="A259" s="431"/>
      <c r="B259" s="264" t="s">
        <v>58</v>
      </c>
      <c r="C259" s="478" t="s">
        <v>225</v>
      </c>
      <c r="D259" s="479" t="s">
        <v>46</v>
      </c>
      <c r="E259" s="252" t="s">
        <v>38</v>
      </c>
      <c r="F259" s="253" t="s">
        <v>49</v>
      </c>
      <c r="G259" s="35" t="s">
        <v>59</v>
      </c>
      <c r="H259" s="266">
        <f>'прил10 (ведом 23-24)'!M190</f>
        <v>4.7</v>
      </c>
      <c r="I259" s="266">
        <f>'прил10 (ведом 23-24)'!N190</f>
        <v>4.5999999999999996</v>
      </c>
    </row>
    <row r="260" spans="1:9" ht="30" customHeight="1" x14ac:dyDescent="0.35">
      <c r="A260" s="431"/>
      <c r="B260" s="442" t="s">
        <v>306</v>
      </c>
      <c r="C260" s="478" t="s">
        <v>225</v>
      </c>
      <c r="D260" s="479" t="s">
        <v>46</v>
      </c>
      <c r="E260" s="252" t="s">
        <v>40</v>
      </c>
      <c r="F260" s="253" t="s">
        <v>45</v>
      </c>
      <c r="G260" s="35"/>
      <c r="H260" s="266">
        <f>H261</f>
        <v>7000</v>
      </c>
      <c r="I260" s="266">
        <f>I261</f>
        <v>7000</v>
      </c>
    </row>
    <row r="261" spans="1:9" ht="36" x14ac:dyDescent="0.35">
      <c r="A261" s="431"/>
      <c r="B261" s="264" t="s">
        <v>259</v>
      </c>
      <c r="C261" s="478" t="s">
        <v>225</v>
      </c>
      <c r="D261" s="479" t="s">
        <v>46</v>
      </c>
      <c r="E261" s="252" t="s">
        <v>40</v>
      </c>
      <c r="F261" s="253" t="s">
        <v>425</v>
      </c>
      <c r="G261" s="35"/>
      <c r="H261" s="266">
        <f>H262</f>
        <v>7000</v>
      </c>
      <c r="I261" s="266">
        <f>I262</f>
        <v>7000</v>
      </c>
    </row>
    <row r="262" spans="1:9" ht="18" x14ac:dyDescent="0.35">
      <c r="A262" s="431"/>
      <c r="B262" s="264" t="s">
        <v>124</v>
      </c>
      <c r="C262" s="478" t="s">
        <v>225</v>
      </c>
      <c r="D262" s="479" t="s">
        <v>46</v>
      </c>
      <c r="E262" s="252" t="s">
        <v>40</v>
      </c>
      <c r="F262" s="253" t="s">
        <v>425</v>
      </c>
      <c r="G262" s="35" t="s">
        <v>125</v>
      </c>
      <c r="H262" s="266">
        <f>'прил10 (ведом 23-24)'!M206</f>
        <v>7000</v>
      </c>
      <c r="I262" s="266">
        <f>'прил10 (ведом 23-24)'!N206</f>
        <v>7000</v>
      </c>
    </row>
    <row r="263" spans="1:9" ht="36" x14ac:dyDescent="0.35">
      <c r="A263" s="431"/>
      <c r="B263" s="442" t="s">
        <v>358</v>
      </c>
      <c r="C263" s="478" t="s">
        <v>225</v>
      </c>
      <c r="D263" s="479" t="s">
        <v>46</v>
      </c>
      <c r="E263" s="252" t="s">
        <v>64</v>
      </c>
      <c r="F263" s="253" t="s">
        <v>45</v>
      </c>
      <c r="G263" s="35"/>
      <c r="H263" s="266">
        <f>H264</f>
        <v>2825.1</v>
      </c>
      <c r="I263" s="266">
        <f>I264</f>
        <v>2816.6</v>
      </c>
    </row>
    <row r="264" spans="1:9" ht="54" x14ac:dyDescent="0.35">
      <c r="A264" s="431"/>
      <c r="B264" s="442" t="s">
        <v>359</v>
      </c>
      <c r="C264" s="478" t="s">
        <v>225</v>
      </c>
      <c r="D264" s="479" t="s">
        <v>46</v>
      </c>
      <c r="E264" s="252" t="s">
        <v>64</v>
      </c>
      <c r="F264" s="253" t="s">
        <v>106</v>
      </c>
      <c r="G264" s="35"/>
      <c r="H264" s="266">
        <f>H265</f>
        <v>2825.1</v>
      </c>
      <c r="I264" s="266">
        <f>I265</f>
        <v>2816.6</v>
      </c>
    </row>
    <row r="265" spans="1:9" ht="36" x14ac:dyDescent="0.35">
      <c r="A265" s="431"/>
      <c r="B265" s="442" t="s">
        <v>56</v>
      </c>
      <c r="C265" s="478" t="s">
        <v>225</v>
      </c>
      <c r="D265" s="479" t="s">
        <v>46</v>
      </c>
      <c r="E265" s="252" t="s">
        <v>64</v>
      </c>
      <c r="F265" s="253" t="s">
        <v>106</v>
      </c>
      <c r="G265" s="35" t="s">
        <v>57</v>
      </c>
      <c r="H265" s="266">
        <f>'прил10 (ведом 23-24)'!M196</f>
        <v>2825.1</v>
      </c>
      <c r="I265" s="266">
        <f>'прил10 (ведом 23-24)'!N196</f>
        <v>2816.6</v>
      </c>
    </row>
    <row r="266" spans="1:9" ht="36" x14ac:dyDescent="0.35">
      <c r="A266" s="431"/>
      <c r="B266" s="264" t="s">
        <v>494</v>
      </c>
      <c r="C266" s="478" t="s">
        <v>225</v>
      </c>
      <c r="D266" s="479" t="s">
        <v>46</v>
      </c>
      <c r="E266" s="252" t="s">
        <v>66</v>
      </c>
      <c r="F266" s="253" t="s">
        <v>45</v>
      </c>
      <c r="G266" s="35"/>
      <c r="H266" s="266">
        <f>H267</f>
        <v>17.2</v>
      </c>
      <c r="I266" s="266">
        <f>I267</f>
        <v>17.2</v>
      </c>
    </row>
    <row r="267" spans="1:9" ht="18" x14ac:dyDescent="0.35">
      <c r="A267" s="431"/>
      <c r="B267" s="264" t="s">
        <v>492</v>
      </c>
      <c r="C267" s="478" t="s">
        <v>225</v>
      </c>
      <c r="D267" s="479" t="s">
        <v>46</v>
      </c>
      <c r="E267" s="252" t="s">
        <v>66</v>
      </c>
      <c r="F267" s="253" t="s">
        <v>493</v>
      </c>
      <c r="G267" s="35"/>
      <c r="H267" s="266">
        <f>H268</f>
        <v>17.2</v>
      </c>
      <c r="I267" s="266">
        <f>I268</f>
        <v>17.2</v>
      </c>
    </row>
    <row r="268" spans="1:9" ht="36" x14ac:dyDescent="0.35">
      <c r="A268" s="431"/>
      <c r="B268" s="264" t="s">
        <v>56</v>
      </c>
      <c r="C268" s="478" t="s">
        <v>225</v>
      </c>
      <c r="D268" s="479" t="s">
        <v>46</v>
      </c>
      <c r="E268" s="252" t="s">
        <v>66</v>
      </c>
      <c r="F268" s="253" t="s">
        <v>493</v>
      </c>
      <c r="G268" s="35" t="s">
        <v>57</v>
      </c>
      <c r="H268" s="266">
        <f>'прил10 (ведом 23-24)'!M199</f>
        <v>17.2</v>
      </c>
      <c r="I268" s="266">
        <f>'прил10 (ведом 23-24)'!N199</f>
        <v>17.2</v>
      </c>
    </row>
    <row r="269" spans="1:9" ht="18" x14ac:dyDescent="0.35">
      <c r="A269" s="431"/>
      <c r="B269" s="264"/>
      <c r="C269" s="479"/>
      <c r="D269" s="479"/>
      <c r="E269" s="479"/>
      <c r="F269" s="480"/>
      <c r="G269" s="35"/>
      <c r="H269" s="266"/>
      <c r="I269" s="266"/>
    </row>
    <row r="270" spans="1:9" s="441" customFormat="1" ht="52.2" x14ac:dyDescent="0.3">
      <c r="A270" s="437">
        <v>7</v>
      </c>
      <c r="B270" s="481" t="s">
        <v>226</v>
      </c>
      <c r="C270" s="482" t="s">
        <v>227</v>
      </c>
      <c r="D270" s="452" t="s">
        <v>43</v>
      </c>
      <c r="E270" s="452" t="s">
        <v>44</v>
      </c>
      <c r="F270" s="453" t="s">
        <v>45</v>
      </c>
      <c r="G270" s="483"/>
      <c r="H270" s="316">
        <f>H271+H275</f>
        <v>20561.899999999998</v>
      </c>
      <c r="I270" s="316">
        <f>I271+I275</f>
        <v>22293.899999999998</v>
      </c>
    </row>
    <row r="271" spans="1:9" s="441" customFormat="1" ht="36" x14ac:dyDescent="0.35">
      <c r="A271" s="437"/>
      <c r="B271" s="463" t="s">
        <v>228</v>
      </c>
      <c r="C271" s="484" t="s">
        <v>227</v>
      </c>
      <c r="D271" s="485" t="s">
        <v>46</v>
      </c>
      <c r="E271" s="485" t="s">
        <v>44</v>
      </c>
      <c r="F271" s="486" t="s">
        <v>45</v>
      </c>
      <c r="G271" s="446"/>
      <c r="H271" s="266">
        <f t="shared" ref="H271:I273" si="2">H272</f>
        <v>0</v>
      </c>
      <c r="I271" s="266">
        <f t="shared" si="2"/>
        <v>606.9</v>
      </c>
    </row>
    <row r="272" spans="1:9" s="441" customFormat="1" ht="36" x14ac:dyDescent="0.35">
      <c r="A272" s="437"/>
      <c r="B272" s="487" t="s">
        <v>342</v>
      </c>
      <c r="C272" s="443" t="s">
        <v>227</v>
      </c>
      <c r="D272" s="444" t="s">
        <v>46</v>
      </c>
      <c r="E272" s="444" t="s">
        <v>40</v>
      </c>
      <c r="F272" s="488" t="s">
        <v>45</v>
      </c>
      <c r="G272" s="446"/>
      <c r="H272" s="266">
        <f>H273</f>
        <v>0</v>
      </c>
      <c r="I272" s="266">
        <f>I273</f>
        <v>606.9</v>
      </c>
    </row>
    <row r="273" spans="1:9" s="441" customFormat="1" ht="36" x14ac:dyDescent="0.35">
      <c r="A273" s="437"/>
      <c r="B273" s="487" t="s">
        <v>341</v>
      </c>
      <c r="C273" s="443" t="s">
        <v>227</v>
      </c>
      <c r="D273" s="444" t="s">
        <v>46</v>
      </c>
      <c r="E273" s="444" t="s">
        <v>40</v>
      </c>
      <c r="F273" s="488" t="s">
        <v>340</v>
      </c>
      <c r="G273" s="446"/>
      <c r="H273" s="266">
        <f t="shared" si="2"/>
        <v>0</v>
      </c>
      <c r="I273" s="266">
        <f t="shared" si="2"/>
        <v>606.9</v>
      </c>
    </row>
    <row r="274" spans="1:9" s="441" customFormat="1" ht="36" x14ac:dyDescent="0.35">
      <c r="A274" s="437"/>
      <c r="B274" s="487" t="s">
        <v>56</v>
      </c>
      <c r="C274" s="443" t="s">
        <v>227</v>
      </c>
      <c r="D274" s="444" t="s">
        <v>46</v>
      </c>
      <c r="E274" s="444" t="s">
        <v>40</v>
      </c>
      <c r="F274" s="488" t="s">
        <v>340</v>
      </c>
      <c r="G274" s="446" t="s">
        <v>57</v>
      </c>
      <c r="H274" s="266">
        <f>'прил10 (ведом 23-24)'!M225</f>
        <v>0</v>
      </c>
      <c r="I274" s="266">
        <f>'прил10 (ведом 23-24)'!N225</f>
        <v>606.9</v>
      </c>
    </row>
    <row r="275" spans="1:9" ht="36" x14ac:dyDescent="0.35">
      <c r="A275" s="476"/>
      <c r="B275" s="489" t="s">
        <v>230</v>
      </c>
      <c r="C275" s="456" t="s">
        <v>227</v>
      </c>
      <c r="D275" s="477" t="s">
        <v>90</v>
      </c>
      <c r="E275" s="477" t="s">
        <v>44</v>
      </c>
      <c r="F275" s="490" t="s">
        <v>45</v>
      </c>
      <c r="G275" s="491"/>
      <c r="H275" s="266">
        <f>H276+H287+H290</f>
        <v>20561.899999999998</v>
      </c>
      <c r="I275" s="266">
        <f>I276+I287+I290</f>
        <v>21686.999999999996</v>
      </c>
    </row>
    <row r="276" spans="1:9" ht="72" x14ac:dyDescent="0.35">
      <c r="A276" s="476"/>
      <c r="B276" s="489" t="s">
        <v>303</v>
      </c>
      <c r="C276" s="456" t="s">
        <v>227</v>
      </c>
      <c r="D276" s="477" t="s">
        <v>90</v>
      </c>
      <c r="E276" s="477" t="s">
        <v>38</v>
      </c>
      <c r="F276" s="490" t="s">
        <v>45</v>
      </c>
      <c r="G276" s="491"/>
      <c r="H276" s="266">
        <f>H277+H281+H285</f>
        <v>20547.099999999999</v>
      </c>
      <c r="I276" s="266">
        <f>I277+I281+I285</f>
        <v>20994.6</v>
      </c>
    </row>
    <row r="277" spans="1:9" ht="36" x14ac:dyDescent="0.35">
      <c r="A277" s="476"/>
      <c r="B277" s="489" t="s">
        <v>48</v>
      </c>
      <c r="C277" s="492" t="s">
        <v>227</v>
      </c>
      <c r="D277" s="493" t="s">
        <v>90</v>
      </c>
      <c r="E277" s="493" t="s">
        <v>38</v>
      </c>
      <c r="F277" s="494" t="s">
        <v>49</v>
      </c>
      <c r="G277" s="491"/>
      <c r="H277" s="266">
        <f>SUM(H278:H280)</f>
        <v>13047</v>
      </c>
      <c r="I277" s="266">
        <f>SUM(I278:I280)</f>
        <v>13269.7</v>
      </c>
    </row>
    <row r="278" spans="1:9" ht="90" x14ac:dyDescent="0.35">
      <c r="A278" s="476"/>
      <c r="B278" s="489" t="s">
        <v>50</v>
      </c>
      <c r="C278" s="456" t="s">
        <v>227</v>
      </c>
      <c r="D278" s="477" t="s">
        <v>90</v>
      </c>
      <c r="E278" s="477" t="s">
        <v>38</v>
      </c>
      <c r="F278" s="490" t="s">
        <v>49</v>
      </c>
      <c r="G278" s="491" t="s">
        <v>51</v>
      </c>
      <c r="H278" s="266">
        <f>'прил10 (ведом 23-24)'!M229</f>
        <v>12941.5</v>
      </c>
      <c r="I278" s="266">
        <f>'прил10 (ведом 23-24)'!N229</f>
        <v>12941.5</v>
      </c>
    </row>
    <row r="279" spans="1:9" ht="36" x14ac:dyDescent="0.35">
      <c r="A279" s="476"/>
      <c r="B279" s="487" t="s">
        <v>56</v>
      </c>
      <c r="C279" s="495" t="s">
        <v>227</v>
      </c>
      <c r="D279" s="444" t="s">
        <v>90</v>
      </c>
      <c r="E279" s="444" t="s">
        <v>38</v>
      </c>
      <c r="F279" s="488" t="s">
        <v>49</v>
      </c>
      <c r="G279" s="446" t="s">
        <v>57</v>
      </c>
      <c r="H279" s="266">
        <f>'прил10 (ведом 23-24)'!M230</f>
        <v>104.3</v>
      </c>
      <c r="I279" s="266">
        <f>'прил10 (ведом 23-24)'!N230</f>
        <v>327</v>
      </c>
    </row>
    <row r="280" spans="1:9" ht="18" x14ac:dyDescent="0.35">
      <c r="A280" s="476"/>
      <c r="B280" s="463" t="s">
        <v>58</v>
      </c>
      <c r="C280" s="495" t="s">
        <v>227</v>
      </c>
      <c r="D280" s="444" t="s">
        <v>90</v>
      </c>
      <c r="E280" s="444" t="s">
        <v>38</v>
      </c>
      <c r="F280" s="488" t="s">
        <v>49</v>
      </c>
      <c r="G280" s="446" t="s">
        <v>59</v>
      </c>
      <c r="H280" s="266">
        <f>'прил10 (ведом 23-24)'!M231</f>
        <v>1.2</v>
      </c>
      <c r="I280" s="266">
        <f>'прил10 (ведом 23-24)'!N231</f>
        <v>1.2</v>
      </c>
    </row>
    <row r="281" spans="1:9" ht="36" x14ac:dyDescent="0.35">
      <c r="A281" s="476"/>
      <c r="B281" s="442" t="s">
        <v>490</v>
      </c>
      <c r="C281" s="456" t="s">
        <v>227</v>
      </c>
      <c r="D281" s="477" t="s">
        <v>90</v>
      </c>
      <c r="E281" s="477" t="s">
        <v>38</v>
      </c>
      <c r="F281" s="490" t="s">
        <v>92</v>
      </c>
      <c r="G281" s="491"/>
      <c r="H281" s="266">
        <f>SUM(H282:H284)</f>
        <v>7431.0999999999995</v>
      </c>
      <c r="I281" s="266">
        <f>SUM(I282:I284)</f>
        <v>7655.9</v>
      </c>
    </row>
    <row r="282" spans="1:9" ht="90" x14ac:dyDescent="0.35">
      <c r="A282" s="476"/>
      <c r="B282" s="489" t="s">
        <v>50</v>
      </c>
      <c r="C282" s="456" t="s">
        <v>227</v>
      </c>
      <c r="D282" s="477" t="s">
        <v>90</v>
      </c>
      <c r="E282" s="477" t="s">
        <v>38</v>
      </c>
      <c r="F282" s="490" t="s">
        <v>92</v>
      </c>
      <c r="G282" s="491" t="s">
        <v>51</v>
      </c>
      <c r="H282" s="266">
        <f>'прил10 (ведом 23-24)'!M233</f>
        <v>7312.7</v>
      </c>
      <c r="I282" s="266">
        <f>'прил10 (ведом 23-24)'!N233</f>
        <v>7312.7</v>
      </c>
    </row>
    <row r="283" spans="1:9" ht="36" x14ac:dyDescent="0.35">
      <c r="A283" s="476"/>
      <c r="B283" s="264" t="s">
        <v>56</v>
      </c>
      <c r="C283" s="492" t="s">
        <v>227</v>
      </c>
      <c r="D283" s="493" t="s">
        <v>90</v>
      </c>
      <c r="E283" s="493" t="s">
        <v>38</v>
      </c>
      <c r="F283" s="494" t="s">
        <v>92</v>
      </c>
      <c r="G283" s="491" t="s">
        <v>57</v>
      </c>
      <c r="H283" s="266">
        <f>'прил10 (ведом 23-24)'!M234</f>
        <v>98.9</v>
      </c>
      <c r="I283" s="266">
        <f>'прил10 (ведом 23-24)'!N234</f>
        <v>324.5</v>
      </c>
    </row>
    <row r="284" spans="1:9" ht="18" x14ac:dyDescent="0.35">
      <c r="A284" s="476"/>
      <c r="B284" s="496" t="s">
        <v>58</v>
      </c>
      <c r="C284" s="456" t="s">
        <v>227</v>
      </c>
      <c r="D284" s="477" t="s">
        <v>90</v>
      </c>
      <c r="E284" s="477" t="s">
        <v>38</v>
      </c>
      <c r="F284" s="490" t="s">
        <v>92</v>
      </c>
      <c r="G284" s="491" t="s">
        <v>59</v>
      </c>
      <c r="H284" s="266">
        <f>'прил10 (ведом 23-24)'!M235</f>
        <v>19.5</v>
      </c>
      <c r="I284" s="266">
        <f>'прил10 (ведом 23-24)'!N235</f>
        <v>18.7</v>
      </c>
    </row>
    <row r="285" spans="1:9" ht="54" x14ac:dyDescent="0.35">
      <c r="A285" s="476"/>
      <c r="B285" s="487" t="s">
        <v>361</v>
      </c>
      <c r="C285" s="495" t="s">
        <v>227</v>
      </c>
      <c r="D285" s="444" t="s">
        <v>90</v>
      </c>
      <c r="E285" s="444" t="s">
        <v>38</v>
      </c>
      <c r="F285" s="488" t="s">
        <v>360</v>
      </c>
      <c r="G285" s="446"/>
      <c r="H285" s="266">
        <f>H286</f>
        <v>69</v>
      </c>
      <c r="I285" s="266">
        <f>I286</f>
        <v>69</v>
      </c>
    </row>
    <row r="286" spans="1:9" ht="36" x14ac:dyDescent="0.35">
      <c r="A286" s="476"/>
      <c r="B286" s="487" t="s">
        <v>56</v>
      </c>
      <c r="C286" s="495" t="s">
        <v>227</v>
      </c>
      <c r="D286" s="444" t="s">
        <v>90</v>
      </c>
      <c r="E286" s="444" t="s">
        <v>38</v>
      </c>
      <c r="F286" s="497" t="s">
        <v>360</v>
      </c>
      <c r="G286" s="446" t="s">
        <v>57</v>
      </c>
      <c r="H286" s="266">
        <f>'прил10 (ведом 23-24)'!M237</f>
        <v>69</v>
      </c>
      <c r="I286" s="266">
        <f>'прил10 (ведом 23-24)'!N237</f>
        <v>69</v>
      </c>
    </row>
    <row r="287" spans="1:9" ht="36" x14ac:dyDescent="0.35">
      <c r="A287" s="476"/>
      <c r="B287" s="498" t="s">
        <v>358</v>
      </c>
      <c r="C287" s="495" t="s">
        <v>227</v>
      </c>
      <c r="D287" s="499" t="s">
        <v>90</v>
      </c>
      <c r="E287" s="499" t="s">
        <v>40</v>
      </c>
      <c r="F287" s="500" t="s">
        <v>45</v>
      </c>
      <c r="G287" s="501"/>
      <c r="H287" s="266">
        <f>H288</f>
        <v>0</v>
      </c>
      <c r="I287" s="266">
        <f>I288</f>
        <v>677.6</v>
      </c>
    </row>
    <row r="288" spans="1:9" ht="54" x14ac:dyDescent="0.35">
      <c r="A288" s="476"/>
      <c r="B288" s="502" t="s">
        <v>359</v>
      </c>
      <c r="C288" s="503" t="s">
        <v>227</v>
      </c>
      <c r="D288" s="499" t="s">
        <v>90</v>
      </c>
      <c r="E288" s="499" t="s">
        <v>40</v>
      </c>
      <c r="F288" s="500" t="s">
        <v>106</v>
      </c>
      <c r="G288" s="504"/>
      <c r="H288" s="266">
        <f>H289</f>
        <v>0</v>
      </c>
      <c r="I288" s="266">
        <f>I289</f>
        <v>677.6</v>
      </c>
    </row>
    <row r="289" spans="1:9" ht="36" x14ac:dyDescent="0.35">
      <c r="A289" s="476"/>
      <c r="B289" s="505" t="s">
        <v>56</v>
      </c>
      <c r="C289" s="503" t="s">
        <v>227</v>
      </c>
      <c r="D289" s="506" t="s">
        <v>90</v>
      </c>
      <c r="E289" s="506" t="s">
        <v>40</v>
      </c>
      <c r="F289" s="507" t="s">
        <v>106</v>
      </c>
      <c r="G289" s="508" t="s">
        <v>57</v>
      </c>
      <c r="H289" s="266">
        <f>'прил10 (ведом 23-24)'!M240</f>
        <v>0</v>
      </c>
      <c r="I289" s="266">
        <f>'прил10 (ведом 23-24)'!N240</f>
        <v>677.6</v>
      </c>
    </row>
    <row r="290" spans="1:9" ht="27" customHeight="1" x14ac:dyDescent="0.35">
      <c r="A290" s="476"/>
      <c r="B290" s="509" t="s">
        <v>381</v>
      </c>
      <c r="C290" s="503" t="s">
        <v>227</v>
      </c>
      <c r="D290" s="499" t="s">
        <v>90</v>
      </c>
      <c r="E290" s="499" t="s">
        <v>64</v>
      </c>
      <c r="F290" s="500" t="s">
        <v>45</v>
      </c>
      <c r="G290" s="504"/>
      <c r="H290" s="266">
        <f>H291</f>
        <v>14.8</v>
      </c>
      <c r="I290" s="266">
        <f>I291</f>
        <v>14.8</v>
      </c>
    </row>
    <row r="291" spans="1:9" ht="36" x14ac:dyDescent="0.35">
      <c r="A291" s="476"/>
      <c r="B291" s="509" t="s">
        <v>341</v>
      </c>
      <c r="C291" s="510" t="s">
        <v>227</v>
      </c>
      <c r="D291" s="506" t="s">
        <v>90</v>
      </c>
      <c r="E291" s="506" t="s">
        <v>64</v>
      </c>
      <c r="F291" s="507" t="s">
        <v>340</v>
      </c>
      <c r="G291" s="504"/>
      <c r="H291" s="266">
        <f>H292</f>
        <v>14.8</v>
      </c>
      <c r="I291" s="266">
        <f>I292</f>
        <v>14.8</v>
      </c>
    </row>
    <row r="292" spans="1:9" ht="18" x14ac:dyDescent="0.35">
      <c r="A292" s="476"/>
      <c r="B292" s="463" t="s">
        <v>58</v>
      </c>
      <c r="C292" s="495" t="s">
        <v>227</v>
      </c>
      <c r="D292" s="499" t="s">
        <v>90</v>
      </c>
      <c r="E292" s="499" t="s">
        <v>64</v>
      </c>
      <c r="F292" s="500" t="s">
        <v>340</v>
      </c>
      <c r="G292" s="504" t="s">
        <v>59</v>
      </c>
      <c r="H292" s="266">
        <f>'прил10 (ведом 23-24)'!M243</f>
        <v>14.8</v>
      </c>
      <c r="I292" s="266">
        <f>'прил10 (ведом 23-24)'!N243</f>
        <v>14.8</v>
      </c>
    </row>
    <row r="293" spans="1:9" ht="18" x14ac:dyDescent="0.35">
      <c r="A293" s="476"/>
      <c r="B293" s="496"/>
      <c r="C293" s="457"/>
      <c r="D293" s="477"/>
      <c r="E293" s="477"/>
      <c r="F293" s="490"/>
      <c r="G293" s="491"/>
      <c r="H293" s="266"/>
      <c r="I293" s="266"/>
    </row>
    <row r="294" spans="1:9" s="441" customFormat="1" ht="52.2" x14ac:dyDescent="0.3">
      <c r="A294" s="451">
        <v>8</v>
      </c>
      <c r="B294" s="481" t="s">
        <v>297</v>
      </c>
      <c r="C294" s="452" t="s">
        <v>80</v>
      </c>
      <c r="D294" s="452" t="s">
        <v>43</v>
      </c>
      <c r="E294" s="452" t="s">
        <v>44</v>
      </c>
      <c r="F294" s="453" t="s">
        <v>45</v>
      </c>
      <c r="G294" s="440"/>
      <c r="H294" s="316">
        <f>H295</f>
        <v>124002.59999999999</v>
      </c>
      <c r="I294" s="316">
        <f>I295</f>
        <v>125532.90000000001</v>
      </c>
    </row>
    <row r="295" spans="1:9" ht="23.25" customHeight="1" x14ac:dyDescent="0.35">
      <c r="A295" s="431"/>
      <c r="B295" s="442" t="s">
        <v>343</v>
      </c>
      <c r="C295" s="511" t="s">
        <v>80</v>
      </c>
      <c r="D295" s="477" t="s">
        <v>46</v>
      </c>
      <c r="E295" s="477" t="s">
        <v>44</v>
      </c>
      <c r="F295" s="512" t="s">
        <v>45</v>
      </c>
      <c r="G295" s="291"/>
      <c r="H295" s="266">
        <f>H296+H309+H314+H324</f>
        <v>124002.59999999999</v>
      </c>
      <c r="I295" s="266">
        <f>I296+I309+I314+I324</f>
        <v>125532.90000000001</v>
      </c>
    </row>
    <row r="296" spans="1:9" ht="36" x14ac:dyDescent="0.35">
      <c r="A296" s="431"/>
      <c r="B296" s="442" t="s">
        <v>286</v>
      </c>
      <c r="C296" s="251" t="s">
        <v>80</v>
      </c>
      <c r="D296" s="252" t="s">
        <v>46</v>
      </c>
      <c r="E296" s="252" t="s">
        <v>38</v>
      </c>
      <c r="F296" s="253" t="s">
        <v>45</v>
      </c>
      <c r="G296" s="291"/>
      <c r="H296" s="266">
        <f>H297+H300+H303+H306</f>
        <v>67603.499999999985</v>
      </c>
      <c r="I296" s="266">
        <f>I297+I300+I303+I306</f>
        <v>69133.8</v>
      </c>
    </row>
    <row r="297" spans="1:9" ht="132" customHeight="1" x14ac:dyDescent="0.35">
      <c r="A297" s="431"/>
      <c r="B297" s="586" t="s">
        <v>364</v>
      </c>
      <c r="C297" s="251" t="s">
        <v>80</v>
      </c>
      <c r="D297" s="252" t="s">
        <v>46</v>
      </c>
      <c r="E297" s="252" t="s">
        <v>38</v>
      </c>
      <c r="F297" s="253" t="s">
        <v>614</v>
      </c>
      <c r="G297" s="35"/>
      <c r="H297" s="266">
        <f>SUM(H298:H299)</f>
        <v>36785</v>
      </c>
      <c r="I297" s="266">
        <f>SUM(I298:I299)</f>
        <v>38255.5</v>
      </c>
    </row>
    <row r="298" spans="1:9" ht="36" x14ac:dyDescent="0.35">
      <c r="A298" s="431"/>
      <c r="B298" s="587" t="s">
        <v>56</v>
      </c>
      <c r="C298" s="251" t="s">
        <v>80</v>
      </c>
      <c r="D298" s="252" t="s">
        <v>46</v>
      </c>
      <c r="E298" s="252" t="s">
        <v>38</v>
      </c>
      <c r="F298" s="253" t="s">
        <v>614</v>
      </c>
      <c r="G298" s="35" t="s">
        <v>57</v>
      </c>
      <c r="H298" s="266">
        <f>'прил10 (ведом 23-24)'!M576</f>
        <v>184</v>
      </c>
      <c r="I298" s="266">
        <f>'прил10 (ведом 23-24)'!N576</f>
        <v>191.3</v>
      </c>
    </row>
    <row r="299" spans="1:9" ht="30" customHeight="1" x14ac:dyDescent="0.35">
      <c r="A299" s="431"/>
      <c r="B299" s="442" t="s">
        <v>121</v>
      </c>
      <c r="C299" s="251" t="s">
        <v>80</v>
      </c>
      <c r="D299" s="252" t="s">
        <v>46</v>
      </c>
      <c r="E299" s="252" t="s">
        <v>38</v>
      </c>
      <c r="F299" s="253" t="s">
        <v>614</v>
      </c>
      <c r="G299" s="35" t="s">
        <v>122</v>
      </c>
      <c r="H299" s="266">
        <f>'прил10 (ведом 23-24)'!M577</f>
        <v>36601</v>
      </c>
      <c r="I299" s="266">
        <f>'прил10 (ведом 23-24)'!N577</f>
        <v>38064.199999999997</v>
      </c>
    </row>
    <row r="300" spans="1:9" ht="90" x14ac:dyDescent="0.35">
      <c r="A300" s="431"/>
      <c r="B300" s="442" t="s">
        <v>366</v>
      </c>
      <c r="C300" s="251" t="s">
        <v>80</v>
      </c>
      <c r="D300" s="252" t="s">
        <v>46</v>
      </c>
      <c r="E300" s="252" t="s">
        <v>38</v>
      </c>
      <c r="F300" s="253" t="s">
        <v>616</v>
      </c>
      <c r="G300" s="35"/>
      <c r="H300" s="266">
        <f>SUM(H301:H302)</f>
        <v>1495.2</v>
      </c>
      <c r="I300" s="266">
        <f>SUM(I301:I302)</f>
        <v>1555</v>
      </c>
    </row>
    <row r="301" spans="1:9" ht="36" x14ac:dyDescent="0.35">
      <c r="A301" s="431"/>
      <c r="B301" s="442" t="s">
        <v>56</v>
      </c>
      <c r="C301" s="251" t="s">
        <v>80</v>
      </c>
      <c r="D301" s="252" t="s">
        <v>46</v>
      </c>
      <c r="E301" s="252" t="s">
        <v>38</v>
      </c>
      <c r="F301" s="253" t="s">
        <v>616</v>
      </c>
      <c r="G301" s="35" t="s">
        <v>57</v>
      </c>
      <c r="H301" s="266">
        <f>'прил10 (ведом 23-24)'!M579</f>
        <v>7.5</v>
      </c>
      <c r="I301" s="266">
        <f>'прил10 (ведом 23-24)'!N579</f>
        <v>7.8</v>
      </c>
    </row>
    <row r="302" spans="1:9" ht="26.25" customHeight="1" x14ac:dyDescent="0.35">
      <c r="A302" s="431"/>
      <c r="B302" s="442" t="s">
        <v>121</v>
      </c>
      <c r="C302" s="251" t="s">
        <v>80</v>
      </c>
      <c r="D302" s="252" t="s">
        <v>46</v>
      </c>
      <c r="E302" s="252" t="s">
        <v>38</v>
      </c>
      <c r="F302" s="253" t="s">
        <v>616</v>
      </c>
      <c r="G302" s="35" t="s">
        <v>122</v>
      </c>
      <c r="H302" s="266">
        <f>'прил10 (ведом 23-24)'!M580</f>
        <v>1487.7</v>
      </c>
      <c r="I302" s="266">
        <f>'прил10 (ведом 23-24)'!N580</f>
        <v>1547.2</v>
      </c>
    </row>
    <row r="303" spans="1:9" ht="90" x14ac:dyDescent="0.35">
      <c r="A303" s="431"/>
      <c r="B303" s="442" t="s">
        <v>365</v>
      </c>
      <c r="C303" s="251" t="s">
        <v>80</v>
      </c>
      <c r="D303" s="252" t="s">
        <v>46</v>
      </c>
      <c r="E303" s="252" t="s">
        <v>38</v>
      </c>
      <c r="F303" s="253" t="s">
        <v>615</v>
      </c>
      <c r="G303" s="35"/>
      <c r="H303" s="266">
        <f>SUM(H304:H305)</f>
        <v>27520.6</v>
      </c>
      <c r="I303" s="266">
        <f>SUM(I304:I305)</f>
        <v>27520.6</v>
      </c>
    </row>
    <row r="304" spans="1:9" ht="36" x14ac:dyDescent="0.35">
      <c r="A304" s="431"/>
      <c r="B304" s="587" t="s">
        <v>56</v>
      </c>
      <c r="C304" s="251" t="s">
        <v>80</v>
      </c>
      <c r="D304" s="252" t="s">
        <v>46</v>
      </c>
      <c r="E304" s="252" t="s">
        <v>38</v>
      </c>
      <c r="F304" s="253" t="s">
        <v>615</v>
      </c>
      <c r="G304" s="35" t="s">
        <v>57</v>
      </c>
      <c r="H304" s="266">
        <f>'прил10 (ведом 23-24)'!M582</f>
        <v>137.6</v>
      </c>
      <c r="I304" s="266">
        <f>'прил10 (ведом 23-24)'!N582</f>
        <v>137.6</v>
      </c>
    </row>
    <row r="305" spans="1:9" ht="29.25" customHeight="1" x14ac:dyDescent="0.35">
      <c r="A305" s="431"/>
      <c r="B305" s="442" t="s">
        <v>121</v>
      </c>
      <c r="C305" s="251" t="s">
        <v>80</v>
      </c>
      <c r="D305" s="252" t="s">
        <v>46</v>
      </c>
      <c r="E305" s="252" t="s">
        <v>38</v>
      </c>
      <c r="F305" s="253" t="s">
        <v>615</v>
      </c>
      <c r="G305" s="35" t="s">
        <v>122</v>
      </c>
      <c r="H305" s="266">
        <f>'прил10 (ведом 23-24)'!M583</f>
        <v>27383</v>
      </c>
      <c r="I305" s="266">
        <f>'прил10 (ведом 23-24)'!N583</f>
        <v>27383</v>
      </c>
    </row>
    <row r="306" spans="1:9" ht="108" x14ac:dyDescent="0.35">
      <c r="A306" s="431"/>
      <c r="B306" s="442" t="s">
        <v>372</v>
      </c>
      <c r="C306" s="251" t="s">
        <v>80</v>
      </c>
      <c r="D306" s="252" t="s">
        <v>46</v>
      </c>
      <c r="E306" s="252" t="s">
        <v>38</v>
      </c>
      <c r="F306" s="253" t="s">
        <v>617</v>
      </c>
      <c r="G306" s="35"/>
      <c r="H306" s="266">
        <f>SUM(H307:H308)</f>
        <v>1802.7</v>
      </c>
      <c r="I306" s="266">
        <f>SUM(I307:I308)</f>
        <v>1802.7</v>
      </c>
    </row>
    <row r="307" spans="1:9" ht="36" x14ac:dyDescent="0.35">
      <c r="A307" s="431"/>
      <c r="B307" s="442" t="s">
        <v>56</v>
      </c>
      <c r="C307" s="251" t="s">
        <v>80</v>
      </c>
      <c r="D307" s="252" t="s">
        <v>46</v>
      </c>
      <c r="E307" s="252" t="s">
        <v>38</v>
      </c>
      <c r="F307" s="253" t="s">
        <v>617</v>
      </c>
      <c r="G307" s="35" t="s">
        <v>57</v>
      </c>
      <c r="H307" s="266">
        <f>'прил10 (ведом 23-24)'!M585</f>
        <v>9</v>
      </c>
      <c r="I307" s="266">
        <f>'прил10 (ведом 23-24)'!N585</f>
        <v>9</v>
      </c>
    </row>
    <row r="308" spans="1:9" ht="25.5" customHeight="1" x14ac:dyDescent="0.35">
      <c r="A308" s="431"/>
      <c r="B308" s="442" t="s">
        <v>121</v>
      </c>
      <c r="C308" s="251" t="s">
        <v>80</v>
      </c>
      <c r="D308" s="252" t="s">
        <v>46</v>
      </c>
      <c r="E308" s="252" t="s">
        <v>38</v>
      </c>
      <c r="F308" s="253" t="s">
        <v>617</v>
      </c>
      <c r="G308" s="35" t="s">
        <v>122</v>
      </c>
      <c r="H308" s="266">
        <f>'прил10 (ведом 23-24)'!M586</f>
        <v>1793.7</v>
      </c>
      <c r="I308" s="266">
        <f>'прил10 (ведом 23-24)'!N586</f>
        <v>1793.7</v>
      </c>
    </row>
    <row r="309" spans="1:9" ht="72" x14ac:dyDescent="0.35">
      <c r="A309" s="431"/>
      <c r="B309" s="487" t="s">
        <v>302</v>
      </c>
      <c r="C309" s="513" t="s">
        <v>80</v>
      </c>
      <c r="D309" s="514" t="s">
        <v>46</v>
      </c>
      <c r="E309" s="514" t="s">
        <v>40</v>
      </c>
      <c r="F309" s="515" t="s">
        <v>45</v>
      </c>
      <c r="G309" s="516"/>
      <c r="H309" s="266">
        <f>H310+H312</f>
        <v>47267.9</v>
      </c>
      <c r="I309" s="266">
        <f>I310+I312</f>
        <v>47267.9</v>
      </c>
    </row>
    <row r="310" spans="1:9" ht="94.5" customHeight="1" x14ac:dyDescent="0.35">
      <c r="A310" s="431"/>
      <c r="B310" s="463" t="s">
        <v>437</v>
      </c>
      <c r="C310" s="443" t="s">
        <v>80</v>
      </c>
      <c r="D310" s="444" t="s">
        <v>46</v>
      </c>
      <c r="E310" s="444" t="s">
        <v>40</v>
      </c>
      <c r="F310" s="445" t="s">
        <v>438</v>
      </c>
      <c r="G310" s="446"/>
      <c r="H310" s="266">
        <f>H311</f>
        <v>39126.1</v>
      </c>
      <c r="I310" s="266">
        <f>I311</f>
        <v>39126.1</v>
      </c>
    </row>
    <row r="311" spans="1:9" ht="36" x14ac:dyDescent="0.35">
      <c r="A311" s="431"/>
      <c r="B311" s="463" t="s">
        <v>204</v>
      </c>
      <c r="C311" s="443" t="s">
        <v>80</v>
      </c>
      <c r="D311" s="444" t="s">
        <v>46</v>
      </c>
      <c r="E311" s="444" t="s">
        <v>40</v>
      </c>
      <c r="F311" s="445" t="s">
        <v>438</v>
      </c>
      <c r="G311" s="446" t="s">
        <v>205</v>
      </c>
      <c r="H311" s="266">
        <f>'прил10 (ведом 23-24)'!M278</f>
        <v>39126.1</v>
      </c>
      <c r="I311" s="266">
        <f>'прил10 (ведом 23-24)'!N278</f>
        <v>39126.1</v>
      </c>
    </row>
    <row r="312" spans="1:9" ht="90" x14ac:dyDescent="0.35">
      <c r="A312" s="431"/>
      <c r="B312" s="133" t="s">
        <v>437</v>
      </c>
      <c r="C312" s="108" t="s">
        <v>80</v>
      </c>
      <c r="D312" s="109" t="s">
        <v>46</v>
      </c>
      <c r="E312" s="109" t="s">
        <v>40</v>
      </c>
      <c r="F312" s="134" t="s">
        <v>630</v>
      </c>
      <c r="G312" s="111"/>
      <c r="H312" s="266">
        <f>H313</f>
        <v>8141.8</v>
      </c>
      <c r="I312" s="266">
        <f>I313</f>
        <v>8141.8</v>
      </c>
    </row>
    <row r="313" spans="1:9" ht="36" x14ac:dyDescent="0.35">
      <c r="A313" s="431"/>
      <c r="B313" s="133" t="s">
        <v>204</v>
      </c>
      <c r="C313" s="108" t="s">
        <v>80</v>
      </c>
      <c r="D313" s="109" t="s">
        <v>46</v>
      </c>
      <c r="E313" s="109" t="s">
        <v>40</v>
      </c>
      <c r="F313" s="134" t="s">
        <v>630</v>
      </c>
      <c r="G313" s="111" t="s">
        <v>205</v>
      </c>
      <c r="H313" s="266">
        <f>'прил10 (ведом 23-24)'!M280</f>
        <v>8141.8</v>
      </c>
      <c r="I313" s="266">
        <f>'прил10 (ведом 23-24)'!N280</f>
        <v>8141.8</v>
      </c>
    </row>
    <row r="314" spans="1:9" ht="36" x14ac:dyDescent="0.35">
      <c r="A314" s="431"/>
      <c r="B314" s="442" t="s">
        <v>230</v>
      </c>
      <c r="C314" s="251" t="s">
        <v>80</v>
      </c>
      <c r="D314" s="252" t="s">
        <v>46</v>
      </c>
      <c r="E314" s="252" t="s">
        <v>64</v>
      </c>
      <c r="F314" s="253" t="s">
        <v>45</v>
      </c>
      <c r="G314" s="35"/>
      <c r="H314" s="266">
        <f>H315+H318+H321</f>
        <v>8627.2000000000007</v>
      </c>
      <c r="I314" s="266">
        <f>I315+I318+I321</f>
        <v>8627.2000000000007</v>
      </c>
    </row>
    <row r="315" spans="1:9" ht="234" x14ac:dyDescent="0.35">
      <c r="A315" s="431"/>
      <c r="B315" s="442" t="s">
        <v>233</v>
      </c>
      <c r="C315" s="251" t="s">
        <v>80</v>
      </c>
      <c r="D315" s="252" t="s">
        <v>46</v>
      </c>
      <c r="E315" s="252" t="s">
        <v>64</v>
      </c>
      <c r="F315" s="253" t="s">
        <v>618</v>
      </c>
      <c r="G315" s="35"/>
      <c r="H315" s="266">
        <f>SUM(H316:H317)</f>
        <v>984.4</v>
      </c>
      <c r="I315" s="266">
        <f>SUM(I316:I317)</f>
        <v>984.4</v>
      </c>
    </row>
    <row r="316" spans="1:9" ht="90" x14ac:dyDescent="0.35">
      <c r="A316" s="431"/>
      <c r="B316" s="442" t="s">
        <v>50</v>
      </c>
      <c r="C316" s="251" t="s">
        <v>80</v>
      </c>
      <c r="D316" s="252" t="s">
        <v>46</v>
      </c>
      <c r="E316" s="252" t="s">
        <v>64</v>
      </c>
      <c r="F316" s="253" t="s">
        <v>618</v>
      </c>
      <c r="G316" s="35" t="s">
        <v>51</v>
      </c>
      <c r="H316" s="266">
        <f>'прил10 (ведом 23-24)'!M592</f>
        <v>924.4</v>
      </c>
      <c r="I316" s="266">
        <f>'прил10 (ведом 23-24)'!N592</f>
        <v>924.4</v>
      </c>
    </row>
    <row r="317" spans="1:9" ht="36" x14ac:dyDescent="0.35">
      <c r="A317" s="431"/>
      <c r="B317" s="442" t="s">
        <v>56</v>
      </c>
      <c r="C317" s="251" t="s">
        <v>80</v>
      </c>
      <c r="D317" s="252" t="s">
        <v>46</v>
      </c>
      <c r="E317" s="252" t="s">
        <v>64</v>
      </c>
      <c r="F317" s="253" t="s">
        <v>618</v>
      </c>
      <c r="G317" s="35" t="s">
        <v>57</v>
      </c>
      <c r="H317" s="266">
        <f>'прил10 (ведом 23-24)'!M593</f>
        <v>60</v>
      </c>
      <c r="I317" s="266">
        <f>'прил10 (ведом 23-24)'!N593</f>
        <v>60</v>
      </c>
    </row>
    <row r="318" spans="1:9" ht="90" x14ac:dyDescent="0.35">
      <c r="A318" s="431"/>
      <c r="B318" s="76" t="s">
        <v>485</v>
      </c>
      <c r="C318" s="251" t="s">
        <v>80</v>
      </c>
      <c r="D318" s="252" t="s">
        <v>46</v>
      </c>
      <c r="E318" s="252" t="s">
        <v>64</v>
      </c>
      <c r="F318" s="253" t="s">
        <v>612</v>
      </c>
      <c r="G318" s="35"/>
      <c r="H318" s="266">
        <f>SUM(H319:H320)</f>
        <v>723.6</v>
      </c>
      <c r="I318" s="266">
        <f>SUM(I319:I320)</f>
        <v>723.6</v>
      </c>
    </row>
    <row r="319" spans="1:9" ht="90" x14ac:dyDescent="0.35">
      <c r="A319" s="431"/>
      <c r="B319" s="442" t="s">
        <v>50</v>
      </c>
      <c r="C319" s="251" t="s">
        <v>80</v>
      </c>
      <c r="D319" s="252" t="s">
        <v>46</v>
      </c>
      <c r="E319" s="252" t="s">
        <v>64</v>
      </c>
      <c r="F319" s="253" t="s">
        <v>612</v>
      </c>
      <c r="G319" s="35" t="s">
        <v>51</v>
      </c>
      <c r="H319" s="266">
        <f>'прил10 (ведом 23-24)'!M595</f>
        <v>693.6</v>
      </c>
      <c r="I319" s="266">
        <f>'прил10 (ведом 23-24)'!N595</f>
        <v>693.6</v>
      </c>
    </row>
    <row r="320" spans="1:9" ht="36" x14ac:dyDescent="0.35">
      <c r="A320" s="431"/>
      <c r="B320" s="442" t="s">
        <v>56</v>
      </c>
      <c r="C320" s="251" t="s">
        <v>80</v>
      </c>
      <c r="D320" s="252" t="s">
        <v>46</v>
      </c>
      <c r="E320" s="252" t="s">
        <v>64</v>
      </c>
      <c r="F320" s="253" t="s">
        <v>612</v>
      </c>
      <c r="G320" s="35" t="s">
        <v>57</v>
      </c>
      <c r="H320" s="266">
        <f>'прил10 (ведом 23-24)'!M596</f>
        <v>30</v>
      </c>
      <c r="I320" s="266">
        <f>'прил10 (ведом 23-24)'!N596</f>
        <v>30</v>
      </c>
    </row>
    <row r="321" spans="1:9" ht="72" x14ac:dyDescent="0.35">
      <c r="A321" s="431"/>
      <c r="B321" s="442" t="s">
        <v>232</v>
      </c>
      <c r="C321" s="251" t="s">
        <v>80</v>
      </c>
      <c r="D321" s="252" t="s">
        <v>46</v>
      </c>
      <c r="E321" s="252" t="s">
        <v>64</v>
      </c>
      <c r="F321" s="253" t="s">
        <v>613</v>
      </c>
      <c r="G321" s="35"/>
      <c r="H321" s="266">
        <f>H322+H323</f>
        <v>6919.2</v>
      </c>
      <c r="I321" s="266">
        <f>I322+I323</f>
        <v>6919.2</v>
      </c>
    </row>
    <row r="322" spans="1:9" ht="90" x14ac:dyDescent="0.35">
      <c r="A322" s="431"/>
      <c r="B322" s="442" t="s">
        <v>50</v>
      </c>
      <c r="C322" s="251" t="s">
        <v>80</v>
      </c>
      <c r="D322" s="252" t="s">
        <v>46</v>
      </c>
      <c r="E322" s="252" t="s">
        <v>64</v>
      </c>
      <c r="F322" s="253" t="s">
        <v>613</v>
      </c>
      <c r="G322" s="35" t="s">
        <v>51</v>
      </c>
      <c r="H322" s="266">
        <f>'прил10 (ведом 23-24)'!M598</f>
        <v>6559.2</v>
      </c>
      <c r="I322" s="266">
        <f>'прил10 (ведом 23-24)'!N598</f>
        <v>6559.2</v>
      </c>
    </row>
    <row r="323" spans="1:9" ht="36" x14ac:dyDescent="0.35">
      <c r="A323" s="431"/>
      <c r="B323" s="442" t="s">
        <v>56</v>
      </c>
      <c r="C323" s="588" t="s">
        <v>80</v>
      </c>
      <c r="D323" s="589" t="s">
        <v>46</v>
      </c>
      <c r="E323" s="589" t="s">
        <v>64</v>
      </c>
      <c r="F323" s="253" t="s">
        <v>613</v>
      </c>
      <c r="G323" s="35" t="s">
        <v>57</v>
      </c>
      <c r="H323" s="266">
        <f>'прил10 (ведом 23-24)'!M599</f>
        <v>360</v>
      </c>
      <c r="I323" s="266">
        <f>'прил10 (ведом 23-24)'!N599</f>
        <v>360</v>
      </c>
    </row>
    <row r="324" spans="1:9" ht="77.25" customHeight="1" x14ac:dyDescent="0.35">
      <c r="A324" s="431"/>
      <c r="B324" s="469" t="s">
        <v>472</v>
      </c>
      <c r="C324" s="251" t="s">
        <v>80</v>
      </c>
      <c r="D324" s="252" t="s">
        <v>46</v>
      </c>
      <c r="E324" s="252" t="s">
        <v>53</v>
      </c>
      <c r="F324" s="253" t="s">
        <v>45</v>
      </c>
      <c r="G324" s="35"/>
      <c r="H324" s="266">
        <f>H325</f>
        <v>504</v>
      </c>
      <c r="I324" s="266">
        <f>I325</f>
        <v>504</v>
      </c>
    </row>
    <row r="325" spans="1:9" ht="72" x14ac:dyDescent="0.35">
      <c r="A325" s="431"/>
      <c r="B325" s="469" t="s">
        <v>467</v>
      </c>
      <c r="C325" s="251" t="s">
        <v>80</v>
      </c>
      <c r="D325" s="252" t="s">
        <v>46</v>
      </c>
      <c r="E325" s="252" t="s">
        <v>53</v>
      </c>
      <c r="F325" s="253" t="s">
        <v>363</v>
      </c>
      <c r="G325" s="35"/>
      <c r="H325" s="266">
        <f>H326</f>
        <v>504</v>
      </c>
      <c r="I325" s="266">
        <f>I326</f>
        <v>504</v>
      </c>
    </row>
    <row r="326" spans="1:9" ht="26.25" customHeight="1" x14ac:dyDescent="0.35">
      <c r="A326" s="431"/>
      <c r="B326" s="455" t="s">
        <v>121</v>
      </c>
      <c r="C326" s="251" t="s">
        <v>80</v>
      </c>
      <c r="D326" s="252" t="s">
        <v>46</v>
      </c>
      <c r="E326" s="252" t="s">
        <v>53</v>
      </c>
      <c r="F326" s="253" t="s">
        <v>363</v>
      </c>
      <c r="G326" s="35" t="s">
        <v>122</v>
      </c>
      <c r="H326" s="266">
        <f>'прил10 (ведом 23-24)'!M173</f>
        <v>504</v>
      </c>
      <c r="I326" s="266">
        <f>'прил10 (ведом 23-24)'!N173</f>
        <v>504</v>
      </c>
    </row>
    <row r="327" spans="1:9" ht="18" x14ac:dyDescent="0.35">
      <c r="A327" s="431"/>
      <c r="B327" s="455"/>
      <c r="C327" s="252"/>
      <c r="D327" s="252"/>
      <c r="E327" s="252"/>
      <c r="F327" s="253"/>
      <c r="G327" s="35"/>
      <c r="H327" s="266"/>
      <c r="I327" s="266"/>
    </row>
    <row r="328" spans="1:9" ht="69.599999999999994" x14ac:dyDescent="0.3">
      <c r="A328" s="451">
        <v>9</v>
      </c>
      <c r="B328" s="517" t="s">
        <v>336</v>
      </c>
      <c r="C328" s="518" t="s">
        <v>105</v>
      </c>
      <c r="D328" s="519" t="s">
        <v>43</v>
      </c>
      <c r="E328" s="519" t="s">
        <v>44</v>
      </c>
      <c r="F328" s="520" t="s">
        <v>45</v>
      </c>
      <c r="G328" s="521"/>
      <c r="H328" s="316">
        <f>H333+H329+H337</f>
        <v>96411</v>
      </c>
      <c r="I328" s="316">
        <f>I333+I329+I337</f>
        <v>0</v>
      </c>
    </row>
    <row r="329" spans="1:9" ht="36" x14ac:dyDescent="0.35">
      <c r="A329" s="431"/>
      <c r="B329" s="442" t="s">
        <v>338</v>
      </c>
      <c r="C329" s="251" t="s">
        <v>105</v>
      </c>
      <c r="D329" s="252" t="s">
        <v>46</v>
      </c>
      <c r="E329" s="252" t="s">
        <v>44</v>
      </c>
      <c r="F329" s="253" t="s">
        <v>45</v>
      </c>
      <c r="G329" s="35"/>
      <c r="H329" s="266">
        <f t="shared" ref="H329:I331" si="3">H330</f>
        <v>57894.8</v>
      </c>
      <c r="I329" s="266">
        <f t="shared" si="3"/>
        <v>0</v>
      </c>
    </row>
    <row r="330" spans="1:9" ht="54" x14ac:dyDescent="0.35">
      <c r="A330" s="431"/>
      <c r="B330" s="264" t="s">
        <v>380</v>
      </c>
      <c r="C330" s="251" t="s">
        <v>105</v>
      </c>
      <c r="D330" s="252" t="s">
        <v>46</v>
      </c>
      <c r="E330" s="252" t="s">
        <v>38</v>
      </c>
      <c r="F330" s="253" t="s">
        <v>45</v>
      </c>
      <c r="G330" s="35"/>
      <c r="H330" s="266">
        <f t="shared" si="3"/>
        <v>57894.8</v>
      </c>
      <c r="I330" s="266">
        <f t="shared" si="3"/>
        <v>0</v>
      </c>
    </row>
    <row r="331" spans="1:9" ht="54" x14ac:dyDescent="0.35">
      <c r="A331" s="431"/>
      <c r="B331" s="128" t="s">
        <v>639</v>
      </c>
      <c r="C331" s="443" t="s">
        <v>105</v>
      </c>
      <c r="D331" s="444" t="s">
        <v>46</v>
      </c>
      <c r="E331" s="444" t="s">
        <v>38</v>
      </c>
      <c r="F331" s="445" t="s">
        <v>436</v>
      </c>
      <c r="G331" s="566"/>
      <c r="H331" s="266">
        <f t="shared" si="3"/>
        <v>57894.8</v>
      </c>
      <c r="I331" s="266">
        <f t="shared" si="3"/>
        <v>0</v>
      </c>
    </row>
    <row r="332" spans="1:9" ht="36" x14ac:dyDescent="0.35">
      <c r="A332" s="431"/>
      <c r="B332" s="128" t="s">
        <v>204</v>
      </c>
      <c r="C332" s="484" t="s">
        <v>105</v>
      </c>
      <c r="D332" s="485" t="s">
        <v>46</v>
      </c>
      <c r="E332" s="485" t="s">
        <v>38</v>
      </c>
      <c r="F332" s="569" t="s">
        <v>436</v>
      </c>
      <c r="G332" s="570" t="s">
        <v>205</v>
      </c>
      <c r="H332" s="266">
        <f>'прил10 (ведом 23-24)'!M256</f>
        <v>57894.8</v>
      </c>
      <c r="I332" s="266">
        <f>'прил10 (ведом 23-24)'!N256</f>
        <v>0</v>
      </c>
    </row>
    <row r="333" spans="1:9" ht="54" x14ac:dyDescent="0.35">
      <c r="A333" s="431"/>
      <c r="B333" s="264" t="s">
        <v>541</v>
      </c>
      <c r="C333" s="251" t="s">
        <v>105</v>
      </c>
      <c r="D333" s="252" t="s">
        <v>35</v>
      </c>
      <c r="E333" s="252" t="s">
        <v>44</v>
      </c>
      <c r="F333" s="253" t="s">
        <v>45</v>
      </c>
      <c r="G333" s="35"/>
      <c r="H333" s="266">
        <f t="shared" ref="H333:I335" si="4">H334</f>
        <v>3516.2</v>
      </c>
      <c r="I333" s="266">
        <f t="shared" si="4"/>
        <v>0</v>
      </c>
    </row>
    <row r="334" spans="1:9" ht="36" x14ac:dyDescent="0.35">
      <c r="A334" s="431"/>
      <c r="B334" s="264" t="s">
        <v>542</v>
      </c>
      <c r="C334" s="251" t="s">
        <v>105</v>
      </c>
      <c r="D334" s="252" t="s">
        <v>35</v>
      </c>
      <c r="E334" s="252" t="s">
        <v>38</v>
      </c>
      <c r="F334" s="253" t="s">
        <v>45</v>
      </c>
      <c r="G334" s="35"/>
      <c r="H334" s="266">
        <f t="shared" si="4"/>
        <v>3516.2</v>
      </c>
      <c r="I334" s="266">
        <f t="shared" si="4"/>
        <v>0</v>
      </c>
    </row>
    <row r="335" spans="1:9" ht="36" x14ac:dyDescent="0.35">
      <c r="A335" s="431"/>
      <c r="B335" s="264" t="s">
        <v>543</v>
      </c>
      <c r="C335" s="251" t="s">
        <v>105</v>
      </c>
      <c r="D335" s="252" t="s">
        <v>35</v>
      </c>
      <c r="E335" s="252" t="s">
        <v>38</v>
      </c>
      <c r="F335" s="253" t="s">
        <v>544</v>
      </c>
      <c r="G335" s="35"/>
      <c r="H335" s="266">
        <f t="shared" si="4"/>
        <v>3516.2</v>
      </c>
      <c r="I335" s="266">
        <f t="shared" si="4"/>
        <v>0</v>
      </c>
    </row>
    <row r="336" spans="1:9" ht="36" x14ac:dyDescent="0.35">
      <c r="A336" s="431"/>
      <c r="B336" s="264" t="s">
        <v>56</v>
      </c>
      <c r="C336" s="251" t="s">
        <v>105</v>
      </c>
      <c r="D336" s="252" t="s">
        <v>35</v>
      </c>
      <c r="E336" s="252" t="s">
        <v>38</v>
      </c>
      <c r="F336" s="253" t="s">
        <v>544</v>
      </c>
      <c r="G336" s="35" t="s">
        <v>57</v>
      </c>
      <c r="H336" s="266">
        <f>'прил10 (ведом 23-24)'!M166</f>
        <v>3516.2</v>
      </c>
      <c r="I336" s="266">
        <f>'прил10 (ведом 23-24)'!N166</f>
        <v>0</v>
      </c>
    </row>
    <row r="337" spans="1:9" ht="36" x14ac:dyDescent="0.35">
      <c r="A337" s="431"/>
      <c r="B337" s="574" t="s">
        <v>518</v>
      </c>
      <c r="C337" s="251" t="s">
        <v>105</v>
      </c>
      <c r="D337" s="252" t="s">
        <v>519</v>
      </c>
      <c r="E337" s="252" t="s">
        <v>44</v>
      </c>
      <c r="F337" s="253" t="s">
        <v>45</v>
      </c>
      <c r="G337" s="35"/>
      <c r="H337" s="266">
        <f t="shared" ref="H337:I339" si="5">H338</f>
        <v>35000</v>
      </c>
      <c r="I337" s="266">
        <f t="shared" si="5"/>
        <v>0</v>
      </c>
    </row>
    <row r="338" spans="1:9" ht="36" x14ac:dyDescent="0.35">
      <c r="A338" s="431"/>
      <c r="B338" s="24" t="s">
        <v>647</v>
      </c>
      <c r="C338" s="251" t="s">
        <v>105</v>
      </c>
      <c r="D338" s="252" t="s">
        <v>519</v>
      </c>
      <c r="E338" s="252" t="s">
        <v>38</v>
      </c>
      <c r="F338" s="253" t="s">
        <v>45</v>
      </c>
      <c r="G338" s="35"/>
      <c r="H338" s="266">
        <f t="shared" si="5"/>
        <v>35000</v>
      </c>
      <c r="I338" s="266">
        <f t="shared" si="5"/>
        <v>0</v>
      </c>
    </row>
    <row r="339" spans="1:9" ht="90" x14ac:dyDescent="0.35">
      <c r="A339" s="431"/>
      <c r="B339" s="264" t="s">
        <v>511</v>
      </c>
      <c r="C339" s="251" t="s">
        <v>105</v>
      </c>
      <c r="D339" s="252" t="s">
        <v>519</v>
      </c>
      <c r="E339" s="252" t="s">
        <v>507</v>
      </c>
      <c r="F339" s="253" t="s">
        <v>580</v>
      </c>
      <c r="G339" s="35"/>
      <c r="H339" s="266">
        <f t="shared" si="5"/>
        <v>35000</v>
      </c>
      <c r="I339" s="266">
        <f t="shared" si="5"/>
        <v>0</v>
      </c>
    </row>
    <row r="340" spans="1:9" ht="36" x14ac:dyDescent="0.35">
      <c r="A340" s="431"/>
      <c r="B340" s="264" t="s">
        <v>204</v>
      </c>
      <c r="C340" s="251" t="s">
        <v>105</v>
      </c>
      <c r="D340" s="252" t="s">
        <v>519</v>
      </c>
      <c r="E340" s="252" t="s">
        <v>507</v>
      </c>
      <c r="F340" s="253" t="s">
        <v>580</v>
      </c>
      <c r="G340" s="35" t="s">
        <v>205</v>
      </c>
      <c r="H340" s="266">
        <f>'прил10 (ведом 23-24)'!M160</f>
        <v>35000</v>
      </c>
      <c r="I340" s="266">
        <f>'прил10 (ведом 23-24)'!N160</f>
        <v>0</v>
      </c>
    </row>
    <row r="341" spans="1:9" ht="18" x14ac:dyDescent="0.35">
      <c r="A341" s="431"/>
      <c r="B341" s="455"/>
      <c r="C341" s="252"/>
      <c r="D341" s="252"/>
      <c r="E341" s="252"/>
      <c r="F341" s="253"/>
      <c r="G341" s="35"/>
      <c r="H341" s="266"/>
      <c r="I341" s="266"/>
    </row>
    <row r="342" spans="1:9" s="441" customFormat="1" ht="52.2" x14ac:dyDescent="0.3">
      <c r="A342" s="451">
        <v>10</v>
      </c>
      <c r="B342" s="462" t="s">
        <v>95</v>
      </c>
      <c r="C342" s="452" t="s">
        <v>68</v>
      </c>
      <c r="D342" s="452" t="s">
        <v>43</v>
      </c>
      <c r="E342" s="452" t="s">
        <v>44</v>
      </c>
      <c r="F342" s="453" t="s">
        <v>45</v>
      </c>
      <c r="G342" s="522"/>
      <c r="H342" s="316">
        <f>H343</f>
        <v>12695.300000000001</v>
      </c>
      <c r="I342" s="316">
        <f>I343</f>
        <v>17253.900000000001</v>
      </c>
    </row>
    <row r="343" spans="1:9" ht="18.75" customHeight="1" x14ac:dyDescent="0.35">
      <c r="A343" s="431"/>
      <c r="B343" s="442" t="s">
        <v>343</v>
      </c>
      <c r="C343" s="251" t="s">
        <v>68</v>
      </c>
      <c r="D343" s="252" t="s">
        <v>46</v>
      </c>
      <c r="E343" s="252" t="s">
        <v>44</v>
      </c>
      <c r="F343" s="253" t="s">
        <v>45</v>
      </c>
      <c r="G343" s="459"/>
      <c r="H343" s="266">
        <f>H344+H347</f>
        <v>12695.300000000001</v>
      </c>
      <c r="I343" s="266">
        <f>I344+I347</f>
        <v>17253.900000000001</v>
      </c>
    </row>
    <row r="344" spans="1:9" ht="36" x14ac:dyDescent="0.35">
      <c r="A344" s="431"/>
      <c r="B344" s="442" t="s">
        <v>96</v>
      </c>
      <c r="C344" s="251" t="s">
        <v>68</v>
      </c>
      <c r="D344" s="252" t="s">
        <v>46</v>
      </c>
      <c r="E344" s="252" t="s">
        <v>38</v>
      </c>
      <c r="F344" s="253" t="s">
        <v>45</v>
      </c>
      <c r="G344" s="459"/>
      <c r="H344" s="266">
        <f>H345</f>
        <v>11070.6</v>
      </c>
      <c r="I344" s="266">
        <f>I345</f>
        <v>15776.9</v>
      </c>
    </row>
    <row r="345" spans="1:9" ht="54" x14ac:dyDescent="0.35">
      <c r="A345" s="431"/>
      <c r="B345" s="523" t="s">
        <v>429</v>
      </c>
      <c r="C345" s="251" t="s">
        <v>68</v>
      </c>
      <c r="D345" s="252" t="s">
        <v>46</v>
      </c>
      <c r="E345" s="252" t="s">
        <v>38</v>
      </c>
      <c r="F345" s="253" t="s">
        <v>62</v>
      </c>
      <c r="G345" s="35"/>
      <c r="H345" s="266">
        <f>H346</f>
        <v>11070.6</v>
      </c>
      <c r="I345" s="266">
        <f>I346</f>
        <v>15776.9</v>
      </c>
    </row>
    <row r="346" spans="1:9" ht="18" x14ac:dyDescent="0.35">
      <c r="A346" s="431"/>
      <c r="B346" s="442" t="s">
        <v>58</v>
      </c>
      <c r="C346" s="251" t="s">
        <v>68</v>
      </c>
      <c r="D346" s="252" t="s">
        <v>46</v>
      </c>
      <c r="E346" s="252" t="s">
        <v>38</v>
      </c>
      <c r="F346" s="253" t="s">
        <v>62</v>
      </c>
      <c r="G346" s="35" t="s">
        <v>59</v>
      </c>
      <c r="H346" s="266">
        <f>'прил10 (ведом 23-24)'!M117</f>
        <v>11070.6</v>
      </c>
      <c r="I346" s="266">
        <f>'прил10 (ведом 23-24)'!N117</f>
        <v>15776.9</v>
      </c>
    </row>
    <row r="347" spans="1:9" ht="54" x14ac:dyDescent="0.35">
      <c r="A347" s="431"/>
      <c r="B347" s="442" t="s">
        <v>97</v>
      </c>
      <c r="C347" s="251" t="s">
        <v>68</v>
      </c>
      <c r="D347" s="252" t="s">
        <v>46</v>
      </c>
      <c r="E347" s="252" t="s">
        <v>40</v>
      </c>
      <c r="F347" s="253" t="s">
        <v>45</v>
      </c>
      <c r="G347" s="35"/>
      <c r="H347" s="266">
        <f>H348</f>
        <v>1624.7</v>
      </c>
      <c r="I347" s="266">
        <f>I348</f>
        <v>1477</v>
      </c>
    </row>
    <row r="348" spans="1:9" ht="162" x14ac:dyDescent="0.35">
      <c r="A348" s="431"/>
      <c r="B348" s="264" t="s">
        <v>590</v>
      </c>
      <c r="C348" s="251" t="s">
        <v>68</v>
      </c>
      <c r="D348" s="252" t="s">
        <v>46</v>
      </c>
      <c r="E348" s="252" t="s">
        <v>40</v>
      </c>
      <c r="F348" s="253" t="s">
        <v>98</v>
      </c>
      <c r="G348" s="35"/>
      <c r="H348" s="266">
        <f>H349</f>
        <v>1624.7</v>
      </c>
      <c r="I348" s="266">
        <f>I349</f>
        <v>1477</v>
      </c>
    </row>
    <row r="349" spans="1:9" ht="36" x14ac:dyDescent="0.35">
      <c r="A349" s="431"/>
      <c r="B349" s="442" t="s">
        <v>56</v>
      </c>
      <c r="C349" s="251" t="s">
        <v>68</v>
      </c>
      <c r="D349" s="252" t="s">
        <v>46</v>
      </c>
      <c r="E349" s="252" t="s">
        <v>40</v>
      </c>
      <c r="F349" s="253" t="s">
        <v>98</v>
      </c>
      <c r="G349" s="35" t="s">
        <v>57</v>
      </c>
      <c r="H349" s="266">
        <f>'прил10 (ведом 23-24)'!M120</f>
        <v>1624.7</v>
      </c>
      <c r="I349" s="266">
        <f>'прил10 (ведом 23-24)'!N120</f>
        <v>1477</v>
      </c>
    </row>
    <row r="350" spans="1:9" ht="18" x14ac:dyDescent="0.35">
      <c r="A350" s="431"/>
      <c r="B350" s="450"/>
      <c r="C350" s="639"/>
      <c r="D350" s="639"/>
      <c r="E350" s="639"/>
      <c r="F350" s="640"/>
      <c r="G350" s="291"/>
      <c r="H350" s="266"/>
      <c r="I350" s="266"/>
    </row>
    <row r="351" spans="1:9" s="441" customFormat="1" ht="52.2" x14ac:dyDescent="0.3">
      <c r="A351" s="451">
        <v>11</v>
      </c>
      <c r="B351" s="462" t="s">
        <v>100</v>
      </c>
      <c r="C351" s="452" t="s">
        <v>101</v>
      </c>
      <c r="D351" s="452" t="s">
        <v>43</v>
      </c>
      <c r="E351" s="452" t="s">
        <v>44</v>
      </c>
      <c r="F351" s="453" t="s">
        <v>45</v>
      </c>
      <c r="G351" s="440"/>
      <c r="H351" s="316">
        <f t="shared" ref="H351:I354" si="6">H352</f>
        <v>6443.4</v>
      </c>
      <c r="I351" s="316">
        <f t="shared" si="6"/>
        <v>6701.1</v>
      </c>
    </row>
    <row r="352" spans="1:9" s="441" customFormat="1" ht="19.5" customHeight="1" x14ac:dyDescent="0.35">
      <c r="A352" s="431"/>
      <c r="B352" s="442" t="s">
        <v>343</v>
      </c>
      <c r="C352" s="251" t="s">
        <v>101</v>
      </c>
      <c r="D352" s="252" t="s">
        <v>46</v>
      </c>
      <c r="E352" s="252" t="s">
        <v>44</v>
      </c>
      <c r="F352" s="253" t="s">
        <v>45</v>
      </c>
      <c r="G352" s="35"/>
      <c r="H352" s="266">
        <f t="shared" si="6"/>
        <v>6443.4</v>
      </c>
      <c r="I352" s="266">
        <f t="shared" si="6"/>
        <v>6701.1</v>
      </c>
    </row>
    <row r="353" spans="1:9" s="441" customFormat="1" ht="72" x14ac:dyDescent="0.35">
      <c r="A353" s="431"/>
      <c r="B353" s="442" t="s">
        <v>102</v>
      </c>
      <c r="C353" s="251" t="s">
        <v>101</v>
      </c>
      <c r="D353" s="252" t="s">
        <v>46</v>
      </c>
      <c r="E353" s="252" t="s">
        <v>38</v>
      </c>
      <c r="F353" s="253" t="s">
        <v>45</v>
      </c>
      <c r="G353" s="35"/>
      <c r="H353" s="266">
        <f t="shared" si="6"/>
        <v>6443.4</v>
      </c>
      <c r="I353" s="266">
        <f t="shared" si="6"/>
        <v>6701.1</v>
      </c>
    </row>
    <row r="354" spans="1:9" s="441" customFormat="1" ht="72" x14ac:dyDescent="0.35">
      <c r="A354" s="431"/>
      <c r="B354" s="454" t="s">
        <v>103</v>
      </c>
      <c r="C354" s="251" t="s">
        <v>101</v>
      </c>
      <c r="D354" s="252" t="s">
        <v>46</v>
      </c>
      <c r="E354" s="252" t="s">
        <v>38</v>
      </c>
      <c r="F354" s="253" t="s">
        <v>104</v>
      </c>
      <c r="G354" s="35"/>
      <c r="H354" s="266">
        <f t="shared" si="6"/>
        <v>6443.4</v>
      </c>
      <c r="I354" s="266">
        <f t="shared" si="6"/>
        <v>6701.1</v>
      </c>
    </row>
    <row r="355" spans="1:9" ht="36" x14ac:dyDescent="0.35">
      <c r="A355" s="431"/>
      <c r="B355" s="442" t="s">
        <v>56</v>
      </c>
      <c r="C355" s="251" t="s">
        <v>101</v>
      </c>
      <c r="D355" s="252" t="s">
        <v>46</v>
      </c>
      <c r="E355" s="252" t="s">
        <v>38</v>
      </c>
      <c r="F355" s="253" t="s">
        <v>104</v>
      </c>
      <c r="G355" s="35" t="s">
        <v>57</v>
      </c>
      <c r="H355" s="266">
        <f>'прил10 (ведом 23-24)'!M126</f>
        <v>6443.4</v>
      </c>
      <c r="I355" s="266">
        <f>'прил10 (ведом 23-24)'!N126</f>
        <v>6701.1</v>
      </c>
    </row>
    <row r="356" spans="1:9" ht="18" x14ac:dyDescent="0.35">
      <c r="A356" s="431"/>
      <c r="B356" s="442"/>
      <c r="C356" s="252"/>
      <c r="D356" s="252"/>
      <c r="E356" s="252"/>
      <c r="F356" s="253"/>
      <c r="G356" s="35"/>
      <c r="H356" s="266"/>
      <c r="I356" s="266"/>
    </row>
    <row r="357" spans="1:9" ht="55.95" customHeight="1" x14ac:dyDescent="0.3">
      <c r="A357" s="451">
        <v>12</v>
      </c>
      <c r="B357" s="524" t="s">
        <v>108</v>
      </c>
      <c r="C357" s="525" t="s">
        <v>72</v>
      </c>
      <c r="D357" s="526" t="s">
        <v>43</v>
      </c>
      <c r="E357" s="526" t="s">
        <v>44</v>
      </c>
      <c r="F357" s="527" t="s">
        <v>45</v>
      </c>
      <c r="G357" s="186"/>
      <c r="H357" s="316">
        <f>H362+H358</f>
        <v>1025.0999999999999</v>
      </c>
      <c r="I357" s="316">
        <f>I362+I358</f>
        <v>1025.0999999999999</v>
      </c>
    </row>
    <row r="358" spans="1:9" ht="36" x14ac:dyDescent="0.35">
      <c r="A358" s="451"/>
      <c r="B358" s="470" t="s">
        <v>109</v>
      </c>
      <c r="C358" s="251" t="s">
        <v>72</v>
      </c>
      <c r="D358" s="252" t="s">
        <v>46</v>
      </c>
      <c r="E358" s="252" t="s">
        <v>44</v>
      </c>
      <c r="F358" s="253" t="s">
        <v>45</v>
      </c>
      <c r="G358" s="35"/>
      <c r="H358" s="266">
        <f t="shared" ref="H358:I360" si="7">H359</f>
        <v>310</v>
      </c>
      <c r="I358" s="266">
        <f t="shared" si="7"/>
        <v>310</v>
      </c>
    </row>
    <row r="359" spans="1:9" ht="36" x14ac:dyDescent="0.35">
      <c r="A359" s="451"/>
      <c r="B359" s="264" t="s">
        <v>110</v>
      </c>
      <c r="C359" s="251" t="s">
        <v>72</v>
      </c>
      <c r="D359" s="252" t="s">
        <v>46</v>
      </c>
      <c r="E359" s="252" t="s">
        <v>38</v>
      </c>
      <c r="F359" s="253" t="s">
        <v>45</v>
      </c>
      <c r="G359" s="35"/>
      <c r="H359" s="266">
        <f t="shared" si="7"/>
        <v>310</v>
      </c>
      <c r="I359" s="266">
        <f t="shared" si="7"/>
        <v>310</v>
      </c>
    </row>
    <row r="360" spans="1:9" ht="36" x14ac:dyDescent="0.35">
      <c r="A360" s="451"/>
      <c r="B360" s="470" t="s">
        <v>111</v>
      </c>
      <c r="C360" s="251" t="s">
        <v>72</v>
      </c>
      <c r="D360" s="252" t="s">
        <v>46</v>
      </c>
      <c r="E360" s="252" t="s">
        <v>38</v>
      </c>
      <c r="F360" s="253" t="s">
        <v>112</v>
      </c>
      <c r="G360" s="35"/>
      <c r="H360" s="266">
        <f t="shared" si="7"/>
        <v>310</v>
      </c>
      <c r="I360" s="266">
        <f t="shared" si="7"/>
        <v>310</v>
      </c>
    </row>
    <row r="361" spans="1:9" ht="36" x14ac:dyDescent="0.35">
      <c r="A361" s="451"/>
      <c r="B361" s="264" t="s">
        <v>56</v>
      </c>
      <c r="C361" s="251" t="s">
        <v>72</v>
      </c>
      <c r="D361" s="252" t="s">
        <v>46</v>
      </c>
      <c r="E361" s="252" t="s">
        <v>38</v>
      </c>
      <c r="F361" s="253" t="s">
        <v>112</v>
      </c>
      <c r="G361" s="35" t="s">
        <v>57</v>
      </c>
      <c r="H361" s="266">
        <f>'прил10 (ведом 23-24)'!M132</f>
        <v>310</v>
      </c>
      <c r="I361" s="266">
        <f>'прил10 (ведом 23-24)'!N132</f>
        <v>310</v>
      </c>
    </row>
    <row r="362" spans="1:9" ht="36" x14ac:dyDescent="0.35">
      <c r="A362" s="431"/>
      <c r="B362" s="470" t="s">
        <v>113</v>
      </c>
      <c r="C362" s="251" t="s">
        <v>72</v>
      </c>
      <c r="D362" s="252" t="s">
        <v>90</v>
      </c>
      <c r="E362" s="252" t="s">
        <v>44</v>
      </c>
      <c r="F362" s="253" t="s">
        <v>45</v>
      </c>
      <c r="G362" s="35"/>
      <c r="H362" s="266">
        <f t="shared" ref="H362:I364" si="8">H363</f>
        <v>715.1</v>
      </c>
      <c r="I362" s="266">
        <f t="shared" si="8"/>
        <v>715.1</v>
      </c>
    </row>
    <row r="363" spans="1:9" ht="36" x14ac:dyDescent="0.35">
      <c r="A363" s="431"/>
      <c r="B363" s="470" t="s">
        <v>114</v>
      </c>
      <c r="C363" s="251" t="s">
        <v>72</v>
      </c>
      <c r="D363" s="252" t="s">
        <v>90</v>
      </c>
      <c r="E363" s="252" t="s">
        <v>38</v>
      </c>
      <c r="F363" s="253" t="s">
        <v>45</v>
      </c>
      <c r="G363" s="35"/>
      <c r="H363" s="266">
        <f t="shared" si="8"/>
        <v>715.1</v>
      </c>
      <c r="I363" s="266">
        <f t="shared" si="8"/>
        <v>715.1</v>
      </c>
    </row>
    <row r="364" spans="1:9" ht="72" x14ac:dyDescent="0.35">
      <c r="A364" s="431"/>
      <c r="B364" s="470" t="s">
        <v>115</v>
      </c>
      <c r="C364" s="251" t="s">
        <v>72</v>
      </c>
      <c r="D364" s="252" t="s">
        <v>90</v>
      </c>
      <c r="E364" s="252" t="s">
        <v>38</v>
      </c>
      <c r="F364" s="253" t="s">
        <v>116</v>
      </c>
      <c r="G364" s="35"/>
      <c r="H364" s="266">
        <f t="shared" si="8"/>
        <v>715.1</v>
      </c>
      <c r="I364" s="266">
        <f t="shared" si="8"/>
        <v>715.1</v>
      </c>
    </row>
    <row r="365" spans="1:9" ht="36" x14ac:dyDescent="0.35">
      <c r="A365" s="431"/>
      <c r="B365" s="264" t="s">
        <v>56</v>
      </c>
      <c r="C365" s="251" t="s">
        <v>72</v>
      </c>
      <c r="D365" s="252" t="s">
        <v>90</v>
      </c>
      <c r="E365" s="252" t="s">
        <v>38</v>
      </c>
      <c r="F365" s="253" t="s">
        <v>116</v>
      </c>
      <c r="G365" s="35" t="s">
        <v>57</v>
      </c>
      <c r="H365" s="266">
        <f>'прил10 (ведом 23-24)'!M136</f>
        <v>715.1</v>
      </c>
      <c r="I365" s="266">
        <f>'прил10 (ведом 23-24)'!N136</f>
        <v>715.1</v>
      </c>
    </row>
    <row r="366" spans="1:9" ht="18" x14ac:dyDescent="0.35">
      <c r="A366" s="431"/>
      <c r="B366" s="264"/>
      <c r="C366" s="252"/>
      <c r="D366" s="252"/>
      <c r="E366" s="252"/>
      <c r="F366" s="253"/>
      <c r="G366" s="35"/>
      <c r="H366" s="266"/>
      <c r="I366" s="266"/>
    </row>
    <row r="367" spans="1:9" ht="52.2" x14ac:dyDescent="0.3">
      <c r="A367" s="451">
        <v>13</v>
      </c>
      <c r="B367" s="524" t="s">
        <v>117</v>
      </c>
      <c r="C367" s="525" t="s">
        <v>89</v>
      </c>
      <c r="D367" s="526" t="s">
        <v>43</v>
      </c>
      <c r="E367" s="526" t="s">
        <v>44</v>
      </c>
      <c r="F367" s="527" t="s">
        <v>45</v>
      </c>
      <c r="G367" s="186"/>
      <c r="H367" s="316">
        <f t="shared" ref="H367:I372" si="9">H368</f>
        <v>23245.4</v>
      </c>
      <c r="I367" s="316">
        <f t="shared" si="9"/>
        <v>934.19999999999993</v>
      </c>
    </row>
    <row r="368" spans="1:9" ht="30" customHeight="1" x14ac:dyDescent="0.35">
      <c r="A368" s="431"/>
      <c r="B368" s="264" t="s">
        <v>343</v>
      </c>
      <c r="C368" s="251" t="s">
        <v>89</v>
      </c>
      <c r="D368" s="252" t="s">
        <v>46</v>
      </c>
      <c r="E368" s="252" t="s">
        <v>44</v>
      </c>
      <c r="F368" s="253" t="s">
        <v>45</v>
      </c>
      <c r="G368" s="35"/>
      <c r="H368" s="266">
        <f t="shared" si="9"/>
        <v>23245.4</v>
      </c>
      <c r="I368" s="266">
        <f t="shared" si="9"/>
        <v>934.19999999999993</v>
      </c>
    </row>
    <row r="369" spans="1:9" ht="54" x14ac:dyDescent="0.35">
      <c r="A369" s="431"/>
      <c r="B369" s="470" t="s">
        <v>310</v>
      </c>
      <c r="C369" s="251" t="s">
        <v>89</v>
      </c>
      <c r="D369" s="252" t="s">
        <v>46</v>
      </c>
      <c r="E369" s="252" t="s">
        <v>38</v>
      </c>
      <c r="F369" s="253" t="s">
        <v>45</v>
      </c>
      <c r="G369" s="35"/>
      <c r="H369" s="266">
        <f>H372+H370+H374</f>
        <v>23245.4</v>
      </c>
      <c r="I369" s="266">
        <f>I372+I370+I374</f>
        <v>934.19999999999993</v>
      </c>
    </row>
    <row r="370" spans="1:9" ht="54" x14ac:dyDescent="0.35">
      <c r="A370" s="431"/>
      <c r="B370" s="470" t="s">
        <v>118</v>
      </c>
      <c r="C370" s="251" t="s">
        <v>89</v>
      </c>
      <c r="D370" s="252" t="s">
        <v>46</v>
      </c>
      <c r="E370" s="252" t="s">
        <v>38</v>
      </c>
      <c r="F370" s="253" t="s">
        <v>119</v>
      </c>
      <c r="G370" s="35"/>
      <c r="H370" s="266">
        <f>H371</f>
        <v>68.900000000000006</v>
      </c>
      <c r="I370" s="266">
        <f>I371</f>
        <v>111.9</v>
      </c>
    </row>
    <row r="371" spans="1:9" ht="36" x14ac:dyDescent="0.35">
      <c r="A371" s="431"/>
      <c r="B371" s="264" t="s">
        <v>56</v>
      </c>
      <c r="C371" s="251" t="s">
        <v>89</v>
      </c>
      <c r="D371" s="252" t="s">
        <v>46</v>
      </c>
      <c r="E371" s="252" t="s">
        <v>38</v>
      </c>
      <c r="F371" s="253" t="s">
        <v>119</v>
      </c>
      <c r="G371" s="35" t="s">
        <v>57</v>
      </c>
      <c r="H371" s="266">
        <f>'прил10 (ведом 23-24)'!M141</f>
        <v>68.900000000000006</v>
      </c>
      <c r="I371" s="266">
        <f>'прил10 (ведом 23-24)'!N141</f>
        <v>111.9</v>
      </c>
    </row>
    <row r="372" spans="1:9" ht="72" x14ac:dyDescent="0.35">
      <c r="A372" s="431"/>
      <c r="B372" s="264" t="s">
        <v>591</v>
      </c>
      <c r="C372" s="251" t="s">
        <v>89</v>
      </c>
      <c r="D372" s="252" t="s">
        <v>46</v>
      </c>
      <c r="E372" s="252" t="s">
        <v>38</v>
      </c>
      <c r="F372" s="253" t="s">
        <v>589</v>
      </c>
      <c r="G372" s="35"/>
      <c r="H372" s="266">
        <f t="shared" si="9"/>
        <v>822.3</v>
      </c>
      <c r="I372" s="266">
        <f t="shared" si="9"/>
        <v>822.3</v>
      </c>
    </row>
    <row r="373" spans="1:9" ht="36" x14ac:dyDescent="0.35">
      <c r="A373" s="431"/>
      <c r="B373" s="264" t="s">
        <v>56</v>
      </c>
      <c r="C373" s="251" t="s">
        <v>89</v>
      </c>
      <c r="D373" s="252" t="s">
        <v>46</v>
      </c>
      <c r="E373" s="252" t="s">
        <v>38</v>
      </c>
      <c r="F373" s="253" t="s">
        <v>589</v>
      </c>
      <c r="G373" s="35" t="s">
        <v>57</v>
      </c>
      <c r="H373" s="266">
        <f>'прил10 (ведом 23-24)'!M143</f>
        <v>822.3</v>
      </c>
      <c r="I373" s="266">
        <f>'прил10 (ведом 23-24)'!N143</f>
        <v>822.3</v>
      </c>
    </row>
    <row r="374" spans="1:9" ht="54" x14ac:dyDescent="0.35">
      <c r="A374" s="431"/>
      <c r="B374" s="24" t="s">
        <v>715</v>
      </c>
      <c r="C374" s="644" t="s">
        <v>89</v>
      </c>
      <c r="D374" s="645" t="s">
        <v>46</v>
      </c>
      <c r="E374" s="645" t="s">
        <v>38</v>
      </c>
      <c r="F374" s="646" t="s">
        <v>714</v>
      </c>
      <c r="G374" s="10"/>
      <c r="H374" s="266">
        <f>H375</f>
        <v>22354.2</v>
      </c>
      <c r="I374" s="266">
        <f>I375</f>
        <v>0</v>
      </c>
    </row>
    <row r="375" spans="1:9" ht="36" x14ac:dyDescent="0.35">
      <c r="A375" s="431"/>
      <c r="B375" s="24" t="s">
        <v>56</v>
      </c>
      <c r="C375" s="644" t="s">
        <v>89</v>
      </c>
      <c r="D375" s="645" t="s">
        <v>46</v>
      </c>
      <c r="E375" s="645" t="s">
        <v>38</v>
      </c>
      <c r="F375" s="646" t="s">
        <v>714</v>
      </c>
      <c r="G375" s="10" t="s">
        <v>57</v>
      </c>
      <c r="H375" s="266">
        <f>'прил10 (ведом 23-24)'!M145</f>
        <v>22354.2</v>
      </c>
      <c r="I375" s="266">
        <f>'прил10 (ведом 23-24)'!N145</f>
        <v>0</v>
      </c>
    </row>
    <row r="376" spans="1:9" ht="18" x14ac:dyDescent="0.35">
      <c r="A376" s="431"/>
      <c r="B376" s="264"/>
      <c r="C376" s="252"/>
      <c r="D376" s="252"/>
      <c r="E376" s="252"/>
      <c r="F376" s="253"/>
      <c r="G376" s="35"/>
      <c r="H376" s="266"/>
      <c r="I376" s="266"/>
    </row>
    <row r="377" spans="1:9" ht="69.599999999999994" x14ac:dyDescent="0.3">
      <c r="A377" s="451">
        <v>14</v>
      </c>
      <c r="B377" s="462" t="s">
        <v>73</v>
      </c>
      <c r="C377" s="452" t="s">
        <v>74</v>
      </c>
      <c r="D377" s="452" t="s">
        <v>43</v>
      </c>
      <c r="E377" s="452" t="s">
        <v>44</v>
      </c>
      <c r="F377" s="453" t="s">
        <v>45</v>
      </c>
      <c r="G377" s="440"/>
      <c r="H377" s="316">
        <f t="shared" ref="H377:I380" si="10">H378</f>
        <v>1255.7</v>
      </c>
      <c r="I377" s="316">
        <f t="shared" si="10"/>
        <v>1255.7</v>
      </c>
    </row>
    <row r="378" spans="1:9" ht="26.25" customHeight="1" x14ac:dyDescent="0.35">
      <c r="A378" s="431"/>
      <c r="B378" s="442" t="s">
        <v>343</v>
      </c>
      <c r="C378" s="251" t="s">
        <v>74</v>
      </c>
      <c r="D378" s="252" t="s">
        <v>46</v>
      </c>
      <c r="E378" s="252" t="s">
        <v>44</v>
      </c>
      <c r="F378" s="253" t="s">
        <v>45</v>
      </c>
      <c r="G378" s="35"/>
      <c r="H378" s="266">
        <f t="shared" si="10"/>
        <v>1255.7</v>
      </c>
      <c r="I378" s="266">
        <f t="shared" si="10"/>
        <v>1255.7</v>
      </c>
    </row>
    <row r="379" spans="1:9" ht="36" x14ac:dyDescent="0.35">
      <c r="A379" s="431"/>
      <c r="B379" s="471" t="s">
        <v>267</v>
      </c>
      <c r="C379" s="251" t="s">
        <v>74</v>
      </c>
      <c r="D379" s="252" t="s">
        <v>46</v>
      </c>
      <c r="E379" s="252" t="s">
        <v>38</v>
      </c>
      <c r="F379" s="253" t="s">
        <v>45</v>
      </c>
      <c r="G379" s="35"/>
      <c r="H379" s="266">
        <f t="shared" si="10"/>
        <v>1255.7</v>
      </c>
      <c r="I379" s="266">
        <f t="shared" si="10"/>
        <v>1255.7</v>
      </c>
    </row>
    <row r="380" spans="1:9" ht="36" x14ac:dyDescent="0.35">
      <c r="A380" s="431"/>
      <c r="B380" s="471" t="s">
        <v>75</v>
      </c>
      <c r="C380" s="251" t="s">
        <v>74</v>
      </c>
      <c r="D380" s="252" t="s">
        <v>46</v>
      </c>
      <c r="E380" s="252" t="s">
        <v>38</v>
      </c>
      <c r="F380" s="253" t="s">
        <v>76</v>
      </c>
      <c r="G380" s="35"/>
      <c r="H380" s="266">
        <f t="shared" si="10"/>
        <v>1255.7</v>
      </c>
      <c r="I380" s="266">
        <f t="shared" si="10"/>
        <v>1255.7</v>
      </c>
    </row>
    <row r="381" spans="1:9" ht="41.25" customHeight="1" x14ac:dyDescent="0.35">
      <c r="A381" s="431"/>
      <c r="B381" s="448" t="s">
        <v>77</v>
      </c>
      <c r="C381" s="251" t="s">
        <v>74</v>
      </c>
      <c r="D381" s="252" t="s">
        <v>46</v>
      </c>
      <c r="E381" s="252" t="s">
        <v>38</v>
      </c>
      <c r="F381" s="253" t="s">
        <v>76</v>
      </c>
      <c r="G381" s="35" t="s">
        <v>78</v>
      </c>
      <c r="H381" s="266">
        <f>'прил10 (ведом 23-24)'!M65+'прил10 (ведом 23-24)'!M179</f>
        <v>1255.7</v>
      </c>
      <c r="I381" s="266">
        <f>'прил10 (ведом 23-24)'!N65+'прил10 (ведом 23-24)'!N179</f>
        <v>1255.7</v>
      </c>
    </row>
    <row r="382" spans="1:9" ht="18" x14ac:dyDescent="0.35">
      <c r="A382" s="431"/>
      <c r="B382" s="450"/>
      <c r="C382" s="639"/>
      <c r="D382" s="639"/>
      <c r="E382" s="639"/>
      <c r="F382" s="640"/>
      <c r="G382" s="291"/>
      <c r="H382" s="266"/>
      <c r="I382" s="266"/>
    </row>
    <row r="383" spans="1:9" s="441" customFormat="1" ht="52.2" x14ac:dyDescent="0.3">
      <c r="A383" s="451">
        <v>15</v>
      </c>
      <c r="B383" s="462" t="s">
        <v>41</v>
      </c>
      <c r="C383" s="452" t="s">
        <v>42</v>
      </c>
      <c r="D383" s="452" t="s">
        <v>43</v>
      </c>
      <c r="E383" s="452" t="s">
        <v>44</v>
      </c>
      <c r="F383" s="453" t="s">
        <v>45</v>
      </c>
      <c r="G383" s="440"/>
      <c r="H383" s="316">
        <f>H384</f>
        <v>67410.2</v>
      </c>
      <c r="I383" s="316">
        <f>I384</f>
        <v>94206.700000000012</v>
      </c>
    </row>
    <row r="384" spans="1:9" s="441" customFormat="1" ht="24.75" customHeight="1" x14ac:dyDescent="0.35">
      <c r="A384" s="431"/>
      <c r="B384" s="442" t="s">
        <v>343</v>
      </c>
      <c r="C384" s="251" t="s">
        <v>42</v>
      </c>
      <c r="D384" s="252" t="s">
        <v>46</v>
      </c>
      <c r="E384" s="252" t="s">
        <v>44</v>
      </c>
      <c r="F384" s="253" t="s">
        <v>45</v>
      </c>
      <c r="G384" s="35"/>
      <c r="H384" s="266">
        <f>H385+H388+H418+H422+H407+H413+H428+H431</f>
        <v>67410.2</v>
      </c>
      <c r="I384" s="266">
        <f>I385+I388+I418+I422+I407+I413+I428+I431</f>
        <v>94206.700000000012</v>
      </c>
    </row>
    <row r="385" spans="1:9" s="441" customFormat="1" ht="36" x14ac:dyDescent="0.35">
      <c r="A385" s="431"/>
      <c r="B385" s="442" t="s">
        <v>47</v>
      </c>
      <c r="C385" s="251" t="s">
        <v>42</v>
      </c>
      <c r="D385" s="252" t="s">
        <v>46</v>
      </c>
      <c r="E385" s="252" t="s">
        <v>38</v>
      </c>
      <c r="F385" s="253" t="s">
        <v>45</v>
      </c>
      <c r="G385" s="35"/>
      <c r="H385" s="266">
        <f>H386</f>
        <v>2128.5</v>
      </c>
      <c r="I385" s="266">
        <f>I386</f>
        <v>2128.5</v>
      </c>
    </row>
    <row r="386" spans="1:9" s="441" customFormat="1" ht="36" x14ac:dyDescent="0.35">
      <c r="A386" s="431"/>
      <c r="B386" s="442" t="s">
        <v>48</v>
      </c>
      <c r="C386" s="251" t="s">
        <v>42</v>
      </c>
      <c r="D386" s="252" t="s">
        <v>46</v>
      </c>
      <c r="E386" s="252" t="s">
        <v>38</v>
      </c>
      <c r="F386" s="253" t="s">
        <v>49</v>
      </c>
      <c r="G386" s="35"/>
      <c r="H386" s="266">
        <f>H387</f>
        <v>2128.5</v>
      </c>
      <c r="I386" s="266">
        <f>I387</f>
        <v>2128.5</v>
      </c>
    </row>
    <row r="387" spans="1:9" s="441" customFormat="1" ht="90" x14ac:dyDescent="0.35">
      <c r="A387" s="431"/>
      <c r="B387" s="442" t="s">
        <v>50</v>
      </c>
      <c r="C387" s="251" t="s">
        <v>42</v>
      </c>
      <c r="D387" s="252" t="s">
        <v>46</v>
      </c>
      <c r="E387" s="252" t="s">
        <v>38</v>
      </c>
      <c r="F387" s="253" t="s">
        <v>49</v>
      </c>
      <c r="G387" s="35" t="s">
        <v>51</v>
      </c>
      <c r="H387" s="266">
        <f>'прил10 (ведом 23-24)'!M25</f>
        <v>2128.5</v>
      </c>
      <c r="I387" s="266">
        <f>'прил10 (ведом 23-24)'!N25</f>
        <v>2128.5</v>
      </c>
    </row>
    <row r="388" spans="1:9" s="441" customFormat="1" ht="36" x14ac:dyDescent="0.35">
      <c r="A388" s="431"/>
      <c r="B388" s="442" t="s">
        <v>55</v>
      </c>
      <c r="C388" s="251" t="s">
        <v>42</v>
      </c>
      <c r="D388" s="252" t="s">
        <v>46</v>
      </c>
      <c r="E388" s="252" t="s">
        <v>40</v>
      </c>
      <c r="F388" s="253" t="s">
        <v>45</v>
      </c>
      <c r="G388" s="35"/>
      <c r="H388" s="266">
        <f>H389+H395+H397+H399+H402+H393+H404</f>
        <v>48271.299999999996</v>
      </c>
      <c r="I388" s="266">
        <f>I389+I395+I397+I399+I402+I393+I404</f>
        <v>76797.899999999994</v>
      </c>
    </row>
    <row r="389" spans="1:9" s="441" customFormat="1" ht="36" x14ac:dyDescent="0.35">
      <c r="A389" s="431"/>
      <c r="B389" s="442" t="s">
        <v>48</v>
      </c>
      <c r="C389" s="251" t="s">
        <v>42</v>
      </c>
      <c r="D389" s="252" t="s">
        <v>46</v>
      </c>
      <c r="E389" s="252" t="s">
        <v>40</v>
      </c>
      <c r="F389" s="253" t="s">
        <v>49</v>
      </c>
      <c r="G389" s="35"/>
      <c r="H389" s="266">
        <f>SUM(H390:H392)</f>
        <v>42750</v>
      </c>
      <c r="I389" s="266">
        <f>SUM(I390:I392)</f>
        <v>71279.799999999988</v>
      </c>
    </row>
    <row r="390" spans="1:9" s="441" customFormat="1" ht="90" x14ac:dyDescent="0.35">
      <c r="A390" s="431"/>
      <c r="B390" s="442" t="s">
        <v>50</v>
      </c>
      <c r="C390" s="251" t="s">
        <v>42</v>
      </c>
      <c r="D390" s="252" t="s">
        <v>46</v>
      </c>
      <c r="E390" s="252" t="s">
        <v>40</v>
      </c>
      <c r="F390" s="253" t="s">
        <v>49</v>
      </c>
      <c r="G390" s="35" t="s">
        <v>51</v>
      </c>
      <c r="H390" s="266">
        <f>'прил10 (ведом 23-24)'!M31</f>
        <v>36932.199999999997</v>
      </c>
      <c r="I390" s="266">
        <f>'прил10 (ведом 23-24)'!N31</f>
        <v>65378.2</v>
      </c>
    </row>
    <row r="391" spans="1:9" ht="36" x14ac:dyDescent="0.35">
      <c r="A391" s="431"/>
      <c r="B391" s="442" t="s">
        <v>56</v>
      </c>
      <c r="C391" s="251" t="s">
        <v>42</v>
      </c>
      <c r="D391" s="252" t="s">
        <v>46</v>
      </c>
      <c r="E391" s="252" t="s">
        <v>40</v>
      </c>
      <c r="F391" s="253" t="s">
        <v>49</v>
      </c>
      <c r="G391" s="35" t="s">
        <v>57</v>
      </c>
      <c r="H391" s="266">
        <f>'прил10 (ведом 23-24)'!M32</f>
        <v>5716.9</v>
      </c>
      <c r="I391" s="266">
        <f>'прил10 (ведом 23-24)'!N32</f>
        <v>5800.7</v>
      </c>
    </row>
    <row r="392" spans="1:9" ht="18" x14ac:dyDescent="0.35">
      <c r="A392" s="431"/>
      <c r="B392" s="264" t="s">
        <v>58</v>
      </c>
      <c r="C392" s="251" t="s">
        <v>42</v>
      </c>
      <c r="D392" s="252" t="s">
        <v>46</v>
      </c>
      <c r="E392" s="252" t="s">
        <v>40</v>
      </c>
      <c r="F392" s="253" t="s">
        <v>49</v>
      </c>
      <c r="G392" s="35" t="s">
        <v>59</v>
      </c>
      <c r="H392" s="266">
        <f>'прил10 (ведом 23-24)'!M33</f>
        <v>100.9</v>
      </c>
      <c r="I392" s="266">
        <f>'прил10 (ведом 23-24)'!N33</f>
        <v>100.9</v>
      </c>
    </row>
    <row r="393" spans="1:9" s="441" customFormat="1" ht="72" x14ac:dyDescent="0.35">
      <c r="A393" s="431"/>
      <c r="B393" s="264" t="s">
        <v>405</v>
      </c>
      <c r="C393" s="251" t="s">
        <v>42</v>
      </c>
      <c r="D393" s="252" t="s">
        <v>46</v>
      </c>
      <c r="E393" s="252" t="s">
        <v>40</v>
      </c>
      <c r="F393" s="253" t="s">
        <v>404</v>
      </c>
      <c r="G393" s="35"/>
      <c r="H393" s="266">
        <f>H394</f>
        <v>24.700000000000003</v>
      </c>
      <c r="I393" s="266">
        <f>I394</f>
        <v>21.5</v>
      </c>
    </row>
    <row r="394" spans="1:9" s="441" customFormat="1" ht="36" x14ac:dyDescent="0.35">
      <c r="A394" s="431"/>
      <c r="B394" s="264" t="s">
        <v>56</v>
      </c>
      <c r="C394" s="251" t="s">
        <v>42</v>
      </c>
      <c r="D394" s="252" t="s">
        <v>46</v>
      </c>
      <c r="E394" s="252" t="s">
        <v>40</v>
      </c>
      <c r="F394" s="253" t="s">
        <v>404</v>
      </c>
      <c r="G394" s="35" t="s">
        <v>57</v>
      </c>
      <c r="H394" s="266">
        <f>'прил10 (ведом 23-24)'!M54</f>
        <v>24.700000000000003</v>
      </c>
      <c r="I394" s="266">
        <f>'прил10 (ведом 23-24)'!N54</f>
        <v>21.5</v>
      </c>
    </row>
    <row r="395" spans="1:9" ht="90" x14ac:dyDescent="0.35">
      <c r="A395" s="431"/>
      <c r="B395" s="442" t="s">
        <v>468</v>
      </c>
      <c r="C395" s="251" t="s">
        <v>42</v>
      </c>
      <c r="D395" s="252" t="s">
        <v>46</v>
      </c>
      <c r="E395" s="252" t="s">
        <v>40</v>
      </c>
      <c r="F395" s="253" t="s">
        <v>266</v>
      </c>
      <c r="G395" s="35"/>
      <c r="H395" s="266">
        <f>H396</f>
        <v>63</v>
      </c>
      <c r="I395" s="266">
        <f>I396</f>
        <v>63</v>
      </c>
    </row>
    <row r="396" spans="1:9" ht="36" x14ac:dyDescent="0.35">
      <c r="A396" s="431"/>
      <c r="B396" s="442" t="s">
        <v>56</v>
      </c>
      <c r="C396" s="251" t="s">
        <v>42</v>
      </c>
      <c r="D396" s="252" t="s">
        <v>46</v>
      </c>
      <c r="E396" s="252" t="s">
        <v>40</v>
      </c>
      <c r="F396" s="253" t="s">
        <v>266</v>
      </c>
      <c r="G396" s="35" t="s">
        <v>57</v>
      </c>
      <c r="H396" s="266">
        <f>'прил10 (ведом 23-24)'!M35</f>
        <v>63</v>
      </c>
      <c r="I396" s="266">
        <f>'прил10 (ведом 23-24)'!N35</f>
        <v>63</v>
      </c>
    </row>
    <row r="397" spans="1:9" ht="177" customHeight="1" x14ac:dyDescent="0.35">
      <c r="A397" s="431"/>
      <c r="B397" s="523" t="s">
        <v>476</v>
      </c>
      <c r="C397" s="251" t="s">
        <v>42</v>
      </c>
      <c r="D397" s="252" t="s">
        <v>46</v>
      </c>
      <c r="E397" s="252" t="s">
        <v>40</v>
      </c>
      <c r="F397" s="253" t="s">
        <v>60</v>
      </c>
      <c r="G397" s="35"/>
      <c r="H397" s="266">
        <f>H398</f>
        <v>723.4</v>
      </c>
      <c r="I397" s="266">
        <f>I398</f>
        <v>723.4</v>
      </c>
    </row>
    <row r="398" spans="1:9" ht="90" x14ac:dyDescent="0.35">
      <c r="A398" s="431"/>
      <c r="B398" s="264" t="s">
        <v>50</v>
      </c>
      <c r="C398" s="251" t="s">
        <v>42</v>
      </c>
      <c r="D398" s="252" t="s">
        <v>46</v>
      </c>
      <c r="E398" s="252" t="s">
        <v>40</v>
      </c>
      <c r="F398" s="253" t="s">
        <v>60</v>
      </c>
      <c r="G398" s="35" t="s">
        <v>51</v>
      </c>
      <c r="H398" s="266">
        <f>'прил10 (ведом 23-24)'!M37</f>
        <v>723.4</v>
      </c>
      <c r="I398" s="266">
        <f>'прил10 (ведом 23-24)'!N37</f>
        <v>723.4</v>
      </c>
    </row>
    <row r="399" spans="1:9" ht="54" x14ac:dyDescent="0.35">
      <c r="A399" s="431"/>
      <c r="B399" s="264" t="s">
        <v>429</v>
      </c>
      <c r="C399" s="251" t="s">
        <v>42</v>
      </c>
      <c r="D399" s="252" t="s">
        <v>46</v>
      </c>
      <c r="E399" s="252" t="s">
        <v>40</v>
      </c>
      <c r="F399" s="253" t="s">
        <v>62</v>
      </c>
      <c r="G399" s="35"/>
      <c r="H399" s="266">
        <f>H400+H401</f>
        <v>723.59999999999991</v>
      </c>
      <c r="I399" s="266">
        <f>I400+I401</f>
        <v>723.59999999999991</v>
      </c>
    </row>
    <row r="400" spans="1:9" ht="90" x14ac:dyDescent="0.35">
      <c r="A400" s="431"/>
      <c r="B400" s="264" t="s">
        <v>50</v>
      </c>
      <c r="C400" s="251" t="s">
        <v>42</v>
      </c>
      <c r="D400" s="252" t="s">
        <v>46</v>
      </c>
      <c r="E400" s="252" t="s">
        <v>40</v>
      </c>
      <c r="F400" s="253" t="s">
        <v>62</v>
      </c>
      <c r="G400" s="35" t="s">
        <v>51</v>
      </c>
      <c r="H400" s="266">
        <f>'прил10 (ведом 23-24)'!M39</f>
        <v>719.19999999999993</v>
      </c>
      <c r="I400" s="266">
        <f>'прил10 (ведом 23-24)'!N39</f>
        <v>719.19999999999993</v>
      </c>
    </row>
    <row r="401" spans="1:9" ht="36" x14ac:dyDescent="0.35">
      <c r="A401" s="431"/>
      <c r="B401" s="442" t="s">
        <v>56</v>
      </c>
      <c r="C401" s="251" t="s">
        <v>42</v>
      </c>
      <c r="D401" s="252" t="s">
        <v>46</v>
      </c>
      <c r="E401" s="252" t="s">
        <v>40</v>
      </c>
      <c r="F401" s="253" t="s">
        <v>62</v>
      </c>
      <c r="G401" s="35" t="s">
        <v>57</v>
      </c>
      <c r="H401" s="266">
        <f>'прил10 (ведом 23-24)'!M40</f>
        <v>4.4000000000000004</v>
      </c>
      <c r="I401" s="266">
        <f>'прил10 (ведом 23-24)'!N40</f>
        <v>4.4000000000000004</v>
      </c>
    </row>
    <row r="402" spans="1:9" ht="147" customHeight="1" x14ac:dyDescent="0.35">
      <c r="A402" s="431"/>
      <c r="B402" s="264" t="s">
        <v>383</v>
      </c>
      <c r="C402" s="251" t="s">
        <v>42</v>
      </c>
      <c r="D402" s="252" t="s">
        <v>46</v>
      </c>
      <c r="E402" s="252" t="s">
        <v>40</v>
      </c>
      <c r="F402" s="253" t="s">
        <v>382</v>
      </c>
      <c r="G402" s="35"/>
      <c r="H402" s="266">
        <f>H403</f>
        <v>63</v>
      </c>
      <c r="I402" s="266">
        <f>I403</f>
        <v>63</v>
      </c>
    </row>
    <row r="403" spans="1:9" ht="36" x14ac:dyDescent="0.35">
      <c r="A403" s="431"/>
      <c r="B403" s="264" t="s">
        <v>56</v>
      </c>
      <c r="C403" s="251" t="s">
        <v>42</v>
      </c>
      <c r="D403" s="252" t="s">
        <v>46</v>
      </c>
      <c r="E403" s="252" t="s">
        <v>40</v>
      </c>
      <c r="F403" s="253" t="s">
        <v>382</v>
      </c>
      <c r="G403" s="35" t="s">
        <v>57</v>
      </c>
      <c r="H403" s="266">
        <f>'прил10 (ведом 23-24)'!M42</f>
        <v>63</v>
      </c>
      <c r="I403" s="266">
        <f>'прил10 (ведом 23-24)'!N42</f>
        <v>63</v>
      </c>
    </row>
    <row r="404" spans="1:9" ht="72" x14ac:dyDescent="0.35">
      <c r="A404" s="431"/>
      <c r="B404" s="442" t="s">
        <v>61</v>
      </c>
      <c r="C404" s="251" t="s">
        <v>42</v>
      </c>
      <c r="D404" s="252" t="s">
        <v>46</v>
      </c>
      <c r="E404" s="252" t="s">
        <v>40</v>
      </c>
      <c r="F404" s="253" t="s">
        <v>611</v>
      </c>
      <c r="G404" s="35"/>
      <c r="H404" s="266">
        <f>H405+H406</f>
        <v>3923.6</v>
      </c>
      <c r="I404" s="266">
        <f>I405+I406</f>
        <v>3923.6</v>
      </c>
    </row>
    <row r="405" spans="1:9" ht="90" x14ac:dyDescent="0.35">
      <c r="A405" s="431"/>
      <c r="B405" s="442" t="s">
        <v>50</v>
      </c>
      <c r="C405" s="251" t="s">
        <v>42</v>
      </c>
      <c r="D405" s="252" t="s">
        <v>46</v>
      </c>
      <c r="E405" s="252" t="s">
        <v>40</v>
      </c>
      <c r="F405" s="253" t="s">
        <v>611</v>
      </c>
      <c r="G405" s="35" t="s">
        <v>51</v>
      </c>
      <c r="H405" s="266">
        <f>'прил10 (ведом 23-24)'!M44</f>
        <v>3732</v>
      </c>
      <c r="I405" s="266">
        <f>'прил10 (ведом 23-24)'!N44</f>
        <v>3732</v>
      </c>
    </row>
    <row r="406" spans="1:9" ht="36" x14ac:dyDescent="0.35">
      <c r="A406" s="431"/>
      <c r="B406" s="442" t="s">
        <v>56</v>
      </c>
      <c r="C406" s="252" t="s">
        <v>42</v>
      </c>
      <c r="D406" s="252" t="s">
        <v>46</v>
      </c>
      <c r="E406" s="252" t="s">
        <v>40</v>
      </c>
      <c r="F406" s="253" t="s">
        <v>611</v>
      </c>
      <c r="G406" s="35" t="s">
        <v>57</v>
      </c>
      <c r="H406" s="266">
        <f>'прил10 (ведом 23-24)'!M45</f>
        <v>191.6</v>
      </c>
      <c r="I406" s="266">
        <f>'прил10 (ведом 23-24)'!N45</f>
        <v>191.6</v>
      </c>
    </row>
    <row r="407" spans="1:9" ht="18" x14ac:dyDescent="0.35">
      <c r="A407" s="431"/>
      <c r="B407" s="264" t="s">
        <v>63</v>
      </c>
      <c r="C407" s="251" t="s">
        <v>42</v>
      </c>
      <c r="D407" s="252" t="s">
        <v>46</v>
      </c>
      <c r="E407" s="252" t="s">
        <v>64</v>
      </c>
      <c r="F407" s="253" t="s">
        <v>45</v>
      </c>
      <c r="G407" s="35"/>
      <c r="H407" s="266">
        <f>H408+H410</f>
        <v>1375.2</v>
      </c>
      <c r="I407" s="266">
        <f>I408+I410</f>
        <v>1332.2</v>
      </c>
    </row>
    <row r="408" spans="1:9" ht="36" x14ac:dyDescent="0.35">
      <c r="A408" s="431"/>
      <c r="B408" s="264" t="s">
        <v>48</v>
      </c>
      <c r="C408" s="251" t="s">
        <v>42</v>
      </c>
      <c r="D408" s="252" t="s">
        <v>46</v>
      </c>
      <c r="E408" s="252" t="s">
        <v>64</v>
      </c>
      <c r="F408" s="253" t="s">
        <v>49</v>
      </c>
      <c r="G408" s="35"/>
      <c r="H408" s="266">
        <f>H409</f>
        <v>127.4</v>
      </c>
      <c r="I408" s="266">
        <f>I409</f>
        <v>84.4</v>
      </c>
    </row>
    <row r="409" spans="1:9" ht="36" x14ac:dyDescent="0.35">
      <c r="A409" s="431"/>
      <c r="B409" s="264" t="s">
        <v>56</v>
      </c>
      <c r="C409" s="251" t="s">
        <v>42</v>
      </c>
      <c r="D409" s="252" t="s">
        <v>46</v>
      </c>
      <c r="E409" s="252" t="s">
        <v>64</v>
      </c>
      <c r="F409" s="253" t="s">
        <v>49</v>
      </c>
      <c r="G409" s="35" t="s">
        <v>57</v>
      </c>
      <c r="H409" s="266">
        <f>'прил10 (ведом 23-24)'!M48</f>
        <v>127.4</v>
      </c>
      <c r="I409" s="266">
        <f>'прил10 (ведом 23-24)'!N48</f>
        <v>84.4</v>
      </c>
    </row>
    <row r="410" spans="1:9" ht="54" x14ac:dyDescent="0.35">
      <c r="A410" s="431"/>
      <c r="B410" s="455" t="s">
        <v>393</v>
      </c>
      <c r="C410" s="251" t="s">
        <v>42</v>
      </c>
      <c r="D410" s="252" t="s">
        <v>46</v>
      </c>
      <c r="E410" s="252" t="s">
        <v>64</v>
      </c>
      <c r="F410" s="253" t="s">
        <v>392</v>
      </c>
      <c r="G410" s="35"/>
      <c r="H410" s="266">
        <f>H411+H412</f>
        <v>1247.8</v>
      </c>
      <c r="I410" s="266">
        <f>I411+I412</f>
        <v>1247.8</v>
      </c>
    </row>
    <row r="411" spans="1:9" ht="36" x14ac:dyDescent="0.35">
      <c r="A411" s="431"/>
      <c r="B411" s="264" t="s">
        <v>56</v>
      </c>
      <c r="C411" s="251" t="s">
        <v>42</v>
      </c>
      <c r="D411" s="252" t="s">
        <v>46</v>
      </c>
      <c r="E411" s="252" t="s">
        <v>64</v>
      </c>
      <c r="F411" s="253" t="s">
        <v>392</v>
      </c>
      <c r="G411" s="35" t="s">
        <v>57</v>
      </c>
      <c r="H411" s="266">
        <f>'прил10 (ведом 23-24)'!M70</f>
        <v>1019.5</v>
      </c>
      <c r="I411" s="266">
        <f>'прил10 (ведом 23-24)'!N70</f>
        <v>1019.5</v>
      </c>
    </row>
    <row r="412" spans="1:9" ht="18" x14ac:dyDescent="0.35">
      <c r="A412" s="431"/>
      <c r="B412" s="264" t="s">
        <v>58</v>
      </c>
      <c r="C412" s="251" t="s">
        <v>42</v>
      </c>
      <c r="D412" s="252" t="s">
        <v>46</v>
      </c>
      <c r="E412" s="252" t="s">
        <v>64</v>
      </c>
      <c r="F412" s="253" t="s">
        <v>392</v>
      </c>
      <c r="G412" s="35" t="s">
        <v>59</v>
      </c>
      <c r="H412" s="266">
        <f>'прил10 (ведом 23-24)'!M71</f>
        <v>228.3</v>
      </c>
      <c r="I412" s="266">
        <f>'прил10 (ведом 23-24)'!N71</f>
        <v>228.3</v>
      </c>
    </row>
    <row r="413" spans="1:9" ht="18" x14ac:dyDescent="0.35">
      <c r="A413" s="431"/>
      <c r="B413" s="264" t="s">
        <v>65</v>
      </c>
      <c r="C413" s="251" t="s">
        <v>42</v>
      </c>
      <c r="D413" s="252" t="s">
        <v>46</v>
      </c>
      <c r="E413" s="252" t="s">
        <v>53</v>
      </c>
      <c r="F413" s="253" t="s">
        <v>45</v>
      </c>
      <c r="G413" s="35"/>
      <c r="H413" s="266">
        <f>H414+H416</f>
        <v>3011.6</v>
      </c>
      <c r="I413" s="266">
        <f>I414+I416</f>
        <v>3011.6</v>
      </c>
    </row>
    <row r="414" spans="1:9" ht="54" x14ac:dyDescent="0.35">
      <c r="A414" s="431"/>
      <c r="B414" s="470" t="s">
        <v>359</v>
      </c>
      <c r="C414" s="251" t="s">
        <v>42</v>
      </c>
      <c r="D414" s="252" t="s">
        <v>46</v>
      </c>
      <c r="E414" s="252" t="s">
        <v>53</v>
      </c>
      <c r="F414" s="253" t="s">
        <v>106</v>
      </c>
      <c r="G414" s="35"/>
      <c r="H414" s="266">
        <f>H415</f>
        <v>1016.8</v>
      </c>
      <c r="I414" s="266">
        <f>I415</f>
        <v>1016.8</v>
      </c>
    </row>
    <row r="415" spans="1:9" ht="36" x14ac:dyDescent="0.35">
      <c r="A415" s="431"/>
      <c r="B415" s="264" t="s">
        <v>56</v>
      </c>
      <c r="C415" s="251" t="s">
        <v>42</v>
      </c>
      <c r="D415" s="252" t="s">
        <v>46</v>
      </c>
      <c r="E415" s="252" t="s">
        <v>53</v>
      </c>
      <c r="F415" s="253" t="s">
        <v>106</v>
      </c>
      <c r="G415" s="35" t="s">
        <v>57</v>
      </c>
      <c r="H415" s="266">
        <f>'прил10 (ведом 23-24)'!M74</f>
        <v>1016.8</v>
      </c>
      <c r="I415" s="266">
        <f>'прил10 (ведом 23-24)'!N74</f>
        <v>1016.8</v>
      </c>
    </row>
    <row r="416" spans="1:9" ht="54" x14ac:dyDescent="0.35">
      <c r="A416" s="431"/>
      <c r="B416" s="264" t="s">
        <v>361</v>
      </c>
      <c r="C416" s="251" t="s">
        <v>42</v>
      </c>
      <c r="D416" s="252" t="s">
        <v>46</v>
      </c>
      <c r="E416" s="252" t="s">
        <v>53</v>
      </c>
      <c r="F416" s="253" t="s">
        <v>360</v>
      </c>
      <c r="G416" s="35"/>
      <c r="H416" s="266">
        <f>'прил10 (ведом 23-24)'!M75</f>
        <v>1994.8</v>
      </c>
      <c r="I416" s="266">
        <f>'прил10 (ведом 23-24)'!N75</f>
        <v>1994.8</v>
      </c>
    </row>
    <row r="417" spans="1:9" ht="36" x14ac:dyDescent="0.35">
      <c r="A417" s="431"/>
      <c r="B417" s="264" t="s">
        <v>56</v>
      </c>
      <c r="C417" s="251" t="s">
        <v>42</v>
      </c>
      <c r="D417" s="252" t="s">
        <v>46</v>
      </c>
      <c r="E417" s="252" t="s">
        <v>53</v>
      </c>
      <c r="F417" s="253" t="s">
        <v>360</v>
      </c>
      <c r="G417" s="35" t="s">
        <v>57</v>
      </c>
      <c r="H417" s="266">
        <f>'прил10 (ведом 23-24)'!M76</f>
        <v>1994.8</v>
      </c>
      <c r="I417" s="266">
        <f>'прил10 (ведом 23-24)'!N76</f>
        <v>1994.8</v>
      </c>
    </row>
    <row r="418" spans="1:9" ht="69.599999999999994" customHeight="1" x14ac:dyDescent="0.35">
      <c r="A418" s="476"/>
      <c r="B418" s="489" t="s">
        <v>301</v>
      </c>
      <c r="C418" s="456" t="s">
        <v>42</v>
      </c>
      <c r="D418" s="477" t="s">
        <v>46</v>
      </c>
      <c r="E418" s="477" t="s">
        <v>82</v>
      </c>
      <c r="F418" s="490" t="s">
        <v>45</v>
      </c>
      <c r="G418" s="491"/>
      <c r="H418" s="266">
        <f>H419</f>
        <v>5209.5</v>
      </c>
      <c r="I418" s="266">
        <f>I419</f>
        <v>5213.1000000000004</v>
      </c>
    </row>
    <row r="419" spans="1:9" ht="36" x14ac:dyDescent="0.35">
      <c r="A419" s="476"/>
      <c r="B419" s="442" t="s">
        <v>490</v>
      </c>
      <c r="C419" s="456" t="s">
        <v>42</v>
      </c>
      <c r="D419" s="477" t="s">
        <v>46</v>
      </c>
      <c r="E419" s="477" t="s">
        <v>82</v>
      </c>
      <c r="F419" s="490" t="s">
        <v>92</v>
      </c>
      <c r="G419" s="491"/>
      <c r="H419" s="266">
        <f>SUM(H420:H421)</f>
        <v>5209.5</v>
      </c>
      <c r="I419" s="266">
        <f>SUM(I420:I421)</f>
        <v>5213.1000000000004</v>
      </c>
    </row>
    <row r="420" spans="1:9" ht="90" x14ac:dyDescent="0.35">
      <c r="A420" s="476"/>
      <c r="B420" s="489" t="s">
        <v>50</v>
      </c>
      <c r="C420" s="456" t="s">
        <v>42</v>
      </c>
      <c r="D420" s="477" t="s">
        <v>46</v>
      </c>
      <c r="E420" s="477" t="s">
        <v>82</v>
      </c>
      <c r="F420" s="490" t="s">
        <v>92</v>
      </c>
      <c r="G420" s="491" t="s">
        <v>51</v>
      </c>
      <c r="H420" s="266">
        <f>'прил10 (ведом 23-24)'!M248</f>
        <v>4729.8</v>
      </c>
      <c r="I420" s="266">
        <f>'прил10 (ведом 23-24)'!N248</f>
        <v>4729.8</v>
      </c>
    </row>
    <row r="421" spans="1:9" ht="36" x14ac:dyDescent="0.35">
      <c r="A421" s="476"/>
      <c r="B421" s="264" t="s">
        <v>56</v>
      </c>
      <c r="C421" s="456" t="s">
        <v>42</v>
      </c>
      <c r="D421" s="477" t="s">
        <v>46</v>
      </c>
      <c r="E421" s="477" t="s">
        <v>82</v>
      </c>
      <c r="F421" s="490" t="s">
        <v>92</v>
      </c>
      <c r="G421" s="491" t="s">
        <v>57</v>
      </c>
      <c r="H421" s="266">
        <f>'прил10 (ведом 23-24)'!M249</f>
        <v>479.7</v>
      </c>
      <c r="I421" s="266">
        <f>'прил10 (ведом 23-24)'!N249</f>
        <v>483.3</v>
      </c>
    </row>
    <row r="422" spans="1:9" ht="36" x14ac:dyDescent="0.35">
      <c r="A422" s="476"/>
      <c r="B422" s="264" t="s">
        <v>335</v>
      </c>
      <c r="C422" s="251" t="s">
        <v>42</v>
      </c>
      <c r="D422" s="252" t="s">
        <v>46</v>
      </c>
      <c r="E422" s="252" t="s">
        <v>89</v>
      </c>
      <c r="F422" s="253" t="s">
        <v>45</v>
      </c>
      <c r="G422" s="35"/>
      <c r="H422" s="266">
        <f>H423+H426</f>
        <v>7234</v>
      </c>
      <c r="I422" s="266">
        <f>I423+I426</f>
        <v>5543.3</v>
      </c>
    </row>
    <row r="423" spans="1:9" ht="36" x14ac:dyDescent="0.35">
      <c r="A423" s="476"/>
      <c r="B423" s="442" t="s">
        <v>490</v>
      </c>
      <c r="C423" s="251" t="s">
        <v>42</v>
      </c>
      <c r="D423" s="252" t="s">
        <v>46</v>
      </c>
      <c r="E423" s="252" t="s">
        <v>89</v>
      </c>
      <c r="F423" s="253" t="s">
        <v>92</v>
      </c>
      <c r="G423" s="35"/>
      <c r="H423" s="266">
        <f>SUM(H424:H425)</f>
        <v>5491</v>
      </c>
      <c r="I423" s="266">
        <f>SUM(I424:I425)</f>
        <v>5543.3</v>
      </c>
    </row>
    <row r="424" spans="1:9" ht="90" x14ac:dyDescent="0.35">
      <c r="A424" s="476"/>
      <c r="B424" s="264" t="s">
        <v>50</v>
      </c>
      <c r="C424" s="251" t="s">
        <v>42</v>
      </c>
      <c r="D424" s="252" t="s">
        <v>46</v>
      </c>
      <c r="E424" s="252" t="s">
        <v>89</v>
      </c>
      <c r="F424" s="253" t="s">
        <v>92</v>
      </c>
      <c r="G424" s="35" t="s">
        <v>51</v>
      </c>
      <c r="H424" s="266">
        <f>'прил10 (ведом 23-24)'!M150</f>
        <v>5398</v>
      </c>
      <c r="I424" s="266">
        <f>'прил10 (ведом 23-24)'!N150</f>
        <v>5398</v>
      </c>
    </row>
    <row r="425" spans="1:9" ht="36" x14ac:dyDescent="0.35">
      <c r="A425" s="476"/>
      <c r="B425" s="264" t="s">
        <v>56</v>
      </c>
      <c r="C425" s="251" t="s">
        <v>42</v>
      </c>
      <c r="D425" s="252" t="s">
        <v>46</v>
      </c>
      <c r="E425" s="252" t="s">
        <v>89</v>
      </c>
      <c r="F425" s="253" t="s">
        <v>92</v>
      </c>
      <c r="G425" s="35" t="s">
        <v>57</v>
      </c>
      <c r="H425" s="266">
        <f>'прил10 (ведом 23-24)'!M151</f>
        <v>93.000000000000014</v>
      </c>
      <c r="I425" s="266">
        <f>'прил10 (ведом 23-24)'!N151</f>
        <v>145.30000000000001</v>
      </c>
    </row>
    <row r="426" spans="1:9" ht="36" x14ac:dyDescent="0.35">
      <c r="A426" s="476"/>
      <c r="B426" s="264" t="s">
        <v>610</v>
      </c>
      <c r="C426" s="251" t="s">
        <v>42</v>
      </c>
      <c r="D426" s="252" t="s">
        <v>46</v>
      </c>
      <c r="E426" s="252" t="s">
        <v>89</v>
      </c>
      <c r="F426" s="646" t="s">
        <v>609</v>
      </c>
      <c r="G426" s="35"/>
      <c r="H426" s="266">
        <f>H427</f>
        <v>1743</v>
      </c>
      <c r="I426" s="266">
        <f>I427</f>
        <v>0</v>
      </c>
    </row>
    <row r="427" spans="1:9" ht="36" x14ac:dyDescent="0.35">
      <c r="A427" s="476"/>
      <c r="B427" s="264" t="s">
        <v>56</v>
      </c>
      <c r="C427" s="251" t="s">
        <v>42</v>
      </c>
      <c r="D427" s="252" t="s">
        <v>46</v>
      </c>
      <c r="E427" s="252" t="s">
        <v>89</v>
      </c>
      <c r="F427" s="253" t="s">
        <v>609</v>
      </c>
      <c r="G427" s="35" t="s">
        <v>57</v>
      </c>
      <c r="H427" s="266">
        <f>'прил10 (ведом 23-24)'!M153</f>
        <v>1743</v>
      </c>
      <c r="I427" s="266">
        <f>'прил10 (ведом 23-24)'!N153</f>
        <v>0</v>
      </c>
    </row>
    <row r="428" spans="1:9" ht="36" x14ac:dyDescent="0.35">
      <c r="A428" s="476"/>
      <c r="B428" s="264" t="s">
        <v>504</v>
      </c>
      <c r="C428" s="251" t="s">
        <v>42</v>
      </c>
      <c r="D428" s="252" t="s">
        <v>46</v>
      </c>
      <c r="E428" s="252" t="s">
        <v>432</v>
      </c>
      <c r="F428" s="253" t="s">
        <v>45</v>
      </c>
      <c r="G428" s="35"/>
      <c r="H428" s="266">
        <f>H429</f>
        <v>120.1</v>
      </c>
      <c r="I428" s="266">
        <f>I429</f>
        <v>120.1</v>
      </c>
    </row>
    <row r="429" spans="1:9" ht="36" x14ac:dyDescent="0.35">
      <c r="A429" s="476"/>
      <c r="B429" s="470" t="s">
        <v>128</v>
      </c>
      <c r="C429" s="251" t="s">
        <v>42</v>
      </c>
      <c r="D429" s="252" t="s">
        <v>46</v>
      </c>
      <c r="E429" s="252" t="s">
        <v>432</v>
      </c>
      <c r="F429" s="253" t="s">
        <v>91</v>
      </c>
      <c r="G429" s="35"/>
      <c r="H429" s="266">
        <f>H430</f>
        <v>120.1</v>
      </c>
      <c r="I429" s="266">
        <f>I430</f>
        <v>120.1</v>
      </c>
    </row>
    <row r="430" spans="1:9" ht="36" x14ac:dyDescent="0.35">
      <c r="A430" s="476"/>
      <c r="B430" s="264" t="s">
        <v>56</v>
      </c>
      <c r="C430" s="251" t="s">
        <v>42</v>
      </c>
      <c r="D430" s="252" t="s">
        <v>46</v>
      </c>
      <c r="E430" s="252" t="s">
        <v>432</v>
      </c>
      <c r="F430" s="253" t="s">
        <v>91</v>
      </c>
      <c r="G430" s="35" t="s">
        <v>57</v>
      </c>
      <c r="H430" s="266">
        <f>'прил10 (ведом 23-24)'!M79</f>
        <v>120.1</v>
      </c>
      <c r="I430" s="266">
        <f>'прил10 (ведом 23-24)'!N79</f>
        <v>120.1</v>
      </c>
    </row>
    <row r="431" spans="1:9" ht="36" x14ac:dyDescent="0.35">
      <c r="A431" s="476"/>
      <c r="B431" s="264" t="s">
        <v>494</v>
      </c>
      <c r="C431" s="251" t="s">
        <v>42</v>
      </c>
      <c r="D431" s="252" t="s">
        <v>46</v>
      </c>
      <c r="E431" s="252" t="s">
        <v>42</v>
      </c>
      <c r="F431" s="253" t="s">
        <v>45</v>
      </c>
      <c r="G431" s="35"/>
      <c r="H431" s="266">
        <f>H432</f>
        <v>60</v>
      </c>
      <c r="I431" s="266">
        <f>I432</f>
        <v>60</v>
      </c>
    </row>
    <row r="432" spans="1:9" ht="18" x14ac:dyDescent="0.35">
      <c r="A432" s="476"/>
      <c r="B432" s="470" t="s">
        <v>492</v>
      </c>
      <c r="C432" s="251" t="s">
        <v>42</v>
      </c>
      <c r="D432" s="252" t="s">
        <v>46</v>
      </c>
      <c r="E432" s="252" t="s">
        <v>42</v>
      </c>
      <c r="F432" s="253" t="s">
        <v>493</v>
      </c>
      <c r="G432" s="35"/>
      <c r="H432" s="266">
        <f>H433</f>
        <v>60</v>
      </c>
      <c r="I432" s="266">
        <f>I433</f>
        <v>60</v>
      </c>
    </row>
    <row r="433" spans="1:9" ht="36" x14ac:dyDescent="0.35">
      <c r="A433" s="476"/>
      <c r="B433" s="264" t="s">
        <v>56</v>
      </c>
      <c r="C433" s="251" t="s">
        <v>42</v>
      </c>
      <c r="D433" s="252" t="s">
        <v>46</v>
      </c>
      <c r="E433" s="252" t="s">
        <v>42</v>
      </c>
      <c r="F433" s="253" t="s">
        <v>493</v>
      </c>
      <c r="G433" s="35" t="s">
        <v>57</v>
      </c>
      <c r="H433" s="266">
        <f>'прил10 (ведом 23-24)'!M82</f>
        <v>60</v>
      </c>
      <c r="I433" s="266">
        <f>'прил10 (ведом 23-24)'!N82</f>
        <v>60</v>
      </c>
    </row>
    <row r="434" spans="1:9" ht="18" x14ac:dyDescent="0.35">
      <c r="A434" s="476"/>
      <c r="B434" s="264"/>
      <c r="C434" s="252"/>
      <c r="D434" s="252"/>
      <c r="E434" s="252"/>
      <c r="F434" s="253"/>
      <c r="G434" s="35"/>
      <c r="H434" s="266"/>
      <c r="I434" s="266"/>
    </row>
    <row r="435" spans="1:9" ht="52.8" x14ac:dyDescent="0.35">
      <c r="A435" s="451">
        <v>16</v>
      </c>
      <c r="B435" s="481" t="s">
        <v>234</v>
      </c>
      <c r="C435" s="452" t="s">
        <v>235</v>
      </c>
      <c r="D435" s="452" t="s">
        <v>43</v>
      </c>
      <c r="E435" s="452" t="s">
        <v>44</v>
      </c>
      <c r="F435" s="453" t="s">
        <v>45</v>
      </c>
      <c r="G435" s="35"/>
      <c r="H435" s="316">
        <f t="shared" ref="H435:I438" si="11">H436</f>
        <v>53.4</v>
      </c>
      <c r="I435" s="316">
        <f t="shared" si="11"/>
        <v>53.4</v>
      </c>
    </row>
    <row r="436" spans="1:9" ht="18" x14ac:dyDescent="0.35">
      <c r="A436" s="476"/>
      <c r="B436" s="264" t="s">
        <v>343</v>
      </c>
      <c r="C436" s="251" t="s">
        <v>235</v>
      </c>
      <c r="D436" s="252" t="s">
        <v>46</v>
      </c>
      <c r="E436" s="252" t="s">
        <v>44</v>
      </c>
      <c r="F436" s="253" t="s">
        <v>45</v>
      </c>
      <c r="G436" s="35"/>
      <c r="H436" s="266">
        <f t="shared" si="11"/>
        <v>53.4</v>
      </c>
      <c r="I436" s="266">
        <f t="shared" si="11"/>
        <v>53.4</v>
      </c>
    </row>
    <row r="437" spans="1:9" ht="54" x14ac:dyDescent="0.35">
      <c r="A437" s="476"/>
      <c r="B437" s="264" t="s">
        <v>287</v>
      </c>
      <c r="C437" s="251" t="s">
        <v>235</v>
      </c>
      <c r="D437" s="252" t="s">
        <v>46</v>
      </c>
      <c r="E437" s="252" t="s">
        <v>38</v>
      </c>
      <c r="F437" s="253" t="s">
        <v>45</v>
      </c>
      <c r="G437" s="35"/>
      <c r="H437" s="266">
        <f t="shared" si="11"/>
        <v>53.4</v>
      </c>
      <c r="I437" s="266">
        <f t="shared" si="11"/>
        <v>53.4</v>
      </c>
    </row>
    <row r="438" spans="1:9" ht="36" x14ac:dyDescent="0.35">
      <c r="A438" s="476"/>
      <c r="B438" s="264" t="s">
        <v>236</v>
      </c>
      <c r="C438" s="251" t="s">
        <v>235</v>
      </c>
      <c r="D438" s="252" t="s">
        <v>46</v>
      </c>
      <c r="E438" s="252" t="s">
        <v>38</v>
      </c>
      <c r="F438" s="253" t="s">
        <v>281</v>
      </c>
      <c r="G438" s="35"/>
      <c r="H438" s="266">
        <f t="shared" si="11"/>
        <v>53.4</v>
      </c>
      <c r="I438" s="266">
        <f t="shared" si="11"/>
        <v>53.4</v>
      </c>
    </row>
    <row r="439" spans="1:9" ht="36" x14ac:dyDescent="0.35">
      <c r="A439" s="476"/>
      <c r="B439" s="264" t="s">
        <v>77</v>
      </c>
      <c r="C439" s="251" t="s">
        <v>235</v>
      </c>
      <c r="D439" s="252" t="s">
        <v>46</v>
      </c>
      <c r="E439" s="252" t="s">
        <v>38</v>
      </c>
      <c r="F439" s="253" t="s">
        <v>281</v>
      </c>
      <c r="G439" s="35" t="s">
        <v>78</v>
      </c>
      <c r="H439" s="266">
        <f>'прил10 (ведом 23-24)'!M325</f>
        <v>53.4</v>
      </c>
      <c r="I439" s="266">
        <f>'прил10 (ведом 23-24)'!N325</f>
        <v>53.4</v>
      </c>
    </row>
    <row r="440" spans="1:9" ht="18" x14ac:dyDescent="0.35">
      <c r="A440" s="476"/>
      <c r="B440" s="489"/>
      <c r="C440" s="457"/>
      <c r="D440" s="477"/>
      <c r="E440" s="477"/>
      <c r="F440" s="490"/>
      <c r="G440" s="491"/>
      <c r="H440" s="266"/>
      <c r="I440" s="266"/>
    </row>
    <row r="441" spans="1:9" ht="34.799999999999997" x14ac:dyDescent="0.3">
      <c r="A441" s="451">
        <v>17</v>
      </c>
      <c r="B441" s="528" t="s">
        <v>131</v>
      </c>
      <c r="C441" s="452" t="s">
        <v>132</v>
      </c>
      <c r="D441" s="452" t="s">
        <v>43</v>
      </c>
      <c r="E441" s="452" t="s">
        <v>44</v>
      </c>
      <c r="F441" s="452" t="s">
        <v>45</v>
      </c>
      <c r="G441" s="440"/>
      <c r="H441" s="316">
        <f>H442</f>
        <v>4387.9000000000005</v>
      </c>
      <c r="I441" s="316">
        <f>I442</f>
        <v>4388</v>
      </c>
    </row>
    <row r="442" spans="1:9" ht="36" x14ac:dyDescent="0.35">
      <c r="A442" s="431"/>
      <c r="B442" s="469" t="s">
        <v>133</v>
      </c>
      <c r="C442" s="251" t="s">
        <v>132</v>
      </c>
      <c r="D442" s="252" t="s">
        <v>46</v>
      </c>
      <c r="E442" s="252" t="s">
        <v>44</v>
      </c>
      <c r="F442" s="253" t="s">
        <v>45</v>
      </c>
      <c r="G442" s="35"/>
      <c r="H442" s="266">
        <f>H443</f>
        <v>4387.9000000000005</v>
      </c>
      <c r="I442" s="266">
        <f>I443</f>
        <v>4388</v>
      </c>
    </row>
    <row r="443" spans="1:9" ht="36" x14ac:dyDescent="0.35">
      <c r="A443" s="431"/>
      <c r="B443" s="442" t="s">
        <v>48</v>
      </c>
      <c r="C443" s="251" t="s">
        <v>132</v>
      </c>
      <c r="D443" s="252" t="s">
        <v>46</v>
      </c>
      <c r="E443" s="252" t="s">
        <v>44</v>
      </c>
      <c r="F443" s="253" t="s">
        <v>49</v>
      </c>
      <c r="G443" s="35"/>
      <c r="H443" s="266">
        <f>H444+H445+H446</f>
        <v>4387.9000000000005</v>
      </c>
      <c r="I443" s="266">
        <f>I444+I445+I446</f>
        <v>4388</v>
      </c>
    </row>
    <row r="444" spans="1:9" ht="90" x14ac:dyDescent="0.35">
      <c r="A444" s="431"/>
      <c r="B444" s="471" t="s">
        <v>50</v>
      </c>
      <c r="C444" s="251" t="s">
        <v>132</v>
      </c>
      <c r="D444" s="252" t="s">
        <v>46</v>
      </c>
      <c r="E444" s="252" t="s">
        <v>44</v>
      </c>
      <c r="F444" s="253" t="s">
        <v>49</v>
      </c>
      <c r="G444" s="35" t="s">
        <v>51</v>
      </c>
      <c r="H444" s="266">
        <f>'прил10 (ведом 23-24)'!M214</f>
        <v>4137.8</v>
      </c>
      <c r="I444" s="266">
        <f>'прил10 (ведом 23-24)'!N214</f>
        <v>4137.8</v>
      </c>
    </row>
    <row r="445" spans="1:9" ht="36" x14ac:dyDescent="0.35">
      <c r="A445" s="431"/>
      <c r="B445" s="264" t="s">
        <v>56</v>
      </c>
      <c r="C445" s="251" t="s">
        <v>132</v>
      </c>
      <c r="D445" s="252" t="s">
        <v>46</v>
      </c>
      <c r="E445" s="252" t="s">
        <v>44</v>
      </c>
      <c r="F445" s="253" t="s">
        <v>49</v>
      </c>
      <c r="G445" s="35" t="s">
        <v>57</v>
      </c>
      <c r="H445" s="266">
        <f>'прил10 (ведом 23-24)'!M215</f>
        <v>240.1</v>
      </c>
      <c r="I445" s="266">
        <f>'прил10 (ведом 23-24)'!N215</f>
        <v>240.2</v>
      </c>
    </row>
    <row r="446" spans="1:9" ht="18" x14ac:dyDescent="0.35">
      <c r="A446" s="431"/>
      <c r="B446" s="264" t="s">
        <v>58</v>
      </c>
      <c r="C446" s="251" t="s">
        <v>132</v>
      </c>
      <c r="D446" s="252" t="s">
        <v>46</v>
      </c>
      <c r="E446" s="252" t="s">
        <v>44</v>
      </c>
      <c r="F446" s="253" t="s">
        <v>49</v>
      </c>
      <c r="G446" s="35" t="s">
        <v>59</v>
      </c>
      <c r="H446" s="266">
        <f>'прил10 (ведом 23-24)'!M216</f>
        <v>10</v>
      </c>
      <c r="I446" s="266">
        <f>'прил10 (ведом 23-24)'!N216</f>
        <v>10</v>
      </c>
    </row>
    <row r="447" spans="1:9" ht="18" x14ac:dyDescent="0.35">
      <c r="A447" s="431"/>
      <c r="B447" s="450"/>
      <c r="C447" s="639"/>
      <c r="D447" s="639"/>
      <c r="E447" s="639"/>
      <c r="F447" s="639"/>
      <c r="G447" s="291"/>
      <c r="H447" s="266"/>
      <c r="I447" s="266"/>
    </row>
    <row r="448" spans="1:9" s="441" customFormat="1" ht="52.2" x14ac:dyDescent="0.3">
      <c r="A448" s="451">
        <v>18</v>
      </c>
      <c r="B448" s="528" t="s">
        <v>474</v>
      </c>
      <c r="C448" s="452" t="s">
        <v>69</v>
      </c>
      <c r="D448" s="452" t="s">
        <v>43</v>
      </c>
      <c r="E448" s="452" t="s">
        <v>44</v>
      </c>
      <c r="F448" s="452" t="s">
        <v>45</v>
      </c>
      <c r="G448" s="440"/>
      <c r="H448" s="316">
        <f t="shared" ref="H448:I450" si="12">H449</f>
        <v>5000</v>
      </c>
      <c r="I448" s="316">
        <f t="shared" si="12"/>
        <v>5000</v>
      </c>
    </row>
    <row r="449" spans="1:9" ht="18" x14ac:dyDescent="0.35">
      <c r="A449" s="431"/>
      <c r="B449" s="471" t="s">
        <v>471</v>
      </c>
      <c r="C449" s="251" t="s">
        <v>69</v>
      </c>
      <c r="D449" s="252" t="s">
        <v>46</v>
      </c>
      <c r="E449" s="252" t="s">
        <v>44</v>
      </c>
      <c r="F449" s="253" t="s">
        <v>45</v>
      </c>
      <c r="G449" s="35"/>
      <c r="H449" s="266">
        <f>H450</f>
        <v>5000</v>
      </c>
      <c r="I449" s="266">
        <f>I450</f>
        <v>5000</v>
      </c>
    </row>
    <row r="450" spans="1:9" ht="36" x14ac:dyDescent="0.35">
      <c r="A450" s="431"/>
      <c r="B450" s="442" t="s">
        <v>469</v>
      </c>
      <c r="C450" s="251" t="s">
        <v>69</v>
      </c>
      <c r="D450" s="252" t="s">
        <v>46</v>
      </c>
      <c r="E450" s="252" t="s">
        <v>44</v>
      </c>
      <c r="F450" s="253" t="s">
        <v>70</v>
      </c>
      <c r="G450" s="35"/>
      <c r="H450" s="266">
        <f t="shared" si="12"/>
        <v>5000</v>
      </c>
      <c r="I450" s="266">
        <f t="shared" si="12"/>
        <v>5000</v>
      </c>
    </row>
    <row r="451" spans="1:9" ht="18" x14ac:dyDescent="0.35">
      <c r="A451" s="431"/>
      <c r="B451" s="442" t="s">
        <v>58</v>
      </c>
      <c r="C451" s="251" t="s">
        <v>69</v>
      </c>
      <c r="D451" s="252" t="s">
        <v>46</v>
      </c>
      <c r="E451" s="252" t="s">
        <v>44</v>
      </c>
      <c r="F451" s="253" t="s">
        <v>70</v>
      </c>
      <c r="G451" s="35" t="s">
        <v>59</v>
      </c>
      <c r="H451" s="266">
        <f>'прил10 (ведом 23-24)'!M59</f>
        <v>5000</v>
      </c>
      <c r="I451" s="266">
        <f>'прил10 (ведом 23-24)'!N59</f>
        <v>5000</v>
      </c>
    </row>
    <row r="452" spans="1:9" ht="18" x14ac:dyDescent="0.35">
      <c r="A452" s="431"/>
      <c r="B452" s="442"/>
      <c r="C452" s="251"/>
      <c r="D452" s="252"/>
      <c r="E452" s="252"/>
      <c r="F452" s="253"/>
      <c r="G452" s="35"/>
      <c r="H452" s="266"/>
      <c r="I452" s="266"/>
    </row>
    <row r="453" spans="1:9" s="441" customFormat="1" ht="17.399999999999999" x14ac:dyDescent="0.3">
      <c r="A453" s="49">
        <v>19</v>
      </c>
      <c r="B453" s="529" t="s">
        <v>369</v>
      </c>
      <c r="C453" s="525"/>
      <c r="D453" s="526"/>
      <c r="E453" s="526"/>
      <c r="F453" s="527"/>
      <c r="G453" s="186"/>
      <c r="H453" s="316">
        <f>H454</f>
        <v>27393.1</v>
      </c>
      <c r="I453" s="316">
        <f>I454</f>
        <v>34551.699999999997</v>
      </c>
    </row>
    <row r="454" spans="1:9" ht="18" x14ac:dyDescent="0.35">
      <c r="A454" s="47"/>
      <c r="B454" s="530" t="s">
        <v>369</v>
      </c>
      <c r="C454" s="251"/>
      <c r="D454" s="252"/>
      <c r="E454" s="252"/>
      <c r="F454" s="253"/>
      <c r="G454" s="35"/>
      <c r="H454" s="531">
        <f>'прил10 (ведом 23-24)'!M601</f>
        <v>27393.1</v>
      </c>
      <c r="I454" s="531">
        <f>'прил10 (ведом 23-24)'!N601</f>
        <v>34551.699999999997</v>
      </c>
    </row>
    <row r="455" spans="1:9" ht="18" x14ac:dyDescent="0.35">
      <c r="A455" s="86"/>
      <c r="B455" s="532"/>
      <c r="C455" s="93"/>
      <c r="D455" s="93"/>
      <c r="E455" s="93"/>
      <c r="F455" s="93"/>
      <c r="G455" s="93"/>
      <c r="H455" s="533"/>
      <c r="I455" s="533"/>
    </row>
    <row r="456" spans="1:9" ht="18" x14ac:dyDescent="0.35">
      <c r="A456" s="86"/>
      <c r="B456" s="532"/>
      <c r="C456" s="93"/>
      <c r="D456" s="93"/>
      <c r="E456" s="93"/>
      <c r="F456" s="93"/>
      <c r="G456" s="93"/>
      <c r="H456" s="533"/>
      <c r="I456" s="533"/>
    </row>
    <row r="457" spans="1:9" ht="17.399999999999999" x14ac:dyDescent="0.3">
      <c r="A457" s="427"/>
      <c r="B457" s="51"/>
      <c r="C457" s="52"/>
      <c r="D457" s="52"/>
      <c r="E457" s="52"/>
      <c r="F457" s="52"/>
      <c r="G457" s="53"/>
    </row>
    <row r="458" spans="1:9" ht="18" x14ac:dyDescent="0.35">
      <c r="A458" s="50" t="s">
        <v>384</v>
      </c>
      <c r="B458" s="51"/>
      <c r="C458" s="52"/>
      <c r="D458" s="52"/>
      <c r="E458" s="52"/>
      <c r="F458" s="52"/>
      <c r="G458" s="53"/>
    </row>
    <row r="459" spans="1:9" ht="18" x14ac:dyDescent="0.35">
      <c r="A459" s="50" t="s">
        <v>385</v>
      </c>
      <c r="B459" s="51"/>
      <c r="C459" s="52"/>
      <c r="D459" s="52"/>
      <c r="E459" s="52"/>
      <c r="F459" s="52"/>
      <c r="G459" s="53"/>
    </row>
    <row r="460" spans="1:9" ht="18" x14ac:dyDescent="0.35">
      <c r="A460" s="56" t="s">
        <v>386</v>
      </c>
      <c r="B460" s="51"/>
      <c r="C460" s="55"/>
      <c r="D460" s="52"/>
      <c r="E460" s="52"/>
      <c r="F460" s="52"/>
      <c r="G460" s="55"/>
      <c r="H460" s="55"/>
      <c r="I460" s="57" t="s">
        <v>407</v>
      </c>
    </row>
    <row r="461" spans="1:9" x14ac:dyDescent="0.3">
      <c r="A461" s="427"/>
      <c r="B461" s="51"/>
      <c r="C461" s="52"/>
      <c r="D461" s="52"/>
      <c r="E461" s="52"/>
      <c r="F461" s="52"/>
    </row>
    <row r="462" spans="1:9" x14ac:dyDescent="0.3">
      <c r="A462" s="427"/>
      <c r="B462" s="51"/>
      <c r="C462" s="52"/>
      <c r="D462" s="52"/>
      <c r="E462" s="52"/>
      <c r="F462" s="52"/>
    </row>
    <row r="463" spans="1:9" x14ac:dyDescent="0.3">
      <c r="A463" s="427"/>
      <c r="B463" s="51"/>
      <c r="C463" s="52"/>
      <c r="D463" s="52"/>
      <c r="E463" s="52"/>
      <c r="F463" s="52"/>
    </row>
    <row r="464" spans="1:9" ht="17.399999999999999" x14ac:dyDescent="0.3">
      <c r="A464" s="427"/>
      <c r="B464" s="51"/>
      <c r="C464" s="52"/>
      <c r="D464" s="52"/>
      <c r="E464" s="52"/>
      <c r="F464" s="52"/>
      <c r="G464" s="53"/>
    </row>
    <row r="465" spans="2:9" x14ac:dyDescent="0.3">
      <c r="B465" s="535" t="s">
        <v>238</v>
      </c>
      <c r="H465" s="426">
        <f>H383+H351+H342+H294+H270+H253+H225+H202+H163+H119+H16+H328+H377+H357+H367</f>
        <v>1720017.8</v>
      </c>
      <c r="I465" s="426">
        <f>I383+I351+I342+I294+I270+I253+I225+I202+I163+I119+I16+I328+I377+I357+I367</f>
        <v>1555197.5</v>
      </c>
    </row>
    <row r="467" spans="2:9" x14ac:dyDescent="0.3">
      <c r="H467" s="426">
        <f>(H465/H15)*100</f>
        <v>97.903386522782071</v>
      </c>
      <c r="I467" s="426">
        <f>(I465/I15)*100</f>
        <v>97.249039607911683</v>
      </c>
    </row>
    <row r="468" spans="2:9" x14ac:dyDescent="0.3">
      <c r="H468" s="426"/>
      <c r="I468" s="426"/>
    </row>
    <row r="469" spans="2:9" x14ac:dyDescent="0.3">
      <c r="B469" s="535" t="s">
        <v>239</v>
      </c>
      <c r="H469" s="426">
        <f>H448+H441</f>
        <v>9387.9000000000015</v>
      </c>
      <c r="I469" s="426">
        <f>I448+I441</f>
        <v>9388</v>
      </c>
    </row>
    <row r="470" spans="2:9" x14ac:dyDescent="0.3">
      <c r="H470" s="426">
        <f>(H469/H474)*100</f>
        <v>0.53437536501049532</v>
      </c>
      <c r="I470" s="426">
        <f>(I469/I474)*100</f>
        <v>0.5870665756509198</v>
      </c>
    </row>
    <row r="471" spans="2:9" x14ac:dyDescent="0.3">
      <c r="H471" s="426"/>
      <c r="I471" s="426"/>
    </row>
    <row r="472" spans="2:9" x14ac:dyDescent="0.3">
      <c r="B472" s="535" t="s">
        <v>371</v>
      </c>
      <c r="H472" s="426">
        <f>H453</f>
        <v>27393.1</v>
      </c>
      <c r="I472" s="426">
        <f>I453</f>
        <v>34551.699999999997</v>
      </c>
    </row>
    <row r="473" spans="2:9" x14ac:dyDescent="0.3">
      <c r="H473" s="426">
        <f>(H472/H474)*100</f>
        <v>1.5592622217182752</v>
      </c>
      <c r="I473" s="426">
        <f>(I472/I474)*100</f>
        <v>2.1606463785596381</v>
      </c>
    </row>
    <row r="474" spans="2:9" x14ac:dyDescent="0.3">
      <c r="B474" s="535" t="s">
        <v>203</v>
      </c>
      <c r="H474" s="426">
        <f>H469+H465+H472</f>
        <v>1756798.8</v>
      </c>
      <c r="I474" s="426">
        <f>I469+I465+I472</f>
        <v>1599137.2</v>
      </c>
    </row>
  </sheetData>
  <autoFilter ref="A4:I474"/>
  <mergeCells count="7">
    <mergeCell ref="A9:I9"/>
    <mergeCell ref="C14:F14"/>
    <mergeCell ref="H12:I12"/>
    <mergeCell ref="A12:A13"/>
    <mergeCell ref="B12:B13"/>
    <mergeCell ref="C12:F13"/>
    <mergeCell ref="G12:G13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O934"/>
  <sheetViews>
    <sheetView tabSelected="1" topLeftCell="A178" zoomScale="80" zoomScaleNormal="80" workbookViewId="0">
      <selection activeCell="M2" sqref="M2"/>
    </sheetView>
  </sheetViews>
  <sheetFormatPr defaultColWidth="8.88671875" defaultRowHeight="14.4" x14ac:dyDescent="0.3"/>
  <cols>
    <col min="1" max="1" width="4.6640625" style="1" customWidth="1"/>
    <col min="2" max="2" width="54.44140625" style="1" customWidth="1"/>
    <col min="3" max="3" width="10" style="1" customWidth="1"/>
    <col min="4" max="4" width="3.6640625" style="1" customWidth="1"/>
    <col min="5" max="5" width="4" style="1" customWidth="1"/>
    <col min="6" max="6" width="3.33203125" style="1" customWidth="1"/>
    <col min="7" max="7" width="2.44140625" style="1" customWidth="1"/>
    <col min="8" max="8" width="2.6640625" style="1" customWidth="1"/>
    <col min="9" max="9" width="7.6640625" style="1" customWidth="1"/>
    <col min="10" max="10" width="5" style="1" customWidth="1"/>
    <col min="11" max="11" width="17.6640625" style="1" hidden="1" customWidth="1"/>
    <col min="12" max="12" width="17.44140625" style="1" customWidth="1"/>
    <col min="13" max="13" width="21.33203125" style="37" customWidth="1"/>
    <col min="14" max="14" width="10.109375" style="1" customWidth="1"/>
    <col min="15" max="15" width="11.6640625" style="1" customWidth="1"/>
    <col min="16" max="16384" width="8.88671875" style="1"/>
  </cols>
  <sheetData>
    <row r="1" spans="1:14" ht="18" x14ac:dyDescent="0.35">
      <c r="M1" s="192" t="s">
        <v>574</v>
      </c>
    </row>
    <row r="2" spans="1:14" ht="18" x14ac:dyDescent="0.35">
      <c r="M2" s="192" t="s">
        <v>719</v>
      </c>
    </row>
    <row r="4" spans="1:14" s="43" customFormat="1" ht="18" x14ac:dyDescent="0.35">
      <c r="M4" s="334" t="s">
        <v>576</v>
      </c>
    </row>
    <row r="5" spans="1:14" s="43" customFormat="1" ht="18.75" customHeight="1" x14ac:dyDescent="0.35">
      <c r="M5" s="334" t="s">
        <v>631</v>
      </c>
    </row>
    <row r="7" spans="1:14" ht="15" customHeight="1" x14ac:dyDescent="0.3"/>
    <row r="8" spans="1:14" ht="15" customHeight="1" x14ac:dyDescent="0.3"/>
    <row r="9" spans="1:14" ht="18.75" customHeight="1" x14ac:dyDescent="0.3">
      <c r="A9" s="696" t="s">
        <v>566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</row>
    <row r="10" spans="1:14" ht="18.75" customHeight="1" x14ac:dyDescent="0.3">
      <c r="A10" s="650"/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</row>
    <row r="11" spans="1:14" ht="18.75" customHeight="1" x14ac:dyDescent="0.35">
      <c r="A11" s="2"/>
      <c r="B11" s="3"/>
      <c r="C11" s="4"/>
      <c r="D11" s="4"/>
      <c r="E11" s="4"/>
      <c r="F11" s="4"/>
      <c r="G11" s="2"/>
      <c r="H11" s="5"/>
      <c r="I11" s="6"/>
      <c r="J11" s="7"/>
      <c r="K11" s="7"/>
      <c r="L11" s="7"/>
      <c r="M11" s="38" t="s">
        <v>23</v>
      </c>
    </row>
    <row r="12" spans="1:14" ht="25.2" customHeight="1" x14ac:dyDescent="0.3">
      <c r="A12" s="700" t="s">
        <v>24</v>
      </c>
      <c r="B12" s="702" t="s">
        <v>25</v>
      </c>
      <c r="C12" s="704" t="s">
        <v>26</v>
      </c>
      <c r="D12" s="704" t="s">
        <v>27</v>
      </c>
      <c r="E12" s="704" t="s">
        <v>28</v>
      </c>
      <c r="F12" s="706" t="s">
        <v>29</v>
      </c>
      <c r="G12" s="707"/>
      <c r="H12" s="707"/>
      <c r="I12" s="708"/>
      <c r="J12" s="704" t="s">
        <v>30</v>
      </c>
      <c r="K12" s="712" t="s">
        <v>595</v>
      </c>
      <c r="L12" s="714" t="s">
        <v>427</v>
      </c>
      <c r="M12" s="715"/>
    </row>
    <row r="13" spans="1:14" ht="37.200000000000003" customHeight="1" x14ac:dyDescent="0.35">
      <c r="A13" s="701"/>
      <c r="B13" s="703"/>
      <c r="C13" s="705"/>
      <c r="D13" s="705"/>
      <c r="E13" s="705"/>
      <c r="F13" s="709"/>
      <c r="G13" s="710"/>
      <c r="H13" s="710"/>
      <c r="I13" s="711"/>
      <c r="J13" s="705"/>
      <c r="K13" s="713"/>
      <c r="L13" s="598" t="s">
        <v>637</v>
      </c>
      <c r="M13" s="599" t="s">
        <v>638</v>
      </c>
    </row>
    <row r="14" spans="1:14" ht="18.75" customHeight="1" x14ac:dyDescent="0.35">
      <c r="A14" s="8">
        <v>1</v>
      </c>
      <c r="B14" s="9">
        <v>2</v>
      </c>
      <c r="C14" s="10" t="s">
        <v>31</v>
      </c>
      <c r="D14" s="10" t="s">
        <v>32</v>
      </c>
      <c r="E14" s="10" t="s">
        <v>33</v>
      </c>
      <c r="F14" s="697" t="s">
        <v>34</v>
      </c>
      <c r="G14" s="698"/>
      <c r="H14" s="698"/>
      <c r="I14" s="699"/>
      <c r="J14" s="10" t="s">
        <v>35</v>
      </c>
      <c r="K14" s="10"/>
      <c r="L14" s="10" t="s">
        <v>519</v>
      </c>
      <c r="M14" s="39">
        <v>9</v>
      </c>
    </row>
    <row r="15" spans="1:14" ht="18.75" customHeight="1" x14ac:dyDescent="0.3">
      <c r="A15" s="11">
        <v>1</v>
      </c>
      <c r="B15" s="12" t="s">
        <v>203</v>
      </c>
      <c r="C15" s="13"/>
      <c r="D15" s="14"/>
      <c r="E15" s="14"/>
      <c r="F15" s="15"/>
      <c r="G15" s="16"/>
      <c r="H15" s="16"/>
      <c r="I15" s="17"/>
      <c r="J15" s="14"/>
      <c r="K15" s="320" t="e">
        <f>K16+K287+K327+K339+K612+K697+K754+K788+K439</f>
        <v>#REF!</v>
      </c>
      <c r="L15" s="320">
        <f>L16+L287+L327+L339+L612+L697+L754+L788+L439</f>
        <v>130228.2</v>
      </c>
      <c r="M15" s="320">
        <f>M16+M287+M327+M339+M612+M697+M754+M788+M439</f>
        <v>2117089.4057999998</v>
      </c>
      <c r="N15" s="248"/>
    </row>
    <row r="16" spans="1:14" s="147" customFormat="1" ht="37.5" customHeight="1" x14ac:dyDescent="0.3">
      <c r="A16" s="142">
        <v>1</v>
      </c>
      <c r="B16" s="18" t="s">
        <v>0</v>
      </c>
      <c r="C16" s="19" t="s">
        <v>1</v>
      </c>
      <c r="D16" s="20"/>
      <c r="E16" s="20"/>
      <c r="F16" s="21"/>
      <c r="G16" s="22"/>
      <c r="H16" s="22"/>
      <c r="I16" s="23"/>
      <c r="J16" s="20"/>
      <c r="K16" s="40">
        <f>K17+K97+K134+K182+K210+K223+K203+K230</f>
        <v>325928.14480000007</v>
      </c>
      <c r="L16" s="40">
        <f>L17+L97+L134+L182+L210+L223+L203+L230</f>
        <v>78806.8</v>
      </c>
      <c r="M16" s="40">
        <f>M17+M97+M134+M182+M210+M223+M203+M230</f>
        <v>404734.94480000011</v>
      </c>
    </row>
    <row r="17" spans="1:15" s="148" customFormat="1" ht="18.75" customHeight="1" x14ac:dyDescent="0.35">
      <c r="A17" s="11"/>
      <c r="B17" s="24" t="s">
        <v>37</v>
      </c>
      <c r="C17" s="25" t="s">
        <v>1</v>
      </c>
      <c r="D17" s="10" t="s">
        <v>38</v>
      </c>
      <c r="E17" s="10"/>
      <c r="F17" s="651"/>
      <c r="G17" s="652"/>
      <c r="H17" s="652"/>
      <c r="I17" s="653"/>
      <c r="J17" s="10"/>
      <c r="K17" s="26">
        <f>K18+K24+K55+K60+K49</f>
        <v>68254.997800000012</v>
      </c>
      <c r="L17" s="26">
        <f>L18+L24+L55+L60+L49</f>
        <v>37197.750999999997</v>
      </c>
      <c r="M17" s="26">
        <f>M18+M24+M55+M60+M49</f>
        <v>105452.74880000003</v>
      </c>
    </row>
    <row r="18" spans="1:15" s="143" customFormat="1" ht="56.25" customHeight="1" x14ac:dyDescent="0.35">
      <c r="A18" s="11"/>
      <c r="B18" s="24" t="s">
        <v>39</v>
      </c>
      <c r="C18" s="25" t="s">
        <v>1</v>
      </c>
      <c r="D18" s="10" t="s">
        <v>38</v>
      </c>
      <c r="E18" s="10" t="s">
        <v>40</v>
      </c>
      <c r="F18" s="651"/>
      <c r="G18" s="652"/>
      <c r="H18" s="652"/>
      <c r="I18" s="653"/>
      <c r="J18" s="10"/>
      <c r="K18" s="26">
        <f t="shared" ref="K18:M21" si="0">K19</f>
        <v>2439.1999999999998</v>
      </c>
      <c r="L18" s="26">
        <f t="shared" si="0"/>
        <v>0</v>
      </c>
      <c r="M18" s="26">
        <f t="shared" si="0"/>
        <v>2439.1999999999998</v>
      </c>
      <c r="O18" s="143" t="s">
        <v>466</v>
      </c>
    </row>
    <row r="19" spans="1:15" s="143" customFormat="1" ht="59.25" customHeight="1" x14ac:dyDescent="0.35">
      <c r="A19" s="11"/>
      <c r="B19" s="24" t="s">
        <v>41</v>
      </c>
      <c r="C19" s="25" t="s">
        <v>1</v>
      </c>
      <c r="D19" s="10" t="s">
        <v>38</v>
      </c>
      <c r="E19" s="10" t="s">
        <v>40</v>
      </c>
      <c r="F19" s="651" t="s">
        <v>42</v>
      </c>
      <c r="G19" s="652" t="s">
        <v>43</v>
      </c>
      <c r="H19" s="652" t="s">
        <v>44</v>
      </c>
      <c r="I19" s="653" t="s">
        <v>45</v>
      </c>
      <c r="J19" s="10"/>
      <c r="K19" s="26">
        <f t="shared" si="0"/>
        <v>2439.1999999999998</v>
      </c>
      <c r="L19" s="26">
        <f t="shared" si="0"/>
        <v>0</v>
      </c>
      <c r="M19" s="26">
        <f t="shared" si="0"/>
        <v>2439.1999999999998</v>
      </c>
    </row>
    <row r="20" spans="1:15" s="143" customFormat="1" ht="37.5" customHeight="1" x14ac:dyDescent="0.35">
      <c r="A20" s="11"/>
      <c r="B20" s="24" t="s">
        <v>343</v>
      </c>
      <c r="C20" s="25" t="s">
        <v>1</v>
      </c>
      <c r="D20" s="10" t="s">
        <v>38</v>
      </c>
      <c r="E20" s="10" t="s">
        <v>40</v>
      </c>
      <c r="F20" s="651" t="s">
        <v>42</v>
      </c>
      <c r="G20" s="652" t="s">
        <v>46</v>
      </c>
      <c r="H20" s="652" t="s">
        <v>44</v>
      </c>
      <c r="I20" s="653" t="s">
        <v>45</v>
      </c>
      <c r="J20" s="10"/>
      <c r="K20" s="26">
        <f t="shared" si="0"/>
        <v>2439.1999999999998</v>
      </c>
      <c r="L20" s="26">
        <f t="shared" si="0"/>
        <v>0</v>
      </c>
      <c r="M20" s="26">
        <f t="shared" si="0"/>
        <v>2439.1999999999998</v>
      </c>
    </row>
    <row r="21" spans="1:15" s="143" customFormat="1" ht="56.25" customHeight="1" x14ac:dyDescent="0.35">
      <c r="A21" s="11"/>
      <c r="B21" s="24" t="s">
        <v>47</v>
      </c>
      <c r="C21" s="25" t="s">
        <v>1</v>
      </c>
      <c r="D21" s="10" t="s">
        <v>38</v>
      </c>
      <c r="E21" s="10" t="s">
        <v>40</v>
      </c>
      <c r="F21" s="651" t="s">
        <v>42</v>
      </c>
      <c r="G21" s="652" t="s">
        <v>46</v>
      </c>
      <c r="H21" s="652" t="s">
        <v>38</v>
      </c>
      <c r="I21" s="653" t="s">
        <v>45</v>
      </c>
      <c r="J21" s="10"/>
      <c r="K21" s="26">
        <f t="shared" si="0"/>
        <v>2439.1999999999998</v>
      </c>
      <c r="L21" s="26">
        <f t="shared" si="0"/>
        <v>0</v>
      </c>
      <c r="M21" s="26">
        <f t="shared" si="0"/>
        <v>2439.1999999999998</v>
      </c>
    </row>
    <row r="22" spans="1:15" s="143" customFormat="1" ht="37.5" customHeight="1" x14ac:dyDescent="0.35">
      <c r="A22" s="11"/>
      <c r="B22" s="24" t="s">
        <v>48</v>
      </c>
      <c r="C22" s="25" t="s">
        <v>1</v>
      </c>
      <c r="D22" s="10" t="s">
        <v>38</v>
      </c>
      <c r="E22" s="10" t="s">
        <v>40</v>
      </c>
      <c r="F22" s="651" t="s">
        <v>42</v>
      </c>
      <c r="G22" s="652" t="s">
        <v>46</v>
      </c>
      <c r="H22" s="652" t="s">
        <v>38</v>
      </c>
      <c r="I22" s="653" t="s">
        <v>49</v>
      </c>
      <c r="J22" s="10"/>
      <c r="K22" s="26">
        <f>K23</f>
        <v>2439.1999999999998</v>
      </c>
      <c r="L22" s="26">
        <f>L23</f>
        <v>0</v>
      </c>
      <c r="M22" s="26">
        <f>M23</f>
        <v>2439.1999999999998</v>
      </c>
    </row>
    <row r="23" spans="1:15" s="143" customFormat="1" ht="112.5" customHeight="1" x14ac:dyDescent="0.35">
      <c r="A23" s="11"/>
      <c r="B23" s="24" t="s">
        <v>50</v>
      </c>
      <c r="C23" s="25" t="s">
        <v>1</v>
      </c>
      <c r="D23" s="10" t="s">
        <v>38</v>
      </c>
      <c r="E23" s="10" t="s">
        <v>40</v>
      </c>
      <c r="F23" s="651" t="s">
        <v>42</v>
      </c>
      <c r="G23" s="652" t="s">
        <v>46</v>
      </c>
      <c r="H23" s="652" t="s">
        <v>38</v>
      </c>
      <c r="I23" s="653" t="s">
        <v>49</v>
      </c>
      <c r="J23" s="10" t="s">
        <v>51</v>
      </c>
      <c r="K23" s="26">
        <f>2067.1+372.1</f>
        <v>2439.1999999999998</v>
      </c>
      <c r="L23" s="26">
        <f>M23-K23</f>
        <v>0</v>
      </c>
      <c r="M23" s="26">
        <f>2067.1+372.1</f>
        <v>2439.1999999999998</v>
      </c>
    </row>
    <row r="24" spans="1:15" s="148" customFormat="1" ht="75.75" customHeight="1" x14ac:dyDescent="0.35">
      <c r="A24" s="11"/>
      <c r="B24" s="24" t="s">
        <v>52</v>
      </c>
      <c r="C24" s="25" t="s">
        <v>1</v>
      </c>
      <c r="D24" s="10" t="s">
        <v>38</v>
      </c>
      <c r="E24" s="10" t="s">
        <v>53</v>
      </c>
      <c r="F24" s="651"/>
      <c r="G24" s="652"/>
      <c r="H24" s="652"/>
      <c r="I24" s="653"/>
      <c r="J24" s="10"/>
      <c r="K24" s="26">
        <f t="shared" ref="K24:M25" si="1">K25</f>
        <v>51079.626000000018</v>
      </c>
      <c r="L24" s="26">
        <f t="shared" si="1"/>
        <v>34807.199999999997</v>
      </c>
      <c r="M24" s="26">
        <f t="shared" si="1"/>
        <v>85886.82600000003</v>
      </c>
    </row>
    <row r="25" spans="1:15" s="148" customFormat="1" ht="60" customHeight="1" x14ac:dyDescent="0.35">
      <c r="A25" s="11"/>
      <c r="B25" s="24" t="s">
        <v>54</v>
      </c>
      <c r="C25" s="25" t="s">
        <v>1</v>
      </c>
      <c r="D25" s="10" t="s">
        <v>38</v>
      </c>
      <c r="E25" s="10" t="s">
        <v>53</v>
      </c>
      <c r="F25" s="651" t="s">
        <v>42</v>
      </c>
      <c r="G25" s="652" t="s">
        <v>43</v>
      </c>
      <c r="H25" s="652" t="s">
        <v>44</v>
      </c>
      <c r="I25" s="653" t="s">
        <v>45</v>
      </c>
      <c r="J25" s="10"/>
      <c r="K25" s="26">
        <f t="shared" si="1"/>
        <v>51079.626000000018</v>
      </c>
      <c r="L25" s="26">
        <f t="shared" si="1"/>
        <v>34807.199999999997</v>
      </c>
      <c r="M25" s="26">
        <f t="shared" si="1"/>
        <v>85886.82600000003</v>
      </c>
    </row>
    <row r="26" spans="1:15" s="7" customFormat="1" ht="37.5" customHeight="1" x14ac:dyDescent="0.35">
      <c r="A26" s="11"/>
      <c r="B26" s="24" t="s">
        <v>343</v>
      </c>
      <c r="C26" s="25" t="s">
        <v>1</v>
      </c>
      <c r="D26" s="10" t="s">
        <v>38</v>
      </c>
      <c r="E26" s="10" t="s">
        <v>53</v>
      </c>
      <c r="F26" s="651" t="s">
        <v>42</v>
      </c>
      <c r="G26" s="652" t="s">
        <v>46</v>
      </c>
      <c r="H26" s="652" t="s">
        <v>44</v>
      </c>
      <c r="I26" s="653" t="s">
        <v>45</v>
      </c>
      <c r="J26" s="10"/>
      <c r="K26" s="26">
        <f>K27+K46</f>
        <v>51079.626000000018</v>
      </c>
      <c r="L26" s="26">
        <f>L27+L46</f>
        <v>34807.199999999997</v>
      </c>
      <c r="M26" s="26">
        <f>M27+M46</f>
        <v>85886.82600000003</v>
      </c>
    </row>
    <row r="27" spans="1:15" s="7" customFormat="1" ht="37.5" customHeight="1" x14ac:dyDescent="0.35">
      <c r="A27" s="11"/>
      <c r="B27" s="24" t="s">
        <v>55</v>
      </c>
      <c r="C27" s="25" t="s">
        <v>1</v>
      </c>
      <c r="D27" s="10" t="s">
        <v>38</v>
      </c>
      <c r="E27" s="10" t="s">
        <v>53</v>
      </c>
      <c r="F27" s="651" t="s">
        <v>42</v>
      </c>
      <c r="G27" s="652" t="s">
        <v>46</v>
      </c>
      <c r="H27" s="652" t="s">
        <v>40</v>
      </c>
      <c r="I27" s="653" t="s">
        <v>45</v>
      </c>
      <c r="J27" s="10"/>
      <c r="K27" s="26">
        <f>K28+K36+K38+K34+K41+K43+K32</f>
        <v>51062.52600000002</v>
      </c>
      <c r="L27" s="26">
        <f>L28+L36+L38+L34+L41+L43+L32</f>
        <v>34807.199999999997</v>
      </c>
      <c r="M27" s="26">
        <f>M28+M36+M38+M34+M41+M43+M32</f>
        <v>85869.726000000024</v>
      </c>
    </row>
    <row r="28" spans="1:15" s="143" customFormat="1" ht="37.5" customHeight="1" x14ac:dyDescent="0.35">
      <c r="A28" s="11"/>
      <c r="B28" s="24" t="s">
        <v>48</v>
      </c>
      <c r="C28" s="25" t="s">
        <v>1</v>
      </c>
      <c r="D28" s="10" t="s">
        <v>38</v>
      </c>
      <c r="E28" s="10" t="s">
        <v>53</v>
      </c>
      <c r="F28" s="651" t="s">
        <v>42</v>
      </c>
      <c r="G28" s="652" t="s">
        <v>46</v>
      </c>
      <c r="H28" s="652" t="s">
        <v>40</v>
      </c>
      <c r="I28" s="653" t="s">
        <v>49</v>
      </c>
      <c r="J28" s="10"/>
      <c r="K28" s="26">
        <f>K29+K30+K31</f>
        <v>44941.326000000023</v>
      </c>
      <c r="L28" s="26">
        <f>L29+L30+L31</f>
        <v>35000</v>
      </c>
      <c r="M28" s="26">
        <f>M29+M30+M31</f>
        <v>79941.326000000015</v>
      </c>
    </row>
    <row r="29" spans="1:15" s="143" customFormat="1" ht="112.5" customHeight="1" x14ac:dyDescent="0.35">
      <c r="A29" s="11"/>
      <c r="B29" s="24" t="s">
        <v>50</v>
      </c>
      <c r="C29" s="25" t="s">
        <v>1</v>
      </c>
      <c r="D29" s="10" t="s">
        <v>38</v>
      </c>
      <c r="E29" s="10" t="s">
        <v>53</v>
      </c>
      <c r="F29" s="651" t="s">
        <v>42</v>
      </c>
      <c r="G29" s="652" t="s">
        <v>46</v>
      </c>
      <c r="H29" s="652" t="s">
        <v>40</v>
      </c>
      <c r="I29" s="653" t="s">
        <v>49</v>
      </c>
      <c r="J29" s="10" t="s">
        <v>51</v>
      </c>
      <c r="K29" s="26">
        <f>60208.2+168.8+10014.1+2381.6+1079.1-35000</f>
        <v>38851.800000000017</v>
      </c>
      <c r="L29" s="26">
        <f>M29-K29</f>
        <v>35000</v>
      </c>
      <c r="M29" s="26">
        <f>60208.2+168.8+10014.1+2381.6+1079.1-35000+35000</f>
        <v>73851.800000000017</v>
      </c>
      <c r="N29" s="148"/>
    </row>
    <row r="30" spans="1:15" s="7" customFormat="1" ht="56.25" customHeight="1" x14ac:dyDescent="0.35">
      <c r="A30" s="11"/>
      <c r="B30" s="24" t="s">
        <v>56</v>
      </c>
      <c r="C30" s="25" t="s">
        <v>1</v>
      </c>
      <c r="D30" s="10" t="s">
        <v>38</v>
      </c>
      <c r="E30" s="10" t="s">
        <v>53</v>
      </c>
      <c r="F30" s="651" t="s">
        <v>42</v>
      </c>
      <c r="G30" s="652" t="s">
        <v>46</v>
      </c>
      <c r="H30" s="652" t="s">
        <v>40</v>
      </c>
      <c r="I30" s="653" t="s">
        <v>49</v>
      </c>
      <c r="J30" s="10" t="s">
        <v>57</v>
      </c>
      <c r="K30" s="26">
        <f>6016.5-290+47.826+123.6+64.5+26.2</f>
        <v>5988.6260000000002</v>
      </c>
      <c r="L30" s="26">
        <f>M30-K30</f>
        <v>0</v>
      </c>
      <c r="M30" s="26">
        <f>6016.5-290+47.826+123.6+64.5+26.2</f>
        <v>5988.6260000000002</v>
      </c>
    </row>
    <row r="31" spans="1:15" s="143" customFormat="1" ht="18.75" customHeight="1" x14ac:dyDescent="0.35">
      <c r="A31" s="11"/>
      <c r="B31" s="24" t="s">
        <v>58</v>
      </c>
      <c r="C31" s="25" t="s">
        <v>1</v>
      </c>
      <c r="D31" s="10" t="s">
        <v>38</v>
      </c>
      <c r="E31" s="10" t="s">
        <v>53</v>
      </c>
      <c r="F31" s="651" t="s">
        <v>42</v>
      </c>
      <c r="G31" s="652" t="s">
        <v>46</v>
      </c>
      <c r="H31" s="652" t="s">
        <v>40</v>
      </c>
      <c r="I31" s="653" t="s">
        <v>49</v>
      </c>
      <c r="J31" s="10" t="s">
        <v>59</v>
      </c>
      <c r="K31" s="26">
        <v>100.9</v>
      </c>
      <c r="L31" s="26">
        <f>M31-K31</f>
        <v>0</v>
      </c>
      <c r="M31" s="26">
        <v>100.9</v>
      </c>
      <c r="N31" s="7"/>
    </row>
    <row r="32" spans="1:15" s="143" customFormat="1" ht="18.75" customHeight="1" x14ac:dyDescent="0.35">
      <c r="A32" s="11"/>
      <c r="B32" s="24" t="s">
        <v>491</v>
      </c>
      <c r="C32" s="25" t="s">
        <v>1</v>
      </c>
      <c r="D32" s="10" t="s">
        <v>38</v>
      </c>
      <c r="E32" s="10" t="s">
        <v>53</v>
      </c>
      <c r="F32" s="651" t="s">
        <v>42</v>
      </c>
      <c r="G32" s="652" t="s">
        <v>46</v>
      </c>
      <c r="H32" s="652" t="s">
        <v>40</v>
      </c>
      <c r="I32" s="653" t="s">
        <v>394</v>
      </c>
      <c r="J32" s="10"/>
      <c r="K32" s="26">
        <f>K33</f>
        <v>624.6</v>
      </c>
      <c r="L32" s="26">
        <f>L33</f>
        <v>-192.8</v>
      </c>
      <c r="M32" s="26">
        <f>M33</f>
        <v>431.8</v>
      </c>
      <c r="N32" s="7"/>
    </row>
    <row r="33" spans="1:14" s="143" customFormat="1" ht="54" x14ac:dyDescent="0.35">
      <c r="A33" s="11"/>
      <c r="B33" s="24" t="s">
        <v>56</v>
      </c>
      <c r="C33" s="25" t="s">
        <v>1</v>
      </c>
      <c r="D33" s="10" t="s">
        <v>38</v>
      </c>
      <c r="E33" s="10" t="s">
        <v>53</v>
      </c>
      <c r="F33" s="651" t="s">
        <v>42</v>
      </c>
      <c r="G33" s="652" t="s">
        <v>46</v>
      </c>
      <c r="H33" s="652" t="s">
        <v>40</v>
      </c>
      <c r="I33" s="653" t="s">
        <v>394</v>
      </c>
      <c r="J33" s="10" t="s">
        <v>57</v>
      </c>
      <c r="K33" s="26">
        <v>624.6</v>
      </c>
      <c r="L33" s="26">
        <f>M33-K33</f>
        <v>-192.8</v>
      </c>
      <c r="M33" s="26">
        <f>624.6-192.8</f>
        <v>431.8</v>
      </c>
      <c r="N33" s="7"/>
    </row>
    <row r="34" spans="1:14" s="148" customFormat="1" ht="97.5" customHeight="1" x14ac:dyDescent="0.35">
      <c r="A34" s="11"/>
      <c r="B34" s="24" t="s">
        <v>468</v>
      </c>
      <c r="C34" s="25" t="s">
        <v>1</v>
      </c>
      <c r="D34" s="10" t="s">
        <v>38</v>
      </c>
      <c r="E34" s="10" t="s">
        <v>53</v>
      </c>
      <c r="F34" s="651" t="s">
        <v>42</v>
      </c>
      <c r="G34" s="652" t="s">
        <v>46</v>
      </c>
      <c r="H34" s="652" t="s">
        <v>40</v>
      </c>
      <c r="I34" s="653" t="s">
        <v>266</v>
      </c>
      <c r="J34" s="10"/>
      <c r="K34" s="26">
        <f>K35</f>
        <v>63</v>
      </c>
      <c r="L34" s="26">
        <f>L35</f>
        <v>0</v>
      </c>
      <c r="M34" s="26">
        <f>M35</f>
        <v>63</v>
      </c>
    </row>
    <row r="35" spans="1:14" s="148" customFormat="1" ht="56.25" customHeight="1" x14ac:dyDescent="0.35">
      <c r="A35" s="11"/>
      <c r="B35" s="24" t="s">
        <v>56</v>
      </c>
      <c r="C35" s="25" t="s">
        <v>1</v>
      </c>
      <c r="D35" s="10" t="s">
        <v>38</v>
      </c>
      <c r="E35" s="10" t="s">
        <v>53</v>
      </c>
      <c r="F35" s="651" t="s">
        <v>42</v>
      </c>
      <c r="G35" s="652" t="s">
        <v>46</v>
      </c>
      <c r="H35" s="652" t="s">
        <v>40</v>
      </c>
      <c r="I35" s="653" t="s">
        <v>266</v>
      </c>
      <c r="J35" s="10" t="s">
        <v>57</v>
      </c>
      <c r="K35" s="26">
        <v>63</v>
      </c>
      <c r="L35" s="26">
        <f>M35-K35</f>
        <v>0</v>
      </c>
      <c r="M35" s="26">
        <v>63</v>
      </c>
    </row>
    <row r="36" spans="1:14" s="148" customFormat="1" ht="200.4" customHeight="1" x14ac:dyDescent="0.35">
      <c r="A36" s="11"/>
      <c r="B36" s="44" t="s">
        <v>476</v>
      </c>
      <c r="C36" s="25" t="s">
        <v>1</v>
      </c>
      <c r="D36" s="10" t="s">
        <v>38</v>
      </c>
      <c r="E36" s="10" t="s">
        <v>53</v>
      </c>
      <c r="F36" s="651" t="s">
        <v>42</v>
      </c>
      <c r="G36" s="652" t="s">
        <v>46</v>
      </c>
      <c r="H36" s="652" t="s">
        <v>40</v>
      </c>
      <c r="I36" s="653" t="s">
        <v>60</v>
      </c>
      <c r="J36" s="10"/>
      <c r="K36" s="26">
        <f>K37</f>
        <v>723.40000000000009</v>
      </c>
      <c r="L36" s="26">
        <f>L37</f>
        <v>0</v>
      </c>
      <c r="M36" s="26">
        <f>M37</f>
        <v>723.40000000000009</v>
      </c>
    </row>
    <row r="37" spans="1:14" s="148" customFormat="1" ht="110.4" customHeight="1" x14ac:dyDescent="0.35">
      <c r="A37" s="11"/>
      <c r="B37" s="24" t="s">
        <v>50</v>
      </c>
      <c r="C37" s="25" t="s">
        <v>1</v>
      </c>
      <c r="D37" s="10" t="s">
        <v>38</v>
      </c>
      <c r="E37" s="10" t="s">
        <v>53</v>
      </c>
      <c r="F37" s="651" t="s">
        <v>42</v>
      </c>
      <c r="G37" s="652" t="s">
        <v>46</v>
      </c>
      <c r="H37" s="652" t="s">
        <v>40</v>
      </c>
      <c r="I37" s="653" t="s">
        <v>60</v>
      </c>
      <c r="J37" s="10" t="s">
        <v>51</v>
      </c>
      <c r="K37" s="26">
        <f>645.2+78.2</f>
        <v>723.40000000000009</v>
      </c>
      <c r="L37" s="26">
        <f>M37-K37</f>
        <v>0</v>
      </c>
      <c r="M37" s="26">
        <f>645.2+78.2</f>
        <v>723.40000000000009</v>
      </c>
    </row>
    <row r="38" spans="1:14" s="148" customFormat="1" ht="75" customHeight="1" x14ac:dyDescent="0.35">
      <c r="A38" s="11"/>
      <c r="B38" s="24" t="s">
        <v>429</v>
      </c>
      <c r="C38" s="25" t="s">
        <v>1</v>
      </c>
      <c r="D38" s="10" t="s">
        <v>38</v>
      </c>
      <c r="E38" s="10" t="s">
        <v>53</v>
      </c>
      <c r="F38" s="651" t="s">
        <v>42</v>
      </c>
      <c r="G38" s="652" t="s">
        <v>46</v>
      </c>
      <c r="H38" s="652" t="s">
        <v>40</v>
      </c>
      <c r="I38" s="653" t="s">
        <v>62</v>
      </c>
      <c r="J38" s="10"/>
      <c r="K38" s="26">
        <f>K39+K40</f>
        <v>723.6</v>
      </c>
      <c r="L38" s="26">
        <f>L39+L40</f>
        <v>0</v>
      </c>
      <c r="M38" s="26">
        <f>M39+M40</f>
        <v>723.6</v>
      </c>
    </row>
    <row r="39" spans="1:14" s="148" customFormat="1" ht="112.5" customHeight="1" x14ac:dyDescent="0.35">
      <c r="A39" s="11"/>
      <c r="B39" s="24" t="s">
        <v>50</v>
      </c>
      <c r="C39" s="25" t="s">
        <v>1</v>
      </c>
      <c r="D39" s="10" t="s">
        <v>38</v>
      </c>
      <c r="E39" s="10" t="s">
        <v>53</v>
      </c>
      <c r="F39" s="651" t="s">
        <v>42</v>
      </c>
      <c r="G39" s="652" t="s">
        <v>46</v>
      </c>
      <c r="H39" s="652" t="s">
        <v>40</v>
      </c>
      <c r="I39" s="653" t="s">
        <v>62</v>
      </c>
      <c r="J39" s="10" t="s">
        <v>51</v>
      </c>
      <c r="K39" s="26">
        <f>641+78.2</f>
        <v>719.2</v>
      </c>
      <c r="L39" s="26">
        <f>M39-K39</f>
        <v>0</v>
      </c>
      <c r="M39" s="26">
        <f>641+78.2</f>
        <v>719.2</v>
      </c>
    </row>
    <row r="40" spans="1:14" s="148" customFormat="1" ht="56.25" customHeight="1" x14ac:dyDescent="0.35">
      <c r="A40" s="11"/>
      <c r="B40" s="24" t="s">
        <v>56</v>
      </c>
      <c r="C40" s="25" t="s">
        <v>1</v>
      </c>
      <c r="D40" s="10" t="s">
        <v>38</v>
      </c>
      <c r="E40" s="10" t="s">
        <v>53</v>
      </c>
      <c r="F40" s="651" t="s">
        <v>42</v>
      </c>
      <c r="G40" s="652" t="s">
        <v>46</v>
      </c>
      <c r="H40" s="652" t="s">
        <v>40</v>
      </c>
      <c r="I40" s="653" t="s">
        <v>62</v>
      </c>
      <c r="J40" s="10" t="s">
        <v>57</v>
      </c>
      <c r="K40" s="26">
        <v>4.4000000000000004</v>
      </c>
      <c r="L40" s="26">
        <f>M40-K40</f>
        <v>0</v>
      </c>
      <c r="M40" s="26">
        <v>4.4000000000000004</v>
      </c>
    </row>
    <row r="41" spans="1:14" s="148" customFormat="1" ht="177.6" customHeight="1" x14ac:dyDescent="0.35">
      <c r="A41" s="11"/>
      <c r="B41" s="44" t="s">
        <v>383</v>
      </c>
      <c r="C41" s="25" t="s">
        <v>1</v>
      </c>
      <c r="D41" s="10" t="s">
        <v>38</v>
      </c>
      <c r="E41" s="10" t="s">
        <v>53</v>
      </c>
      <c r="F41" s="651" t="s">
        <v>42</v>
      </c>
      <c r="G41" s="652" t="s">
        <v>46</v>
      </c>
      <c r="H41" s="652" t="s">
        <v>40</v>
      </c>
      <c r="I41" s="653" t="s">
        <v>382</v>
      </c>
      <c r="J41" s="10"/>
      <c r="K41" s="26">
        <f>K42</f>
        <v>63</v>
      </c>
      <c r="L41" s="26">
        <f>L42</f>
        <v>0</v>
      </c>
      <c r="M41" s="26">
        <f>M42</f>
        <v>63</v>
      </c>
    </row>
    <row r="42" spans="1:14" s="148" customFormat="1" ht="56.25" customHeight="1" x14ac:dyDescent="0.35">
      <c r="A42" s="11"/>
      <c r="B42" s="24" t="s">
        <v>56</v>
      </c>
      <c r="C42" s="25" t="s">
        <v>1</v>
      </c>
      <c r="D42" s="10" t="s">
        <v>38</v>
      </c>
      <c r="E42" s="10" t="s">
        <v>53</v>
      </c>
      <c r="F42" s="651" t="s">
        <v>42</v>
      </c>
      <c r="G42" s="652" t="s">
        <v>46</v>
      </c>
      <c r="H42" s="652" t="s">
        <v>40</v>
      </c>
      <c r="I42" s="653" t="s">
        <v>382</v>
      </c>
      <c r="J42" s="10" t="s">
        <v>57</v>
      </c>
      <c r="K42" s="26">
        <v>63</v>
      </c>
      <c r="L42" s="26">
        <f>M42-K42</f>
        <v>0</v>
      </c>
      <c r="M42" s="26">
        <f>63</f>
        <v>63</v>
      </c>
    </row>
    <row r="43" spans="1:14" s="148" customFormat="1" ht="76.95" customHeight="1" x14ac:dyDescent="0.35">
      <c r="A43" s="11"/>
      <c r="B43" s="24" t="s">
        <v>61</v>
      </c>
      <c r="C43" s="25" t="s">
        <v>1</v>
      </c>
      <c r="D43" s="10" t="s">
        <v>38</v>
      </c>
      <c r="E43" s="10" t="s">
        <v>53</v>
      </c>
      <c r="F43" s="651" t="s">
        <v>42</v>
      </c>
      <c r="G43" s="652" t="s">
        <v>46</v>
      </c>
      <c r="H43" s="652" t="s">
        <v>40</v>
      </c>
      <c r="I43" s="653" t="s">
        <v>611</v>
      </c>
      <c r="J43" s="10"/>
      <c r="K43" s="26">
        <f>SUM(K44:K45)</f>
        <v>3923.6</v>
      </c>
      <c r="L43" s="26">
        <f>SUM(L44:L45)</f>
        <v>0</v>
      </c>
      <c r="M43" s="26">
        <f>SUM(M44:M45)</f>
        <v>3923.6</v>
      </c>
    </row>
    <row r="44" spans="1:14" s="148" customFormat="1" ht="56.25" customHeight="1" x14ac:dyDescent="0.35">
      <c r="A44" s="11"/>
      <c r="B44" s="24" t="s">
        <v>50</v>
      </c>
      <c r="C44" s="25" t="s">
        <v>1</v>
      </c>
      <c r="D44" s="10" t="s">
        <v>38</v>
      </c>
      <c r="E44" s="10" t="s">
        <v>53</v>
      </c>
      <c r="F44" s="651" t="s">
        <v>42</v>
      </c>
      <c r="G44" s="652" t="s">
        <v>46</v>
      </c>
      <c r="H44" s="652" t="s">
        <v>40</v>
      </c>
      <c r="I44" s="653" t="s">
        <v>611</v>
      </c>
      <c r="J44" s="10" t="s">
        <v>51</v>
      </c>
      <c r="K44" s="26">
        <f>3293.6+438.4</f>
        <v>3732</v>
      </c>
      <c r="L44" s="26">
        <f>M44-K44</f>
        <v>0</v>
      </c>
      <c r="M44" s="26">
        <f>3293.6+438.4</f>
        <v>3732</v>
      </c>
    </row>
    <row r="45" spans="1:14" s="148" customFormat="1" ht="56.25" customHeight="1" x14ac:dyDescent="0.35">
      <c r="A45" s="11"/>
      <c r="B45" s="24" t="s">
        <v>56</v>
      </c>
      <c r="C45" s="25" t="s">
        <v>1</v>
      </c>
      <c r="D45" s="10" t="s">
        <v>38</v>
      </c>
      <c r="E45" s="10" t="s">
        <v>53</v>
      </c>
      <c r="F45" s="651" t="s">
        <v>42</v>
      </c>
      <c r="G45" s="652" t="s">
        <v>46</v>
      </c>
      <c r="H45" s="652" t="s">
        <v>40</v>
      </c>
      <c r="I45" s="653" t="s">
        <v>611</v>
      </c>
      <c r="J45" s="10" t="s">
        <v>57</v>
      </c>
      <c r="K45" s="26">
        <f>191.6</f>
        <v>191.6</v>
      </c>
      <c r="L45" s="26">
        <f>M45-K45</f>
        <v>0</v>
      </c>
      <c r="M45" s="26">
        <f>191.6</f>
        <v>191.6</v>
      </c>
    </row>
    <row r="46" spans="1:14" s="7" customFormat="1" ht="18.75" customHeight="1" x14ac:dyDescent="0.35">
      <c r="A46" s="11"/>
      <c r="B46" s="24" t="s">
        <v>63</v>
      </c>
      <c r="C46" s="25" t="s">
        <v>1</v>
      </c>
      <c r="D46" s="10" t="s">
        <v>38</v>
      </c>
      <c r="E46" s="10" t="s">
        <v>53</v>
      </c>
      <c r="F46" s="651" t="s">
        <v>42</v>
      </c>
      <c r="G46" s="652" t="s">
        <v>46</v>
      </c>
      <c r="H46" s="652" t="s">
        <v>64</v>
      </c>
      <c r="I46" s="653" t="s">
        <v>45</v>
      </c>
      <c r="J46" s="10"/>
      <c r="K46" s="26">
        <f t="shared" ref="K46:M47" si="2">K47</f>
        <v>17.100000000000001</v>
      </c>
      <c r="L46" s="26">
        <f t="shared" si="2"/>
        <v>0</v>
      </c>
      <c r="M46" s="26">
        <f t="shared" si="2"/>
        <v>17.100000000000001</v>
      </c>
    </row>
    <row r="47" spans="1:14" s="143" customFormat="1" ht="37.5" customHeight="1" x14ac:dyDescent="0.35">
      <c r="A47" s="11"/>
      <c r="B47" s="24" t="s">
        <v>48</v>
      </c>
      <c r="C47" s="25" t="s">
        <v>1</v>
      </c>
      <c r="D47" s="10" t="s">
        <v>38</v>
      </c>
      <c r="E47" s="10" t="s">
        <v>53</v>
      </c>
      <c r="F47" s="651" t="s">
        <v>42</v>
      </c>
      <c r="G47" s="652" t="s">
        <v>46</v>
      </c>
      <c r="H47" s="652" t="s">
        <v>64</v>
      </c>
      <c r="I47" s="653" t="s">
        <v>49</v>
      </c>
      <c r="J47" s="10"/>
      <c r="K47" s="26">
        <f t="shared" si="2"/>
        <v>17.100000000000001</v>
      </c>
      <c r="L47" s="26">
        <f t="shared" si="2"/>
        <v>0</v>
      </c>
      <c r="M47" s="26">
        <f t="shared" si="2"/>
        <v>17.100000000000001</v>
      </c>
    </row>
    <row r="48" spans="1:14" s="7" customFormat="1" ht="56.25" customHeight="1" x14ac:dyDescent="0.35">
      <c r="A48" s="11"/>
      <c r="B48" s="24" t="s">
        <v>56</v>
      </c>
      <c r="C48" s="25" t="s">
        <v>1</v>
      </c>
      <c r="D48" s="10" t="s">
        <v>38</v>
      </c>
      <c r="E48" s="10" t="s">
        <v>53</v>
      </c>
      <c r="F48" s="651" t="s">
        <v>42</v>
      </c>
      <c r="G48" s="652" t="s">
        <v>46</v>
      </c>
      <c r="H48" s="652" t="s">
        <v>64</v>
      </c>
      <c r="I48" s="653" t="s">
        <v>49</v>
      </c>
      <c r="J48" s="10" t="s">
        <v>57</v>
      </c>
      <c r="K48" s="26">
        <f>127.4-112.4+2.1</f>
        <v>17.100000000000001</v>
      </c>
      <c r="L48" s="26">
        <f>M48-K48</f>
        <v>0</v>
      </c>
      <c r="M48" s="26">
        <f>127.4-112.4+2.1</f>
        <v>17.100000000000001</v>
      </c>
    </row>
    <row r="49" spans="1:13" s="7" customFormat="1" ht="18.75" customHeight="1" x14ac:dyDescent="0.35">
      <c r="A49" s="11"/>
      <c r="B49" s="24" t="s">
        <v>403</v>
      </c>
      <c r="C49" s="25" t="s">
        <v>1</v>
      </c>
      <c r="D49" s="10" t="s">
        <v>38</v>
      </c>
      <c r="E49" s="10" t="s">
        <v>66</v>
      </c>
      <c r="F49" s="651"/>
      <c r="G49" s="652"/>
      <c r="H49" s="652"/>
      <c r="I49" s="653"/>
      <c r="J49" s="10"/>
      <c r="K49" s="26">
        <f t="shared" ref="K49:M52" si="3">K50</f>
        <v>140</v>
      </c>
      <c r="L49" s="26">
        <f t="shared" si="3"/>
        <v>0</v>
      </c>
      <c r="M49" s="26">
        <f t="shared" si="3"/>
        <v>140</v>
      </c>
    </row>
    <row r="50" spans="1:13" s="7" customFormat="1" ht="59.25" customHeight="1" x14ac:dyDescent="0.35">
      <c r="A50" s="11"/>
      <c r="B50" s="24" t="s">
        <v>54</v>
      </c>
      <c r="C50" s="25" t="s">
        <v>1</v>
      </c>
      <c r="D50" s="10" t="s">
        <v>38</v>
      </c>
      <c r="E50" s="10" t="s">
        <v>66</v>
      </c>
      <c r="F50" s="651" t="s">
        <v>42</v>
      </c>
      <c r="G50" s="652" t="s">
        <v>43</v>
      </c>
      <c r="H50" s="652" t="s">
        <v>44</v>
      </c>
      <c r="I50" s="653" t="s">
        <v>45</v>
      </c>
      <c r="J50" s="10"/>
      <c r="K50" s="26">
        <f t="shared" si="3"/>
        <v>140</v>
      </c>
      <c r="L50" s="26">
        <f t="shared" si="3"/>
        <v>0</v>
      </c>
      <c r="M50" s="26">
        <f t="shared" si="3"/>
        <v>140</v>
      </c>
    </row>
    <row r="51" spans="1:13" s="7" customFormat="1" ht="37.5" customHeight="1" x14ac:dyDescent="0.35">
      <c r="A51" s="11"/>
      <c r="B51" s="24" t="s">
        <v>343</v>
      </c>
      <c r="C51" s="25" t="s">
        <v>1</v>
      </c>
      <c r="D51" s="10" t="s">
        <v>38</v>
      </c>
      <c r="E51" s="10" t="s">
        <v>66</v>
      </c>
      <c r="F51" s="651" t="s">
        <v>42</v>
      </c>
      <c r="G51" s="652" t="s">
        <v>46</v>
      </c>
      <c r="H51" s="652" t="s">
        <v>44</v>
      </c>
      <c r="I51" s="653" t="s">
        <v>45</v>
      </c>
      <c r="J51" s="10"/>
      <c r="K51" s="26">
        <f t="shared" si="3"/>
        <v>140</v>
      </c>
      <c r="L51" s="26">
        <f t="shared" si="3"/>
        <v>0</v>
      </c>
      <c r="M51" s="26">
        <f t="shared" si="3"/>
        <v>140</v>
      </c>
    </row>
    <row r="52" spans="1:13" s="7" customFormat="1" ht="37.5" customHeight="1" x14ac:dyDescent="0.35">
      <c r="A52" s="11"/>
      <c r="B52" s="24" t="s">
        <v>55</v>
      </c>
      <c r="C52" s="25" t="s">
        <v>1</v>
      </c>
      <c r="D52" s="10" t="s">
        <v>38</v>
      </c>
      <c r="E52" s="10" t="s">
        <v>66</v>
      </c>
      <c r="F52" s="651" t="s">
        <v>42</v>
      </c>
      <c r="G52" s="652" t="s">
        <v>46</v>
      </c>
      <c r="H52" s="652" t="s">
        <v>40</v>
      </c>
      <c r="I52" s="653" t="s">
        <v>45</v>
      </c>
      <c r="J52" s="10"/>
      <c r="K52" s="26">
        <f t="shared" si="3"/>
        <v>140</v>
      </c>
      <c r="L52" s="26">
        <f t="shared" si="3"/>
        <v>0</v>
      </c>
      <c r="M52" s="26">
        <f t="shared" si="3"/>
        <v>140</v>
      </c>
    </row>
    <row r="53" spans="1:13" s="7" customFormat="1" ht="72" x14ac:dyDescent="0.35">
      <c r="A53" s="11"/>
      <c r="B53" s="24" t="s">
        <v>405</v>
      </c>
      <c r="C53" s="25" t="s">
        <v>1</v>
      </c>
      <c r="D53" s="10" t="s">
        <v>38</v>
      </c>
      <c r="E53" s="10" t="s">
        <v>66</v>
      </c>
      <c r="F53" s="651" t="s">
        <v>42</v>
      </c>
      <c r="G53" s="652" t="s">
        <v>46</v>
      </c>
      <c r="H53" s="652" t="s">
        <v>40</v>
      </c>
      <c r="I53" s="653" t="s">
        <v>404</v>
      </c>
      <c r="J53" s="10"/>
      <c r="K53" s="26">
        <f>K54</f>
        <v>140</v>
      </c>
      <c r="L53" s="26">
        <f>L54</f>
        <v>0</v>
      </c>
      <c r="M53" s="26">
        <f>M54</f>
        <v>140</v>
      </c>
    </row>
    <row r="54" spans="1:13" s="7" customFormat="1" ht="56.25" customHeight="1" x14ac:dyDescent="0.35">
      <c r="A54" s="11"/>
      <c r="B54" s="24" t="s">
        <v>56</v>
      </c>
      <c r="C54" s="25" t="s">
        <v>1</v>
      </c>
      <c r="D54" s="10" t="s">
        <v>38</v>
      </c>
      <c r="E54" s="10" t="s">
        <v>66</v>
      </c>
      <c r="F54" s="651" t="s">
        <v>42</v>
      </c>
      <c r="G54" s="652" t="s">
        <v>46</v>
      </c>
      <c r="H54" s="652" t="s">
        <v>40</v>
      </c>
      <c r="I54" s="653" t="s">
        <v>404</v>
      </c>
      <c r="J54" s="10" t="s">
        <v>57</v>
      </c>
      <c r="K54" s="26">
        <f>105+35</f>
        <v>140</v>
      </c>
      <c r="L54" s="26">
        <f>M54-K54</f>
        <v>0</v>
      </c>
      <c r="M54" s="26">
        <f>105+35</f>
        <v>140</v>
      </c>
    </row>
    <row r="55" spans="1:13" s="143" customFormat="1" ht="18.75" customHeight="1" x14ac:dyDescent="0.35">
      <c r="A55" s="11"/>
      <c r="B55" s="24" t="s">
        <v>67</v>
      </c>
      <c r="C55" s="25" t="s">
        <v>1</v>
      </c>
      <c r="D55" s="10" t="s">
        <v>38</v>
      </c>
      <c r="E55" s="10" t="s">
        <v>68</v>
      </c>
      <c r="F55" s="651"/>
      <c r="G55" s="652"/>
      <c r="H55" s="652"/>
      <c r="I55" s="653"/>
      <c r="J55" s="10"/>
      <c r="K55" s="26">
        <f t="shared" ref="K55:M56" si="4">K56</f>
        <v>7697.0717999999997</v>
      </c>
      <c r="L55" s="26">
        <f t="shared" si="4"/>
        <v>-2002.4490000000014</v>
      </c>
      <c r="M55" s="26">
        <f t="shared" si="4"/>
        <v>5694.6227999999983</v>
      </c>
    </row>
    <row r="56" spans="1:13" s="143" customFormat="1" ht="37.5" customHeight="1" x14ac:dyDescent="0.35">
      <c r="A56" s="11"/>
      <c r="B56" s="24" t="s">
        <v>470</v>
      </c>
      <c r="C56" s="25" t="s">
        <v>1</v>
      </c>
      <c r="D56" s="10" t="s">
        <v>38</v>
      </c>
      <c r="E56" s="10" t="s">
        <v>68</v>
      </c>
      <c r="F56" s="651" t="s">
        <v>69</v>
      </c>
      <c r="G56" s="652" t="s">
        <v>43</v>
      </c>
      <c r="H56" s="652" t="s">
        <v>44</v>
      </c>
      <c r="I56" s="653" t="s">
        <v>45</v>
      </c>
      <c r="J56" s="10"/>
      <c r="K56" s="26">
        <f t="shared" si="4"/>
        <v>7697.0717999999997</v>
      </c>
      <c r="L56" s="26">
        <f t="shared" si="4"/>
        <v>-2002.4490000000014</v>
      </c>
      <c r="M56" s="26">
        <f t="shared" si="4"/>
        <v>5694.6227999999983</v>
      </c>
    </row>
    <row r="57" spans="1:13" s="143" customFormat="1" ht="18.75" customHeight="1" x14ac:dyDescent="0.35">
      <c r="A57" s="11"/>
      <c r="B57" s="27" t="s">
        <v>471</v>
      </c>
      <c r="C57" s="25" t="s">
        <v>1</v>
      </c>
      <c r="D57" s="10" t="s">
        <v>38</v>
      </c>
      <c r="E57" s="10" t="s">
        <v>68</v>
      </c>
      <c r="F57" s="651" t="s">
        <v>69</v>
      </c>
      <c r="G57" s="652" t="s">
        <v>46</v>
      </c>
      <c r="H57" s="652" t="s">
        <v>44</v>
      </c>
      <c r="I57" s="653" t="s">
        <v>45</v>
      </c>
      <c r="J57" s="10"/>
      <c r="K57" s="26">
        <f t="shared" ref="K57:M58" si="5">K58</f>
        <v>7697.0717999999997</v>
      </c>
      <c r="L57" s="26">
        <f t="shared" si="5"/>
        <v>-2002.4490000000014</v>
      </c>
      <c r="M57" s="26">
        <f t="shared" si="5"/>
        <v>5694.6227999999983</v>
      </c>
    </row>
    <row r="58" spans="1:13" s="143" customFormat="1" ht="40.200000000000003" customHeight="1" x14ac:dyDescent="0.35">
      <c r="A58" s="11"/>
      <c r="B58" s="24" t="s">
        <v>469</v>
      </c>
      <c r="C58" s="25" t="s">
        <v>1</v>
      </c>
      <c r="D58" s="10" t="s">
        <v>38</v>
      </c>
      <c r="E58" s="10" t="s">
        <v>68</v>
      </c>
      <c r="F58" s="651" t="s">
        <v>69</v>
      </c>
      <c r="G58" s="652" t="s">
        <v>46</v>
      </c>
      <c r="H58" s="652" t="s">
        <v>44</v>
      </c>
      <c r="I58" s="653" t="s">
        <v>70</v>
      </c>
      <c r="J58" s="10"/>
      <c r="K58" s="26">
        <f t="shared" si="5"/>
        <v>7697.0717999999997</v>
      </c>
      <c r="L58" s="26">
        <f t="shared" si="5"/>
        <v>-2002.4490000000014</v>
      </c>
      <c r="M58" s="26">
        <f t="shared" si="5"/>
        <v>5694.6227999999983</v>
      </c>
    </row>
    <row r="59" spans="1:13" s="143" customFormat="1" ht="18.75" customHeight="1" x14ac:dyDescent="0.35">
      <c r="A59" s="11"/>
      <c r="B59" s="24" t="s">
        <v>58</v>
      </c>
      <c r="C59" s="25" t="s">
        <v>1</v>
      </c>
      <c r="D59" s="10" t="s">
        <v>38</v>
      </c>
      <c r="E59" s="10" t="s">
        <v>68</v>
      </c>
      <c r="F59" s="651" t="s">
        <v>69</v>
      </c>
      <c r="G59" s="652" t="s">
        <v>46</v>
      </c>
      <c r="H59" s="652" t="s">
        <v>44</v>
      </c>
      <c r="I59" s="653" t="s">
        <v>70</v>
      </c>
      <c r="J59" s="10" t="s">
        <v>59</v>
      </c>
      <c r="K59" s="26">
        <f>5000+6000+10200+500-19038.41+12608.6968-1200-8100+2641.6-4317.215+2500+1075.2+1648.1-316.9-1504</f>
        <v>7697.0717999999997</v>
      </c>
      <c r="L59" s="26">
        <f>M59-K59</f>
        <v>-2002.4490000000014</v>
      </c>
      <c r="M59" s="26">
        <f>5000+6000+10200+500-19038.41+12608.6968-1200-8100+2641.6-4317.215+2500+1075.2+1648.1-316.9-1504-220+586.851+4130.4-6499.7</f>
        <v>5694.6227999999983</v>
      </c>
    </row>
    <row r="60" spans="1:13" s="143" customFormat="1" ht="18.75" customHeight="1" x14ac:dyDescent="0.35">
      <c r="A60" s="11"/>
      <c r="B60" s="24" t="s">
        <v>71</v>
      </c>
      <c r="C60" s="25" t="s">
        <v>1</v>
      </c>
      <c r="D60" s="10" t="s">
        <v>38</v>
      </c>
      <c r="E60" s="10" t="s">
        <v>72</v>
      </c>
      <c r="F60" s="651"/>
      <c r="G60" s="652"/>
      <c r="H60" s="652"/>
      <c r="I60" s="653"/>
      <c r="J60" s="10"/>
      <c r="K60" s="26">
        <f>K61+K71+K66</f>
        <v>6899.1</v>
      </c>
      <c r="L60" s="26">
        <f>L61+L71+L66</f>
        <v>4393</v>
      </c>
      <c r="M60" s="26">
        <f>M61+M71+M66</f>
        <v>11292.1</v>
      </c>
    </row>
    <row r="61" spans="1:13" s="143" customFormat="1" ht="69.599999999999994" customHeight="1" x14ac:dyDescent="0.35">
      <c r="A61" s="11"/>
      <c r="B61" s="24" t="s">
        <v>336</v>
      </c>
      <c r="C61" s="25" t="s">
        <v>1</v>
      </c>
      <c r="D61" s="10" t="s">
        <v>38</v>
      </c>
      <c r="E61" s="10" t="s">
        <v>72</v>
      </c>
      <c r="F61" s="651" t="s">
        <v>105</v>
      </c>
      <c r="G61" s="652" t="s">
        <v>43</v>
      </c>
      <c r="H61" s="652" t="s">
        <v>44</v>
      </c>
      <c r="I61" s="653" t="s">
        <v>45</v>
      </c>
      <c r="J61" s="10"/>
      <c r="K61" s="26">
        <f t="shared" ref="K61:M64" si="6">K62</f>
        <v>10.199999999999999</v>
      </c>
      <c r="L61" s="26">
        <f t="shared" si="6"/>
        <v>0</v>
      </c>
      <c r="M61" s="26">
        <f t="shared" si="6"/>
        <v>10.199999999999999</v>
      </c>
    </row>
    <row r="62" spans="1:13" s="143" customFormat="1" ht="36.6" customHeight="1" x14ac:dyDescent="0.35">
      <c r="A62" s="11"/>
      <c r="B62" s="24" t="s">
        <v>518</v>
      </c>
      <c r="C62" s="25" t="s">
        <v>1</v>
      </c>
      <c r="D62" s="10" t="s">
        <v>38</v>
      </c>
      <c r="E62" s="10" t="s">
        <v>72</v>
      </c>
      <c r="F62" s="651" t="s">
        <v>105</v>
      </c>
      <c r="G62" s="652" t="s">
        <v>519</v>
      </c>
      <c r="H62" s="652" t="s">
        <v>44</v>
      </c>
      <c r="I62" s="653" t="s">
        <v>45</v>
      </c>
      <c r="J62" s="10"/>
      <c r="K62" s="26">
        <f t="shared" si="6"/>
        <v>10.199999999999999</v>
      </c>
      <c r="L62" s="26">
        <f t="shared" si="6"/>
        <v>0</v>
      </c>
      <c r="M62" s="26">
        <f t="shared" si="6"/>
        <v>10.199999999999999</v>
      </c>
    </row>
    <row r="63" spans="1:13" s="143" customFormat="1" ht="36" customHeight="1" x14ac:dyDescent="0.35">
      <c r="A63" s="11"/>
      <c r="B63" s="24" t="s">
        <v>647</v>
      </c>
      <c r="C63" s="25" t="s">
        <v>1</v>
      </c>
      <c r="D63" s="10" t="s">
        <v>38</v>
      </c>
      <c r="E63" s="10" t="s">
        <v>72</v>
      </c>
      <c r="F63" s="651" t="s">
        <v>105</v>
      </c>
      <c r="G63" s="652" t="s">
        <v>519</v>
      </c>
      <c r="H63" s="652" t="s">
        <v>38</v>
      </c>
      <c r="I63" s="653" t="s">
        <v>45</v>
      </c>
      <c r="J63" s="10"/>
      <c r="K63" s="26">
        <f t="shared" si="6"/>
        <v>10.199999999999999</v>
      </c>
      <c r="L63" s="26">
        <f t="shared" si="6"/>
        <v>0</v>
      </c>
      <c r="M63" s="26">
        <f t="shared" si="6"/>
        <v>10.199999999999999</v>
      </c>
    </row>
    <row r="64" spans="1:13" s="143" customFormat="1" ht="72" x14ac:dyDescent="0.35">
      <c r="A64" s="11"/>
      <c r="B64" s="24" t="s">
        <v>648</v>
      </c>
      <c r="C64" s="25" t="s">
        <v>1</v>
      </c>
      <c r="D64" s="10" t="s">
        <v>38</v>
      </c>
      <c r="E64" s="10" t="s">
        <v>72</v>
      </c>
      <c r="F64" s="651" t="s">
        <v>105</v>
      </c>
      <c r="G64" s="652" t="s">
        <v>519</v>
      </c>
      <c r="H64" s="652" t="s">
        <v>38</v>
      </c>
      <c r="I64" s="653" t="s">
        <v>646</v>
      </c>
      <c r="J64" s="10"/>
      <c r="K64" s="26">
        <f t="shared" si="6"/>
        <v>10.199999999999999</v>
      </c>
      <c r="L64" s="26">
        <f t="shared" si="6"/>
        <v>0</v>
      </c>
      <c r="M64" s="26">
        <f t="shared" si="6"/>
        <v>10.199999999999999</v>
      </c>
    </row>
    <row r="65" spans="1:13" s="143" customFormat="1" ht="58.2" customHeight="1" x14ac:dyDescent="0.35">
      <c r="A65" s="11"/>
      <c r="B65" s="24" t="s">
        <v>56</v>
      </c>
      <c r="C65" s="25" t="s">
        <v>1</v>
      </c>
      <c r="D65" s="10" t="s">
        <v>38</v>
      </c>
      <c r="E65" s="10" t="s">
        <v>72</v>
      </c>
      <c r="F65" s="651" t="s">
        <v>105</v>
      </c>
      <c r="G65" s="652" t="s">
        <v>519</v>
      </c>
      <c r="H65" s="652" t="s">
        <v>38</v>
      </c>
      <c r="I65" s="653" t="s">
        <v>646</v>
      </c>
      <c r="J65" s="10" t="s">
        <v>57</v>
      </c>
      <c r="K65" s="26">
        <v>10.199999999999999</v>
      </c>
      <c r="L65" s="26">
        <f>M65-K65</f>
        <v>0</v>
      </c>
      <c r="M65" s="26">
        <v>10.199999999999999</v>
      </c>
    </row>
    <row r="66" spans="1:13" s="143" customFormat="1" ht="72" x14ac:dyDescent="0.35">
      <c r="A66" s="11"/>
      <c r="B66" s="24" t="s">
        <v>73</v>
      </c>
      <c r="C66" s="25" t="s">
        <v>1</v>
      </c>
      <c r="D66" s="10" t="s">
        <v>38</v>
      </c>
      <c r="E66" s="10" t="s">
        <v>72</v>
      </c>
      <c r="F66" s="651" t="s">
        <v>74</v>
      </c>
      <c r="G66" s="652" t="s">
        <v>43</v>
      </c>
      <c r="H66" s="652" t="s">
        <v>44</v>
      </c>
      <c r="I66" s="653" t="s">
        <v>45</v>
      </c>
      <c r="J66" s="10"/>
      <c r="K66" s="26">
        <f t="shared" ref="K66:M68" si="7">K67</f>
        <v>390.6</v>
      </c>
      <c r="L66" s="26">
        <f t="shared" si="7"/>
        <v>0</v>
      </c>
      <c r="M66" s="26">
        <f t="shared" si="7"/>
        <v>390.6</v>
      </c>
    </row>
    <row r="67" spans="1:13" s="143" customFormat="1" ht="37.5" customHeight="1" x14ac:dyDescent="0.35">
      <c r="A67" s="11"/>
      <c r="B67" s="24" t="s">
        <v>343</v>
      </c>
      <c r="C67" s="25" t="s">
        <v>1</v>
      </c>
      <c r="D67" s="10" t="s">
        <v>38</v>
      </c>
      <c r="E67" s="10" t="s">
        <v>72</v>
      </c>
      <c r="F67" s="651" t="s">
        <v>74</v>
      </c>
      <c r="G67" s="652" t="s">
        <v>46</v>
      </c>
      <c r="H67" s="652" t="s">
        <v>44</v>
      </c>
      <c r="I67" s="653" t="s">
        <v>45</v>
      </c>
      <c r="J67" s="10"/>
      <c r="K67" s="26">
        <f t="shared" si="7"/>
        <v>390.6</v>
      </c>
      <c r="L67" s="26">
        <f t="shared" si="7"/>
        <v>0</v>
      </c>
      <c r="M67" s="26">
        <f t="shared" si="7"/>
        <v>390.6</v>
      </c>
    </row>
    <row r="68" spans="1:13" s="143" customFormat="1" ht="56.25" customHeight="1" x14ac:dyDescent="0.35">
      <c r="A68" s="11"/>
      <c r="B68" s="27" t="s">
        <v>267</v>
      </c>
      <c r="C68" s="25" t="s">
        <v>1</v>
      </c>
      <c r="D68" s="10" t="s">
        <v>38</v>
      </c>
      <c r="E68" s="10" t="s">
        <v>72</v>
      </c>
      <c r="F68" s="651" t="s">
        <v>74</v>
      </c>
      <c r="G68" s="652" t="s">
        <v>46</v>
      </c>
      <c r="H68" s="652" t="s">
        <v>38</v>
      </c>
      <c r="I68" s="653" t="s">
        <v>45</v>
      </c>
      <c r="J68" s="10"/>
      <c r="K68" s="26">
        <f t="shared" si="7"/>
        <v>390.6</v>
      </c>
      <c r="L68" s="26">
        <f t="shared" si="7"/>
        <v>0</v>
      </c>
      <c r="M68" s="26">
        <f t="shared" si="7"/>
        <v>390.6</v>
      </c>
    </row>
    <row r="69" spans="1:13" s="143" customFormat="1" ht="54" customHeight="1" x14ac:dyDescent="0.35">
      <c r="A69" s="11"/>
      <c r="B69" s="27" t="s">
        <v>75</v>
      </c>
      <c r="C69" s="25" t="s">
        <v>1</v>
      </c>
      <c r="D69" s="10" t="s">
        <v>38</v>
      </c>
      <c r="E69" s="10" t="s">
        <v>72</v>
      </c>
      <c r="F69" s="651" t="s">
        <v>74</v>
      </c>
      <c r="G69" s="652" t="s">
        <v>46</v>
      </c>
      <c r="H69" s="652" t="s">
        <v>38</v>
      </c>
      <c r="I69" s="653" t="s">
        <v>76</v>
      </c>
      <c r="J69" s="10"/>
      <c r="K69" s="26">
        <f>K70</f>
        <v>390.6</v>
      </c>
      <c r="L69" s="26">
        <f>L70</f>
        <v>0</v>
      </c>
      <c r="M69" s="26">
        <f>M70</f>
        <v>390.6</v>
      </c>
    </row>
    <row r="70" spans="1:13" s="143" customFormat="1" ht="56.25" customHeight="1" x14ac:dyDescent="0.35">
      <c r="A70" s="11"/>
      <c r="B70" s="28" t="s">
        <v>77</v>
      </c>
      <c r="C70" s="25" t="s">
        <v>1</v>
      </c>
      <c r="D70" s="10" t="s">
        <v>38</v>
      </c>
      <c r="E70" s="10" t="s">
        <v>72</v>
      </c>
      <c r="F70" s="651" t="s">
        <v>74</v>
      </c>
      <c r="G70" s="652" t="s">
        <v>46</v>
      </c>
      <c r="H70" s="652" t="s">
        <v>38</v>
      </c>
      <c r="I70" s="653" t="s">
        <v>76</v>
      </c>
      <c r="J70" s="10" t="s">
        <v>78</v>
      </c>
      <c r="K70" s="26">
        <f>303.6+87</f>
        <v>390.6</v>
      </c>
      <c r="L70" s="26">
        <f>M70-K70</f>
        <v>0</v>
      </c>
      <c r="M70" s="26">
        <f>303.6+87</f>
        <v>390.6</v>
      </c>
    </row>
    <row r="71" spans="1:13" s="143" customFormat="1" ht="60" customHeight="1" x14ac:dyDescent="0.35">
      <c r="A71" s="11"/>
      <c r="B71" s="24" t="s">
        <v>41</v>
      </c>
      <c r="C71" s="25" t="s">
        <v>1</v>
      </c>
      <c r="D71" s="10" t="s">
        <v>38</v>
      </c>
      <c r="E71" s="10" t="s">
        <v>72</v>
      </c>
      <c r="F71" s="651" t="s">
        <v>42</v>
      </c>
      <c r="G71" s="652" t="s">
        <v>43</v>
      </c>
      <c r="H71" s="652" t="s">
        <v>44</v>
      </c>
      <c r="I71" s="653" t="s">
        <v>45</v>
      </c>
      <c r="J71" s="10"/>
      <c r="K71" s="26">
        <f>K72</f>
        <v>6498.3</v>
      </c>
      <c r="L71" s="26">
        <f>L72</f>
        <v>4393</v>
      </c>
      <c r="M71" s="26">
        <f>M72</f>
        <v>10891.3</v>
      </c>
    </row>
    <row r="72" spans="1:13" s="143" customFormat="1" ht="37.5" customHeight="1" x14ac:dyDescent="0.35">
      <c r="A72" s="11"/>
      <c r="B72" s="24" t="s">
        <v>343</v>
      </c>
      <c r="C72" s="25" t="s">
        <v>1</v>
      </c>
      <c r="D72" s="10" t="s">
        <v>38</v>
      </c>
      <c r="E72" s="10" t="s">
        <v>72</v>
      </c>
      <c r="F72" s="651" t="s">
        <v>42</v>
      </c>
      <c r="G72" s="652" t="s">
        <v>46</v>
      </c>
      <c r="H72" s="652" t="s">
        <v>44</v>
      </c>
      <c r="I72" s="653" t="s">
        <v>45</v>
      </c>
      <c r="J72" s="10"/>
      <c r="K72" s="26">
        <f>K82+K78+K87+K90+K73</f>
        <v>6498.3</v>
      </c>
      <c r="L72" s="26">
        <f>L82+L78+L87+L90+L73+L93</f>
        <v>4393</v>
      </c>
      <c r="M72" s="26">
        <f>M82+M78+M87+M90+M73+M93</f>
        <v>10891.3</v>
      </c>
    </row>
    <row r="73" spans="1:13" s="143" customFormat="1" ht="37.5" customHeight="1" x14ac:dyDescent="0.35">
      <c r="A73" s="11"/>
      <c r="B73" s="24" t="s">
        <v>55</v>
      </c>
      <c r="C73" s="25" t="s">
        <v>1</v>
      </c>
      <c r="D73" s="10" t="s">
        <v>38</v>
      </c>
      <c r="E73" s="10" t="s">
        <v>72</v>
      </c>
      <c r="F73" s="651" t="s">
        <v>42</v>
      </c>
      <c r="G73" s="652" t="s">
        <v>46</v>
      </c>
      <c r="H73" s="652" t="s">
        <v>40</v>
      </c>
      <c r="I73" s="653" t="s">
        <v>45</v>
      </c>
      <c r="J73" s="10"/>
      <c r="K73" s="26">
        <f>K74+K76</f>
        <v>497.59999999999997</v>
      </c>
      <c r="L73" s="26">
        <f>L74+L76</f>
        <v>89.500000000000057</v>
      </c>
      <c r="M73" s="26">
        <f>M74+M76</f>
        <v>587.1</v>
      </c>
    </row>
    <row r="74" spans="1:13" s="143" customFormat="1" ht="18" x14ac:dyDescent="0.35">
      <c r="A74" s="11"/>
      <c r="B74" s="24" t="s">
        <v>491</v>
      </c>
      <c r="C74" s="25" t="s">
        <v>1</v>
      </c>
      <c r="D74" s="10" t="s">
        <v>38</v>
      </c>
      <c r="E74" s="10" t="s">
        <v>72</v>
      </c>
      <c r="F74" s="651" t="s">
        <v>42</v>
      </c>
      <c r="G74" s="652" t="s">
        <v>46</v>
      </c>
      <c r="H74" s="652" t="s">
        <v>40</v>
      </c>
      <c r="I74" s="653" t="s">
        <v>394</v>
      </c>
      <c r="J74" s="10"/>
      <c r="K74" s="26">
        <f>K75</f>
        <v>451.7</v>
      </c>
      <c r="L74" s="26">
        <f>L75</f>
        <v>89.500000000000057</v>
      </c>
      <c r="M74" s="26">
        <f>M75</f>
        <v>541.20000000000005</v>
      </c>
    </row>
    <row r="75" spans="1:13" s="143" customFormat="1" ht="54" x14ac:dyDescent="0.35">
      <c r="A75" s="11"/>
      <c r="B75" s="24" t="s">
        <v>56</v>
      </c>
      <c r="C75" s="25" t="s">
        <v>1</v>
      </c>
      <c r="D75" s="10" t="s">
        <v>38</v>
      </c>
      <c r="E75" s="10" t="s">
        <v>72</v>
      </c>
      <c r="F75" s="651" t="s">
        <v>42</v>
      </c>
      <c r="G75" s="652" t="s">
        <v>46</v>
      </c>
      <c r="H75" s="652" t="s">
        <v>40</v>
      </c>
      <c r="I75" s="653" t="s">
        <v>394</v>
      </c>
      <c r="J75" s="10" t="s">
        <v>57</v>
      </c>
      <c r="K75" s="26">
        <v>451.7</v>
      </c>
      <c r="L75" s="26">
        <f>M75-K75</f>
        <v>89.500000000000057</v>
      </c>
      <c r="M75" s="26">
        <f>451.7+89.5</f>
        <v>541.20000000000005</v>
      </c>
    </row>
    <row r="76" spans="1:13" s="143" customFormat="1" ht="18" x14ac:dyDescent="0.35">
      <c r="A76" s="11"/>
      <c r="B76" s="24" t="s">
        <v>696</v>
      </c>
      <c r="C76" s="25" t="s">
        <v>1</v>
      </c>
      <c r="D76" s="10" t="s">
        <v>38</v>
      </c>
      <c r="E76" s="10" t="s">
        <v>72</v>
      </c>
      <c r="F76" s="651" t="s">
        <v>42</v>
      </c>
      <c r="G76" s="652" t="s">
        <v>46</v>
      </c>
      <c r="H76" s="652" t="s">
        <v>40</v>
      </c>
      <c r="I76" s="653" t="s">
        <v>695</v>
      </c>
      <c r="J76" s="10"/>
      <c r="K76" s="26">
        <f>K77</f>
        <v>45.9</v>
      </c>
      <c r="L76" s="26">
        <f>M76-K76</f>
        <v>0</v>
      </c>
      <c r="M76" s="26">
        <f>M77</f>
        <v>45.9</v>
      </c>
    </row>
    <row r="77" spans="1:13" s="143" customFormat="1" ht="54" x14ac:dyDescent="0.35">
      <c r="A77" s="11"/>
      <c r="B77" s="24" t="s">
        <v>56</v>
      </c>
      <c r="C77" s="25" t="s">
        <v>1</v>
      </c>
      <c r="D77" s="10" t="s">
        <v>38</v>
      </c>
      <c r="E77" s="10" t="s">
        <v>72</v>
      </c>
      <c r="F77" s="651" t="s">
        <v>42</v>
      </c>
      <c r="G77" s="652" t="s">
        <v>46</v>
      </c>
      <c r="H77" s="652" t="s">
        <v>40</v>
      </c>
      <c r="I77" s="653" t="s">
        <v>695</v>
      </c>
      <c r="J77" s="10" t="s">
        <v>57</v>
      </c>
      <c r="K77" s="26">
        <v>45.9</v>
      </c>
      <c r="L77" s="26">
        <f>M77-K77</f>
        <v>0</v>
      </c>
      <c r="M77" s="26">
        <v>45.9</v>
      </c>
    </row>
    <row r="78" spans="1:13" s="143" customFormat="1" ht="18.75" customHeight="1" x14ac:dyDescent="0.35">
      <c r="A78" s="11"/>
      <c r="B78" s="28" t="s">
        <v>63</v>
      </c>
      <c r="C78" s="25" t="s">
        <v>1</v>
      </c>
      <c r="D78" s="10" t="s">
        <v>38</v>
      </c>
      <c r="E78" s="10" t="s">
        <v>72</v>
      </c>
      <c r="F78" s="651" t="s">
        <v>42</v>
      </c>
      <c r="G78" s="652" t="s">
        <v>46</v>
      </c>
      <c r="H78" s="652" t="s">
        <v>64</v>
      </c>
      <c r="I78" s="653" t="s">
        <v>45</v>
      </c>
      <c r="J78" s="10"/>
      <c r="K78" s="26">
        <f>K79</f>
        <v>2730.7</v>
      </c>
      <c r="L78" s="26">
        <f>L79</f>
        <v>497.10000000000036</v>
      </c>
      <c r="M78" s="26">
        <f>M79</f>
        <v>3227.8</v>
      </c>
    </row>
    <row r="79" spans="1:13" s="143" customFormat="1" ht="60" customHeight="1" x14ac:dyDescent="0.35">
      <c r="A79" s="11"/>
      <c r="B79" s="28" t="s">
        <v>393</v>
      </c>
      <c r="C79" s="25" t="s">
        <v>1</v>
      </c>
      <c r="D79" s="10" t="s">
        <v>38</v>
      </c>
      <c r="E79" s="10" t="s">
        <v>72</v>
      </c>
      <c r="F79" s="651" t="s">
        <v>42</v>
      </c>
      <c r="G79" s="652" t="s">
        <v>46</v>
      </c>
      <c r="H79" s="652" t="s">
        <v>64</v>
      </c>
      <c r="I79" s="653" t="s">
        <v>392</v>
      </c>
      <c r="J79" s="10"/>
      <c r="K79" s="26">
        <f>K80+K81</f>
        <v>2730.7</v>
      </c>
      <c r="L79" s="26">
        <f>L80+L81</f>
        <v>497.10000000000036</v>
      </c>
      <c r="M79" s="26">
        <f>M80+M81</f>
        <v>3227.8</v>
      </c>
    </row>
    <row r="80" spans="1:13" s="143" customFormat="1" ht="56.25" customHeight="1" x14ac:dyDescent="0.35">
      <c r="A80" s="11"/>
      <c r="B80" s="24" t="s">
        <v>56</v>
      </c>
      <c r="C80" s="25" t="s">
        <v>1</v>
      </c>
      <c r="D80" s="10" t="s">
        <v>38</v>
      </c>
      <c r="E80" s="10" t="s">
        <v>72</v>
      </c>
      <c r="F80" s="651" t="s">
        <v>42</v>
      </c>
      <c r="G80" s="652" t="s">
        <v>46</v>
      </c>
      <c r="H80" s="652" t="s">
        <v>64</v>
      </c>
      <c r="I80" s="653" t="s">
        <v>392</v>
      </c>
      <c r="J80" s="10" t="s">
        <v>57</v>
      </c>
      <c r="K80" s="26">
        <f>1019.5+210+63.6+630+291.6+287.7</f>
        <v>2502.3999999999996</v>
      </c>
      <c r="L80" s="26">
        <f>M80-K80</f>
        <v>497.10000000000036</v>
      </c>
      <c r="M80" s="26">
        <f>1019.5+210+63.6+630+291.6+287.7+83.8+11.6+200+8.9+192.8</f>
        <v>2999.5</v>
      </c>
    </row>
    <row r="81" spans="1:13" s="143" customFormat="1" ht="18" x14ac:dyDescent="0.35">
      <c r="A81" s="11"/>
      <c r="B81" s="24" t="s">
        <v>58</v>
      </c>
      <c r="C81" s="25" t="s">
        <v>1</v>
      </c>
      <c r="D81" s="10" t="s">
        <v>38</v>
      </c>
      <c r="E81" s="10" t="s">
        <v>72</v>
      </c>
      <c r="F81" s="651" t="s">
        <v>42</v>
      </c>
      <c r="G81" s="652" t="s">
        <v>46</v>
      </c>
      <c r="H81" s="652" t="s">
        <v>64</v>
      </c>
      <c r="I81" s="653" t="s">
        <v>392</v>
      </c>
      <c r="J81" s="10" t="s">
        <v>59</v>
      </c>
      <c r="K81" s="26">
        <v>228.3</v>
      </c>
      <c r="L81" s="26">
        <f>M81-K81</f>
        <v>0</v>
      </c>
      <c r="M81" s="26">
        <v>228.3</v>
      </c>
    </row>
    <row r="82" spans="1:13" s="143" customFormat="1" ht="18.75" customHeight="1" x14ac:dyDescent="0.35">
      <c r="A82" s="11"/>
      <c r="B82" s="24" t="s">
        <v>65</v>
      </c>
      <c r="C82" s="25" t="s">
        <v>1</v>
      </c>
      <c r="D82" s="10" t="s">
        <v>38</v>
      </c>
      <c r="E82" s="10" t="s">
        <v>72</v>
      </c>
      <c r="F82" s="651" t="s">
        <v>42</v>
      </c>
      <c r="G82" s="652" t="s">
        <v>46</v>
      </c>
      <c r="H82" s="652" t="s">
        <v>53</v>
      </c>
      <c r="I82" s="653" t="s">
        <v>45</v>
      </c>
      <c r="J82" s="10"/>
      <c r="K82" s="26">
        <f>K83+K85</f>
        <v>2943.1</v>
      </c>
      <c r="L82" s="26">
        <f>L83+L85</f>
        <v>192.5</v>
      </c>
      <c r="M82" s="26">
        <f>M83+M85</f>
        <v>3135.6</v>
      </c>
    </row>
    <row r="83" spans="1:13" s="143" customFormat="1" ht="58.5" customHeight="1" x14ac:dyDescent="0.35">
      <c r="A83" s="11"/>
      <c r="B83" s="29" t="s">
        <v>359</v>
      </c>
      <c r="C83" s="25" t="s">
        <v>1</v>
      </c>
      <c r="D83" s="10" t="s">
        <v>38</v>
      </c>
      <c r="E83" s="10" t="s">
        <v>72</v>
      </c>
      <c r="F83" s="651" t="s">
        <v>42</v>
      </c>
      <c r="G83" s="652" t="s">
        <v>46</v>
      </c>
      <c r="H83" s="652" t="s">
        <v>53</v>
      </c>
      <c r="I83" s="653" t="s">
        <v>106</v>
      </c>
      <c r="J83" s="10"/>
      <c r="K83" s="26">
        <f>K84</f>
        <v>948.3</v>
      </c>
      <c r="L83" s="26">
        <f>L84</f>
        <v>192.5</v>
      </c>
      <c r="M83" s="26">
        <f>M84</f>
        <v>1140.8</v>
      </c>
    </row>
    <row r="84" spans="1:13" s="143" customFormat="1" ht="56.25" customHeight="1" x14ac:dyDescent="0.35">
      <c r="A84" s="11"/>
      <c r="B84" s="24" t="s">
        <v>56</v>
      </c>
      <c r="C84" s="25" t="s">
        <v>1</v>
      </c>
      <c r="D84" s="10" t="s">
        <v>38</v>
      </c>
      <c r="E84" s="10" t="s">
        <v>72</v>
      </c>
      <c r="F84" s="651" t="s">
        <v>42</v>
      </c>
      <c r="G84" s="652" t="s">
        <v>46</v>
      </c>
      <c r="H84" s="652" t="s">
        <v>53</v>
      </c>
      <c r="I84" s="653" t="s">
        <v>106</v>
      </c>
      <c r="J84" s="10" t="s">
        <v>57</v>
      </c>
      <c r="K84" s="26">
        <v>948.3</v>
      </c>
      <c r="L84" s="26">
        <f>M84-K84</f>
        <v>192.5</v>
      </c>
      <c r="M84" s="26">
        <f>948.3+192.5</f>
        <v>1140.8</v>
      </c>
    </row>
    <row r="85" spans="1:13" s="143" customFormat="1" ht="56.25" customHeight="1" x14ac:dyDescent="0.35">
      <c r="A85" s="11"/>
      <c r="B85" s="24" t="s">
        <v>361</v>
      </c>
      <c r="C85" s="25" t="s">
        <v>1</v>
      </c>
      <c r="D85" s="10" t="s">
        <v>38</v>
      </c>
      <c r="E85" s="10" t="s">
        <v>72</v>
      </c>
      <c r="F85" s="651" t="s">
        <v>42</v>
      </c>
      <c r="G85" s="652" t="s">
        <v>46</v>
      </c>
      <c r="H85" s="652" t="s">
        <v>53</v>
      </c>
      <c r="I85" s="653" t="s">
        <v>360</v>
      </c>
      <c r="J85" s="10"/>
      <c r="K85" s="26">
        <f>K86</f>
        <v>1994.8</v>
      </c>
      <c r="L85" s="26">
        <f>L86</f>
        <v>0</v>
      </c>
      <c r="M85" s="26">
        <f>M86</f>
        <v>1994.8</v>
      </c>
    </row>
    <row r="86" spans="1:13" s="143" customFormat="1" ht="56.25" customHeight="1" x14ac:dyDescent="0.35">
      <c r="A86" s="11"/>
      <c r="B86" s="24" t="s">
        <v>56</v>
      </c>
      <c r="C86" s="25" t="s">
        <v>1</v>
      </c>
      <c r="D86" s="10" t="s">
        <v>38</v>
      </c>
      <c r="E86" s="10" t="s">
        <v>72</v>
      </c>
      <c r="F86" s="651" t="s">
        <v>42</v>
      </c>
      <c r="G86" s="652" t="s">
        <v>46</v>
      </c>
      <c r="H86" s="652" t="s">
        <v>53</v>
      </c>
      <c r="I86" s="653" t="s">
        <v>360</v>
      </c>
      <c r="J86" s="10" t="s">
        <v>57</v>
      </c>
      <c r="K86" s="26">
        <v>1994.8</v>
      </c>
      <c r="L86" s="26">
        <f>M86-K86</f>
        <v>0</v>
      </c>
      <c r="M86" s="26">
        <v>1994.8</v>
      </c>
    </row>
    <row r="87" spans="1:13" s="143" customFormat="1" ht="35.25" customHeight="1" x14ac:dyDescent="0.35">
      <c r="A87" s="11"/>
      <c r="B87" s="24" t="s">
        <v>504</v>
      </c>
      <c r="C87" s="25" t="s">
        <v>1</v>
      </c>
      <c r="D87" s="10" t="s">
        <v>38</v>
      </c>
      <c r="E87" s="10" t="s">
        <v>72</v>
      </c>
      <c r="F87" s="651" t="s">
        <v>42</v>
      </c>
      <c r="G87" s="652" t="s">
        <v>46</v>
      </c>
      <c r="H87" s="652" t="s">
        <v>432</v>
      </c>
      <c r="I87" s="653" t="s">
        <v>45</v>
      </c>
      <c r="J87" s="10"/>
      <c r="K87" s="26">
        <f t="shared" ref="K87:M88" si="8">K88</f>
        <v>120.1</v>
      </c>
      <c r="L87" s="26">
        <f t="shared" si="8"/>
        <v>-46.8</v>
      </c>
      <c r="M87" s="26">
        <f t="shared" si="8"/>
        <v>73.3</v>
      </c>
    </row>
    <row r="88" spans="1:13" s="143" customFormat="1" ht="39" customHeight="1" x14ac:dyDescent="0.35">
      <c r="A88" s="11"/>
      <c r="B88" s="29" t="s">
        <v>128</v>
      </c>
      <c r="C88" s="25" t="s">
        <v>1</v>
      </c>
      <c r="D88" s="10" t="s">
        <v>38</v>
      </c>
      <c r="E88" s="10" t="s">
        <v>72</v>
      </c>
      <c r="F88" s="651" t="s">
        <v>42</v>
      </c>
      <c r="G88" s="652" t="s">
        <v>46</v>
      </c>
      <c r="H88" s="652" t="s">
        <v>432</v>
      </c>
      <c r="I88" s="653" t="s">
        <v>91</v>
      </c>
      <c r="J88" s="10"/>
      <c r="K88" s="26">
        <f t="shared" si="8"/>
        <v>120.1</v>
      </c>
      <c r="L88" s="26">
        <f t="shared" si="8"/>
        <v>-46.8</v>
      </c>
      <c r="M88" s="26">
        <f t="shared" si="8"/>
        <v>73.3</v>
      </c>
    </row>
    <row r="89" spans="1:13" s="143" customFormat="1" ht="56.25" customHeight="1" x14ac:dyDescent="0.35">
      <c r="A89" s="11"/>
      <c r="B89" s="24" t="s">
        <v>56</v>
      </c>
      <c r="C89" s="25" t="s">
        <v>1</v>
      </c>
      <c r="D89" s="10" t="s">
        <v>38</v>
      </c>
      <c r="E89" s="10" t="s">
        <v>72</v>
      </c>
      <c r="F89" s="651" t="s">
        <v>42</v>
      </c>
      <c r="G89" s="652" t="s">
        <v>46</v>
      </c>
      <c r="H89" s="652" t="s">
        <v>432</v>
      </c>
      <c r="I89" s="653" t="s">
        <v>91</v>
      </c>
      <c r="J89" s="10" t="s">
        <v>57</v>
      </c>
      <c r="K89" s="26">
        <v>120.1</v>
      </c>
      <c r="L89" s="26">
        <f>M89-K89</f>
        <v>-46.8</v>
      </c>
      <c r="M89" s="26">
        <f>120.1-46.8</f>
        <v>73.3</v>
      </c>
    </row>
    <row r="90" spans="1:13" s="143" customFormat="1" ht="35.25" customHeight="1" x14ac:dyDescent="0.35">
      <c r="A90" s="11"/>
      <c r="B90" s="24" t="s">
        <v>494</v>
      </c>
      <c r="C90" s="25" t="s">
        <v>1</v>
      </c>
      <c r="D90" s="10" t="s">
        <v>38</v>
      </c>
      <c r="E90" s="10" t="s">
        <v>72</v>
      </c>
      <c r="F90" s="651" t="s">
        <v>42</v>
      </c>
      <c r="G90" s="652" t="s">
        <v>46</v>
      </c>
      <c r="H90" s="652" t="s">
        <v>42</v>
      </c>
      <c r="I90" s="653" t="s">
        <v>45</v>
      </c>
      <c r="J90" s="10"/>
      <c r="K90" s="26">
        <f t="shared" ref="K90:M91" si="9">K91</f>
        <v>206.8</v>
      </c>
      <c r="L90" s="26">
        <f t="shared" si="9"/>
        <v>0</v>
      </c>
      <c r="M90" s="26">
        <f t="shared" si="9"/>
        <v>206.8</v>
      </c>
    </row>
    <row r="91" spans="1:13" s="143" customFormat="1" ht="25.5" customHeight="1" x14ac:dyDescent="0.35">
      <c r="A91" s="11"/>
      <c r="B91" s="29" t="s">
        <v>492</v>
      </c>
      <c r="C91" s="25" t="s">
        <v>1</v>
      </c>
      <c r="D91" s="10" t="s">
        <v>38</v>
      </c>
      <c r="E91" s="10" t="s">
        <v>72</v>
      </c>
      <c r="F91" s="651" t="s">
        <v>42</v>
      </c>
      <c r="G91" s="652" t="s">
        <v>46</v>
      </c>
      <c r="H91" s="652" t="s">
        <v>42</v>
      </c>
      <c r="I91" s="653" t="s">
        <v>493</v>
      </c>
      <c r="J91" s="10"/>
      <c r="K91" s="26">
        <f t="shared" si="9"/>
        <v>206.8</v>
      </c>
      <c r="L91" s="26">
        <f t="shared" si="9"/>
        <v>0</v>
      </c>
      <c r="M91" s="26">
        <f t="shared" si="9"/>
        <v>206.8</v>
      </c>
    </row>
    <row r="92" spans="1:13" s="143" customFormat="1" ht="56.25" customHeight="1" x14ac:dyDescent="0.35">
      <c r="A92" s="11"/>
      <c r="B92" s="24" t="s">
        <v>56</v>
      </c>
      <c r="C92" s="25" t="s">
        <v>1</v>
      </c>
      <c r="D92" s="10" t="s">
        <v>38</v>
      </c>
      <c r="E92" s="10" t="s">
        <v>72</v>
      </c>
      <c r="F92" s="651" t="s">
        <v>42</v>
      </c>
      <c r="G92" s="652" t="s">
        <v>46</v>
      </c>
      <c r="H92" s="652" t="s">
        <v>42</v>
      </c>
      <c r="I92" s="653" t="s">
        <v>493</v>
      </c>
      <c r="J92" s="10" t="s">
        <v>57</v>
      </c>
      <c r="K92" s="26">
        <f>60+146.8</f>
        <v>206.8</v>
      </c>
      <c r="L92" s="26">
        <f>M92-K92</f>
        <v>0</v>
      </c>
      <c r="M92" s="26">
        <f>60+146.8</f>
        <v>206.8</v>
      </c>
    </row>
    <row r="93" spans="1:13" s="143" customFormat="1" ht="36" x14ac:dyDescent="0.35">
      <c r="A93" s="11"/>
      <c r="B93" s="24" t="s">
        <v>381</v>
      </c>
      <c r="C93" s="25" t="s">
        <v>1</v>
      </c>
      <c r="D93" s="10" t="s">
        <v>38</v>
      </c>
      <c r="E93" s="10" t="s">
        <v>72</v>
      </c>
      <c r="F93" s="651" t="s">
        <v>42</v>
      </c>
      <c r="G93" s="652" t="s">
        <v>46</v>
      </c>
      <c r="H93" s="652" t="s">
        <v>704</v>
      </c>
      <c r="I93" s="653" t="s">
        <v>45</v>
      </c>
      <c r="J93" s="10"/>
      <c r="K93" s="26"/>
      <c r="L93" s="26">
        <f>L94</f>
        <v>3660.7</v>
      </c>
      <c r="M93" s="26">
        <f>M94</f>
        <v>3660.7</v>
      </c>
    </row>
    <row r="94" spans="1:13" s="143" customFormat="1" ht="36" x14ac:dyDescent="0.35">
      <c r="A94" s="11"/>
      <c r="B94" s="24" t="s">
        <v>341</v>
      </c>
      <c r="C94" s="25" t="s">
        <v>1</v>
      </c>
      <c r="D94" s="10" t="s">
        <v>38</v>
      </c>
      <c r="E94" s="10" t="s">
        <v>72</v>
      </c>
      <c r="F94" s="651" t="s">
        <v>42</v>
      </c>
      <c r="G94" s="652" t="s">
        <v>46</v>
      </c>
      <c r="H94" s="652" t="s">
        <v>704</v>
      </c>
      <c r="I94" s="653" t="s">
        <v>340</v>
      </c>
      <c r="J94" s="10"/>
      <c r="K94" s="26"/>
      <c r="L94" s="26">
        <f>L95+L96</f>
        <v>3660.7</v>
      </c>
      <c r="M94" s="26">
        <f>M95+M96</f>
        <v>3660.7</v>
      </c>
    </row>
    <row r="95" spans="1:13" s="143" customFormat="1" ht="56.25" customHeight="1" x14ac:dyDescent="0.35">
      <c r="A95" s="11"/>
      <c r="B95" s="24" t="s">
        <v>56</v>
      </c>
      <c r="C95" s="25" t="s">
        <v>1</v>
      </c>
      <c r="D95" s="10" t="s">
        <v>38</v>
      </c>
      <c r="E95" s="10" t="s">
        <v>72</v>
      </c>
      <c r="F95" s="651" t="s">
        <v>42</v>
      </c>
      <c r="G95" s="652" t="s">
        <v>46</v>
      </c>
      <c r="H95" s="652" t="s">
        <v>704</v>
      </c>
      <c r="I95" s="653" t="s">
        <v>340</v>
      </c>
      <c r="J95" s="10" t="s">
        <v>57</v>
      </c>
      <c r="K95" s="26"/>
      <c r="L95" s="26">
        <f>M95-K95</f>
        <v>530.70000000000005</v>
      </c>
      <c r="M95" s="26">
        <f>352+78.7+100</f>
        <v>530.70000000000005</v>
      </c>
    </row>
    <row r="96" spans="1:13" s="143" customFormat="1" ht="18" x14ac:dyDescent="0.35">
      <c r="A96" s="11"/>
      <c r="B96" s="24" t="s">
        <v>58</v>
      </c>
      <c r="C96" s="25" t="s">
        <v>1</v>
      </c>
      <c r="D96" s="10" t="s">
        <v>38</v>
      </c>
      <c r="E96" s="10" t="s">
        <v>72</v>
      </c>
      <c r="F96" s="651" t="s">
        <v>42</v>
      </c>
      <c r="G96" s="652" t="s">
        <v>46</v>
      </c>
      <c r="H96" s="652" t="s">
        <v>704</v>
      </c>
      <c r="I96" s="653" t="s">
        <v>340</v>
      </c>
      <c r="J96" s="10" t="s">
        <v>59</v>
      </c>
      <c r="K96" s="26"/>
      <c r="L96" s="26">
        <f>M96-K96</f>
        <v>3130</v>
      </c>
      <c r="M96" s="26">
        <v>3130</v>
      </c>
    </row>
    <row r="97" spans="1:13" s="143" customFormat="1" ht="37.5" customHeight="1" x14ac:dyDescent="0.35">
      <c r="A97" s="11"/>
      <c r="B97" s="24" t="s">
        <v>79</v>
      </c>
      <c r="C97" s="25" t="s">
        <v>1</v>
      </c>
      <c r="D97" s="10" t="s">
        <v>64</v>
      </c>
      <c r="E97" s="10"/>
      <c r="F97" s="651"/>
      <c r="G97" s="652"/>
      <c r="H97" s="652"/>
      <c r="I97" s="653"/>
      <c r="J97" s="10"/>
      <c r="K97" s="26">
        <f>K98+K110</f>
        <v>26437.699999999997</v>
      </c>
      <c r="L97" s="26">
        <f>L98+L110</f>
        <v>4421.8</v>
      </c>
      <c r="M97" s="26">
        <f>M98+M110</f>
        <v>30859.5</v>
      </c>
    </row>
    <row r="98" spans="1:13" s="143" customFormat="1" ht="72.75" customHeight="1" x14ac:dyDescent="0.35">
      <c r="A98" s="11"/>
      <c r="B98" s="24" t="s">
        <v>488</v>
      </c>
      <c r="C98" s="25" t="s">
        <v>1</v>
      </c>
      <c r="D98" s="10" t="s">
        <v>64</v>
      </c>
      <c r="E98" s="10" t="s">
        <v>105</v>
      </c>
      <c r="F98" s="651"/>
      <c r="G98" s="652"/>
      <c r="H98" s="652"/>
      <c r="I98" s="653"/>
      <c r="J98" s="10"/>
      <c r="K98" s="26">
        <f t="shared" ref="K98:M100" si="10">K99</f>
        <v>11875.199999999999</v>
      </c>
      <c r="L98" s="26">
        <f t="shared" si="10"/>
        <v>0</v>
      </c>
      <c r="M98" s="26">
        <f t="shared" si="10"/>
        <v>11875.199999999999</v>
      </c>
    </row>
    <row r="99" spans="1:13" s="143" customFormat="1" ht="57" customHeight="1" x14ac:dyDescent="0.35">
      <c r="A99" s="11"/>
      <c r="B99" s="24" t="s">
        <v>81</v>
      </c>
      <c r="C99" s="25" t="s">
        <v>1</v>
      </c>
      <c r="D99" s="10" t="s">
        <v>64</v>
      </c>
      <c r="E99" s="10" t="s">
        <v>105</v>
      </c>
      <c r="F99" s="651" t="s">
        <v>82</v>
      </c>
      <c r="G99" s="652" t="s">
        <v>43</v>
      </c>
      <c r="H99" s="652" t="s">
        <v>44</v>
      </c>
      <c r="I99" s="653" t="s">
        <v>45</v>
      </c>
      <c r="J99" s="10"/>
      <c r="K99" s="26">
        <f t="shared" si="10"/>
        <v>11875.199999999999</v>
      </c>
      <c r="L99" s="26">
        <f t="shared" si="10"/>
        <v>0</v>
      </c>
      <c r="M99" s="26">
        <f t="shared" si="10"/>
        <v>11875.199999999999</v>
      </c>
    </row>
    <row r="100" spans="1:13" s="143" customFormat="1" ht="58.5" customHeight="1" x14ac:dyDescent="0.35">
      <c r="A100" s="11"/>
      <c r="B100" s="30" t="s">
        <v>83</v>
      </c>
      <c r="C100" s="25" t="s">
        <v>1</v>
      </c>
      <c r="D100" s="10" t="s">
        <v>64</v>
      </c>
      <c r="E100" s="10" t="s">
        <v>105</v>
      </c>
      <c r="F100" s="651" t="s">
        <v>82</v>
      </c>
      <c r="G100" s="652" t="s">
        <v>46</v>
      </c>
      <c r="H100" s="652" t="s">
        <v>44</v>
      </c>
      <c r="I100" s="653" t="s">
        <v>45</v>
      </c>
      <c r="J100" s="10"/>
      <c r="K100" s="26">
        <f t="shared" si="10"/>
        <v>11875.199999999999</v>
      </c>
      <c r="L100" s="26">
        <f t="shared" si="10"/>
        <v>0</v>
      </c>
      <c r="M100" s="26">
        <f t="shared" si="10"/>
        <v>11875.199999999999</v>
      </c>
    </row>
    <row r="101" spans="1:13" s="143" customFormat="1" ht="78.75" customHeight="1" x14ac:dyDescent="0.35">
      <c r="A101" s="11"/>
      <c r="B101" s="24" t="s">
        <v>84</v>
      </c>
      <c r="C101" s="25" t="s">
        <v>1</v>
      </c>
      <c r="D101" s="10" t="s">
        <v>64</v>
      </c>
      <c r="E101" s="10" t="s">
        <v>105</v>
      </c>
      <c r="F101" s="651" t="s">
        <v>82</v>
      </c>
      <c r="G101" s="652" t="s">
        <v>46</v>
      </c>
      <c r="H101" s="652" t="s">
        <v>38</v>
      </c>
      <c r="I101" s="653" t="s">
        <v>45</v>
      </c>
      <c r="J101" s="10"/>
      <c r="K101" s="26">
        <f>K102+K104+K106+K109</f>
        <v>11875.199999999999</v>
      </c>
      <c r="L101" s="26">
        <f>L102+L104+L106+L109</f>
        <v>0</v>
      </c>
      <c r="M101" s="26">
        <f>M102+M104+M106+M109</f>
        <v>11875.199999999999</v>
      </c>
    </row>
    <row r="102" spans="1:13" s="143" customFormat="1" ht="37.5" customHeight="1" x14ac:dyDescent="0.35">
      <c r="A102" s="11"/>
      <c r="B102" s="30" t="s">
        <v>475</v>
      </c>
      <c r="C102" s="25" t="s">
        <v>1</v>
      </c>
      <c r="D102" s="10" t="s">
        <v>64</v>
      </c>
      <c r="E102" s="10" t="s">
        <v>105</v>
      </c>
      <c r="F102" s="651" t="s">
        <v>82</v>
      </c>
      <c r="G102" s="652" t="s">
        <v>46</v>
      </c>
      <c r="H102" s="652" t="s">
        <v>38</v>
      </c>
      <c r="I102" s="653" t="s">
        <v>85</v>
      </c>
      <c r="J102" s="10"/>
      <c r="K102" s="26">
        <f>K103</f>
        <v>298.39999999999998</v>
      </c>
      <c r="L102" s="26">
        <f>L103</f>
        <v>0</v>
      </c>
      <c r="M102" s="26">
        <f>M103</f>
        <v>298.39999999999998</v>
      </c>
    </row>
    <row r="103" spans="1:13" s="143" customFormat="1" ht="56.25" customHeight="1" x14ac:dyDescent="0.35">
      <c r="A103" s="11"/>
      <c r="B103" s="24" t="s">
        <v>56</v>
      </c>
      <c r="C103" s="25" t="s">
        <v>1</v>
      </c>
      <c r="D103" s="10" t="s">
        <v>64</v>
      </c>
      <c r="E103" s="10" t="s">
        <v>105</v>
      </c>
      <c r="F103" s="651" t="s">
        <v>82</v>
      </c>
      <c r="G103" s="652" t="s">
        <v>46</v>
      </c>
      <c r="H103" s="652" t="s">
        <v>38</v>
      </c>
      <c r="I103" s="653" t="s">
        <v>85</v>
      </c>
      <c r="J103" s="10" t="s">
        <v>57</v>
      </c>
      <c r="K103" s="26">
        <v>298.39999999999998</v>
      </c>
      <c r="L103" s="26">
        <f>M103-K103</f>
        <v>0</v>
      </c>
      <c r="M103" s="26">
        <v>298.39999999999998</v>
      </c>
    </row>
    <row r="104" spans="1:13" s="143" customFormat="1" ht="56.25" customHeight="1" x14ac:dyDescent="0.35">
      <c r="A104" s="11"/>
      <c r="B104" s="24" t="s">
        <v>86</v>
      </c>
      <c r="C104" s="25" t="s">
        <v>1</v>
      </c>
      <c r="D104" s="10" t="s">
        <v>64</v>
      </c>
      <c r="E104" s="10" t="s">
        <v>105</v>
      </c>
      <c r="F104" s="651" t="s">
        <v>82</v>
      </c>
      <c r="G104" s="652" t="s">
        <v>46</v>
      </c>
      <c r="H104" s="652" t="s">
        <v>38</v>
      </c>
      <c r="I104" s="653" t="s">
        <v>87</v>
      </c>
      <c r="J104" s="10"/>
      <c r="K104" s="26">
        <f>K105</f>
        <v>223.9</v>
      </c>
      <c r="L104" s="26">
        <f>L105</f>
        <v>0</v>
      </c>
      <c r="M104" s="26">
        <f>M105</f>
        <v>223.9</v>
      </c>
    </row>
    <row r="105" spans="1:13" s="143" customFormat="1" ht="56.25" customHeight="1" x14ac:dyDescent="0.35">
      <c r="A105" s="11"/>
      <c r="B105" s="24" t="s">
        <v>56</v>
      </c>
      <c r="C105" s="25" t="s">
        <v>1</v>
      </c>
      <c r="D105" s="10" t="s">
        <v>64</v>
      </c>
      <c r="E105" s="10" t="s">
        <v>105</v>
      </c>
      <c r="F105" s="651" t="s">
        <v>82</v>
      </c>
      <c r="G105" s="652" t="s">
        <v>46</v>
      </c>
      <c r="H105" s="652" t="s">
        <v>38</v>
      </c>
      <c r="I105" s="653" t="s">
        <v>87</v>
      </c>
      <c r="J105" s="10" t="s">
        <v>57</v>
      </c>
      <c r="K105" s="26">
        <v>223.9</v>
      </c>
      <c r="L105" s="26">
        <f>M105-K105</f>
        <v>0</v>
      </c>
      <c r="M105" s="26">
        <v>223.9</v>
      </c>
    </row>
    <row r="106" spans="1:13" s="143" customFormat="1" ht="94.5" customHeight="1" x14ac:dyDescent="0.35">
      <c r="A106" s="11"/>
      <c r="B106" s="24" t="s">
        <v>344</v>
      </c>
      <c r="C106" s="25" t="s">
        <v>1</v>
      </c>
      <c r="D106" s="10" t="s">
        <v>64</v>
      </c>
      <c r="E106" s="10" t="s">
        <v>105</v>
      </c>
      <c r="F106" s="651" t="s">
        <v>82</v>
      </c>
      <c r="G106" s="652" t="s">
        <v>46</v>
      </c>
      <c r="H106" s="652" t="s">
        <v>38</v>
      </c>
      <c r="I106" s="653" t="s">
        <v>332</v>
      </c>
      <c r="J106" s="10"/>
      <c r="K106" s="26">
        <f>K107</f>
        <v>11340.5</v>
      </c>
      <c r="L106" s="26">
        <f>L107</f>
        <v>0</v>
      </c>
      <c r="M106" s="26">
        <f>M107</f>
        <v>11340.5</v>
      </c>
    </row>
    <row r="107" spans="1:13" s="143" customFormat="1" ht="18.75" customHeight="1" x14ac:dyDescent="0.35">
      <c r="A107" s="11"/>
      <c r="B107" s="24" t="s">
        <v>124</v>
      </c>
      <c r="C107" s="25" t="s">
        <v>1</v>
      </c>
      <c r="D107" s="10" t="s">
        <v>64</v>
      </c>
      <c r="E107" s="10" t="s">
        <v>105</v>
      </c>
      <c r="F107" s="651" t="s">
        <v>82</v>
      </c>
      <c r="G107" s="652" t="s">
        <v>46</v>
      </c>
      <c r="H107" s="652" t="s">
        <v>38</v>
      </c>
      <c r="I107" s="653" t="s">
        <v>332</v>
      </c>
      <c r="J107" s="10" t="s">
        <v>125</v>
      </c>
      <c r="K107" s="26">
        <f>3075.3+8265.2</f>
        <v>11340.5</v>
      </c>
      <c r="L107" s="26">
        <f>M107-K107</f>
        <v>0</v>
      </c>
      <c r="M107" s="26">
        <f>3075.3+8265.2</f>
        <v>11340.5</v>
      </c>
    </row>
    <row r="108" spans="1:13" s="143" customFormat="1" ht="131.25" customHeight="1" x14ac:dyDescent="0.35">
      <c r="A108" s="11"/>
      <c r="B108" s="24" t="s">
        <v>346</v>
      </c>
      <c r="C108" s="25" t="s">
        <v>1</v>
      </c>
      <c r="D108" s="10" t="s">
        <v>64</v>
      </c>
      <c r="E108" s="10" t="s">
        <v>105</v>
      </c>
      <c r="F108" s="651" t="s">
        <v>82</v>
      </c>
      <c r="G108" s="652" t="s">
        <v>46</v>
      </c>
      <c r="H108" s="652" t="s">
        <v>38</v>
      </c>
      <c r="I108" s="653" t="s">
        <v>333</v>
      </c>
      <c r="J108" s="10"/>
      <c r="K108" s="26">
        <f>K109</f>
        <v>12.4</v>
      </c>
      <c r="L108" s="26">
        <f>L109</f>
        <v>0</v>
      </c>
      <c r="M108" s="26">
        <f>M109</f>
        <v>12.4</v>
      </c>
    </row>
    <row r="109" spans="1:13" s="143" customFormat="1" ht="18.75" customHeight="1" x14ac:dyDescent="0.35">
      <c r="A109" s="11"/>
      <c r="B109" s="24" t="s">
        <v>124</v>
      </c>
      <c r="C109" s="25" t="s">
        <v>1</v>
      </c>
      <c r="D109" s="10" t="s">
        <v>64</v>
      </c>
      <c r="E109" s="10" t="s">
        <v>105</v>
      </c>
      <c r="F109" s="651" t="s">
        <v>82</v>
      </c>
      <c r="G109" s="652" t="s">
        <v>46</v>
      </c>
      <c r="H109" s="652" t="s">
        <v>38</v>
      </c>
      <c r="I109" s="653" t="s">
        <v>333</v>
      </c>
      <c r="J109" s="10" t="s">
        <v>125</v>
      </c>
      <c r="K109" s="26">
        <v>12.4</v>
      </c>
      <c r="L109" s="26">
        <f>M109-K109</f>
        <v>0</v>
      </c>
      <c r="M109" s="26">
        <v>12.4</v>
      </c>
    </row>
    <row r="110" spans="1:13" s="143" customFormat="1" ht="56.25" customHeight="1" x14ac:dyDescent="0.35">
      <c r="A110" s="11"/>
      <c r="B110" s="29" t="s">
        <v>88</v>
      </c>
      <c r="C110" s="25" t="s">
        <v>1</v>
      </c>
      <c r="D110" s="10" t="s">
        <v>64</v>
      </c>
      <c r="E110" s="10" t="s">
        <v>89</v>
      </c>
      <c r="F110" s="651"/>
      <c r="G110" s="652"/>
      <c r="H110" s="652"/>
      <c r="I110" s="653"/>
      <c r="J110" s="10"/>
      <c r="K110" s="26">
        <f>K111</f>
        <v>14562.5</v>
      </c>
      <c r="L110" s="26">
        <f>L111</f>
        <v>4421.8</v>
      </c>
      <c r="M110" s="26">
        <f>M111</f>
        <v>18984.3</v>
      </c>
    </row>
    <row r="111" spans="1:13" s="143" customFormat="1" ht="60.75" customHeight="1" x14ac:dyDescent="0.35">
      <c r="A111" s="11"/>
      <c r="B111" s="24" t="s">
        <v>81</v>
      </c>
      <c r="C111" s="25" t="s">
        <v>1</v>
      </c>
      <c r="D111" s="10" t="s">
        <v>64</v>
      </c>
      <c r="E111" s="10" t="s">
        <v>89</v>
      </c>
      <c r="F111" s="651" t="s">
        <v>82</v>
      </c>
      <c r="G111" s="652" t="s">
        <v>43</v>
      </c>
      <c r="H111" s="652" t="s">
        <v>44</v>
      </c>
      <c r="I111" s="653" t="s">
        <v>45</v>
      </c>
      <c r="J111" s="10"/>
      <c r="K111" s="26">
        <f>K112+K121+K130</f>
        <v>14562.5</v>
      </c>
      <c r="L111" s="26">
        <f>L112+L121+L130</f>
        <v>4421.8</v>
      </c>
      <c r="M111" s="26">
        <f>M112+M121+M130</f>
        <v>18984.3</v>
      </c>
    </row>
    <row r="112" spans="1:13" s="143" customFormat="1" ht="37.5" customHeight="1" x14ac:dyDescent="0.35">
      <c r="A112" s="11"/>
      <c r="B112" s="29" t="s">
        <v>126</v>
      </c>
      <c r="C112" s="25" t="s">
        <v>1</v>
      </c>
      <c r="D112" s="10" t="s">
        <v>64</v>
      </c>
      <c r="E112" s="10" t="s">
        <v>89</v>
      </c>
      <c r="F112" s="651" t="s">
        <v>82</v>
      </c>
      <c r="G112" s="652" t="s">
        <v>90</v>
      </c>
      <c r="H112" s="652" t="s">
        <v>44</v>
      </c>
      <c r="I112" s="653" t="s">
        <v>45</v>
      </c>
      <c r="J112" s="10"/>
      <c r="K112" s="26">
        <f>K118+K113</f>
        <v>1842.1</v>
      </c>
      <c r="L112" s="26">
        <f>L118+L113</f>
        <v>-54.300000000000011</v>
      </c>
      <c r="M112" s="26">
        <f>M118+M113</f>
        <v>1787.8</v>
      </c>
    </row>
    <row r="113" spans="1:13" s="143" customFormat="1" ht="44.25" customHeight="1" x14ac:dyDescent="0.35">
      <c r="A113" s="11"/>
      <c r="B113" s="29" t="s">
        <v>272</v>
      </c>
      <c r="C113" s="25" t="s">
        <v>1</v>
      </c>
      <c r="D113" s="10" t="s">
        <v>64</v>
      </c>
      <c r="E113" s="10" t="s">
        <v>89</v>
      </c>
      <c r="F113" s="651" t="s">
        <v>82</v>
      </c>
      <c r="G113" s="652" t="s">
        <v>90</v>
      </c>
      <c r="H113" s="652" t="s">
        <v>38</v>
      </c>
      <c r="I113" s="653" t="s">
        <v>45</v>
      </c>
      <c r="J113" s="10"/>
      <c r="K113" s="26">
        <f>K116+K114</f>
        <v>1398.5</v>
      </c>
      <c r="L113" s="26">
        <f>L116+L114</f>
        <v>0</v>
      </c>
      <c r="M113" s="26">
        <f>M116+M114</f>
        <v>1398.5</v>
      </c>
    </row>
    <row r="114" spans="1:13" s="143" customFormat="1" ht="37.5" customHeight="1" x14ac:dyDescent="0.35">
      <c r="A114" s="11"/>
      <c r="B114" s="27" t="s">
        <v>128</v>
      </c>
      <c r="C114" s="25" t="s">
        <v>1</v>
      </c>
      <c r="D114" s="10" t="s">
        <v>64</v>
      </c>
      <c r="E114" s="10" t="s">
        <v>89</v>
      </c>
      <c r="F114" s="651" t="s">
        <v>82</v>
      </c>
      <c r="G114" s="652" t="s">
        <v>90</v>
      </c>
      <c r="H114" s="652" t="s">
        <v>38</v>
      </c>
      <c r="I114" s="653" t="s">
        <v>91</v>
      </c>
      <c r="J114" s="10"/>
      <c r="K114" s="26">
        <f>K115</f>
        <v>1276.4000000000001</v>
      </c>
      <c r="L114" s="26">
        <f>L115</f>
        <v>0</v>
      </c>
      <c r="M114" s="26">
        <f>M115</f>
        <v>1276.4000000000001</v>
      </c>
    </row>
    <row r="115" spans="1:13" s="143" customFormat="1" ht="56.25" customHeight="1" x14ac:dyDescent="0.35">
      <c r="A115" s="11"/>
      <c r="B115" s="24" t="s">
        <v>56</v>
      </c>
      <c r="C115" s="25" t="s">
        <v>1</v>
      </c>
      <c r="D115" s="10" t="s">
        <v>64</v>
      </c>
      <c r="E115" s="10" t="s">
        <v>89</v>
      </c>
      <c r="F115" s="651" t="s">
        <v>82</v>
      </c>
      <c r="G115" s="652" t="s">
        <v>90</v>
      </c>
      <c r="H115" s="652" t="s">
        <v>38</v>
      </c>
      <c r="I115" s="653" t="s">
        <v>91</v>
      </c>
      <c r="J115" s="10" t="s">
        <v>57</v>
      </c>
      <c r="K115" s="26">
        <f>1370.8+215-309.4</f>
        <v>1276.4000000000001</v>
      </c>
      <c r="L115" s="26">
        <f>M115-K115</f>
        <v>0</v>
      </c>
      <c r="M115" s="26">
        <f>1370.8+215-309.4</f>
        <v>1276.4000000000001</v>
      </c>
    </row>
    <row r="116" spans="1:13" s="143" customFormat="1" ht="107.4" customHeight="1" x14ac:dyDescent="0.35">
      <c r="A116" s="11"/>
      <c r="B116" s="29" t="s">
        <v>345</v>
      </c>
      <c r="C116" s="25" t="s">
        <v>1</v>
      </c>
      <c r="D116" s="10" t="s">
        <v>64</v>
      </c>
      <c r="E116" s="10" t="s">
        <v>89</v>
      </c>
      <c r="F116" s="651" t="s">
        <v>82</v>
      </c>
      <c r="G116" s="652" t="s">
        <v>90</v>
      </c>
      <c r="H116" s="652" t="s">
        <v>38</v>
      </c>
      <c r="I116" s="653" t="s">
        <v>334</v>
      </c>
      <c r="J116" s="10"/>
      <c r="K116" s="26">
        <f>K117</f>
        <v>122.1</v>
      </c>
      <c r="L116" s="26">
        <f>L117</f>
        <v>0</v>
      </c>
      <c r="M116" s="26">
        <f>M117</f>
        <v>122.1</v>
      </c>
    </row>
    <row r="117" spans="1:13" s="143" customFormat="1" ht="18.75" customHeight="1" x14ac:dyDescent="0.35">
      <c r="A117" s="11"/>
      <c r="B117" s="29" t="s">
        <v>124</v>
      </c>
      <c r="C117" s="25" t="s">
        <v>1</v>
      </c>
      <c r="D117" s="10" t="s">
        <v>64</v>
      </c>
      <c r="E117" s="10" t="s">
        <v>89</v>
      </c>
      <c r="F117" s="651" t="s">
        <v>82</v>
      </c>
      <c r="G117" s="652" t="s">
        <v>90</v>
      </c>
      <c r="H117" s="652" t="s">
        <v>38</v>
      </c>
      <c r="I117" s="653" t="s">
        <v>334</v>
      </c>
      <c r="J117" s="10" t="s">
        <v>125</v>
      </c>
      <c r="K117" s="26">
        <v>122.1</v>
      </c>
      <c r="L117" s="26">
        <f>M117-K117</f>
        <v>0</v>
      </c>
      <c r="M117" s="26">
        <v>122.1</v>
      </c>
    </row>
    <row r="118" spans="1:13" s="143" customFormat="1" ht="56.25" customHeight="1" x14ac:dyDescent="0.35">
      <c r="A118" s="11"/>
      <c r="B118" s="27" t="s">
        <v>127</v>
      </c>
      <c r="C118" s="25" t="s">
        <v>1</v>
      </c>
      <c r="D118" s="10" t="s">
        <v>64</v>
      </c>
      <c r="E118" s="10" t="s">
        <v>89</v>
      </c>
      <c r="F118" s="651" t="s">
        <v>82</v>
      </c>
      <c r="G118" s="652" t="s">
        <v>90</v>
      </c>
      <c r="H118" s="652" t="s">
        <v>40</v>
      </c>
      <c r="I118" s="653" t="s">
        <v>45</v>
      </c>
      <c r="J118" s="10"/>
      <c r="K118" s="26">
        <f t="shared" ref="K118:M119" si="11">K119</f>
        <v>443.6</v>
      </c>
      <c r="L118" s="26">
        <f t="shared" si="11"/>
        <v>-54.300000000000011</v>
      </c>
      <c r="M118" s="26">
        <f t="shared" si="11"/>
        <v>389.3</v>
      </c>
    </row>
    <row r="119" spans="1:13" s="143" customFormat="1" ht="37.5" customHeight="1" x14ac:dyDescent="0.35">
      <c r="A119" s="11"/>
      <c r="B119" s="27" t="s">
        <v>128</v>
      </c>
      <c r="C119" s="25" t="s">
        <v>1</v>
      </c>
      <c r="D119" s="10" t="s">
        <v>64</v>
      </c>
      <c r="E119" s="10" t="s">
        <v>89</v>
      </c>
      <c r="F119" s="651" t="s">
        <v>82</v>
      </c>
      <c r="G119" s="652" t="s">
        <v>90</v>
      </c>
      <c r="H119" s="652" t="s">
        <v>40</v>
      </c>
      <c r="I119" s="653" t="s">
        <v>91</v>
      </c>
      <c r="J119" s="10"/>
      <c r="K119" s="26">
        <f t="shared" si="11"/>
        <v>443.6</v>
      </c>
      <c r="L119" s="26">
        <f t="shared" si="11"/>
        <v>-54.300000000000011</v>
      </c>
      <c r="M119" s="26">
        <f t="shared" si="11"/>
        <v>389.3</v>
      </c>
    </row>
    <row r="120" spans="1:13" s="143" customFormat="1" ht="56.25" customHeight="1" x14ac:dyDescent="0.35">
      <c r="A120" s="11"/>
      <c r="B120" s="24" t="s">
        <v>56</v>
      </c>
      <c r="C120" s="25" t="s">
        <v>1</v>
      </c>
      <c r="D120" s="10" t="s">
        <v>64</v>
      </c>
      <c r="E120" s="10" t="s">
        <v>89</v>
      </c>
      <c r="F120" s="651" t="s">
        <v>82</v>
      </c>
      <c r="G120" s="652" t="s">
        <v>90</v>
      </c>
      <c r="H120" s="652" t="s">
        <v>40</v>
      </c>
      <c r="I120" s="653" t="s">
        <v>91</v>
      </c>
      <c r="J120" s="10" t="s">
        <v>57</v>
      </c>
      <c r="K120" s="26">
        <v>443.6</v>
      </c>
      <c r="L120" s="26">
        <f>M120-K120</f>
        <v>-54.300000000000011</v>
      </c>
      <c r="M120" s="26">
        <f>443.6-54.3</f>
        <v>389.3</v>
      </c>
    </row>
    <row r="121" spans="1:13" s="143" customFormat="1" ht="75" customHeight="1" x14ac:dyDescent="0.35">
      <c r="A121" s="11"/>
      <c r="B121" s="29" t="s">
        <v>375</v>
      </c>
      <c r="C121" s="25" t="s">
        <v>1</v>
      </c>
      <c r="D121" s="10" t="s">
        <v>64</v>
      </c>
      <c r="E121" s="10" t="s">
        <v>89</v>
      </c>
      <c r="F121" s="651" t="s">
        <v>82</v>
      </c>
      <c r="G121" s="652" t="s">
        <v>31</v>
      </c>
      <c r="H121" s="652" t="s">
        <v>44</v>
      </c>
      <c r="I121" s="653" t="s">
        <v>45</v>
      </c>
      <c r="J121" s="10"/>
      <c r="K121" s="26">
        <f>K122+K127</f>
        <v>12698.6</v>
      </c>
      <c r="L121" s="26">
        <f>L122+L127</f>
        <v>4476.1000000000004</v>
      </c>
      <c r="M121" s="26">
        <f>M122+M127</f>
        <v>17174.7</v>
      </c>
    </row>
    <row r="122" spans="1:13" s="143" customFormat="1" ht="75.599999999999994" customHeight="1" x14ac:dyDescent="0.35">
      <c r="A122" s="11"/>
      <c r="B122" s="27" t="s">
        <v>326</v>
      </c>
      <c r="C122" s="25" t="s">
        <v>1</v>
      </c>
      <c r="D122" s="10" t="s">
        <v>64</v>
      </c>
      <c r="E122" s="10" t="s">
        <v>89</v>
      </c>
      <c r="F122" s="651" t="s">
        <v>82</v>
      </c>
      <c r="G122" s="652" t="s">
        <v>31</v>
      </c>
      <c r="H122" s="652" t="s">
        <v>38</v>
      </c>
      <c r="I122" s="653" t="s">
        <v>45</v>
      </c>
      <c r="J122" s="10"/>
      <c r="K122" s="26">
        <f>K123</f>
        <v>12402.1</v>
      </c>
      <c r="L122" s="26">
        <f>L123</f>
        <v>4257.7000000000007</v>
      </c>
      <c r="M122" s="26">
        <f>M123</f>
        <v>16659.8</v>
      </c>
    </row>
    <row r="123" spans="1:13" s="143" customFormat="1" ht="45.75" customHeight="1" x14ac:dyDescent="0.35">
      <c r="A123" s="11"/>
      <c r="B123" s="27" t="s">
        <v>490</v>
      </c>
      <c r="C123" s="25" t="s">
        <v>1</v>
      </c>
      <c r="D123" s="10" t="s">
        <v>64</v>
      </c>
      <c r="E123" s="10" t="s">
        <v>89</v>
      </c>
      <c r="F123" s="651" t="s">
        <v>82</v>
      </c>
      <c r="G123" s="652" t="s">
        <v>31</v>
      </c>
      <c r="H123" s="652" t="s">
        <v>38</v>
      </c>
      <c r="I123" s="653" t="s">
        <v>92</v>
      </c>
      <c r="J123" s="10"/>
      <c r="K123" s="26">
        <f>K124+K125+K126</f>
        <v>12402.1</v>
      </c>
      <c r="L123" s="26">
        <f>L124+L125+L126</f>
        <v>4257.7000000000007</v>
      </c>
      <c r="M123" s="26">
        <f>M124+M125+M126</f>
        <v>16659.8</v>
      </c>
    </row>
    <row r="124" spans="1:13" s="143" customFormat="1" ht="112.5" customHeight="1" x14ac:dyDescent="0.35">
      <c r="A124" s="11"/>
      <c r="B124" s="24" t="s">
        <v>50</v>
      </c>
      <c r="C124" s="25" t="s">
        <v>1</v>
      </c>
      <c r="D124" s="10" t="s">
        <v>64</v>
      </c>
      <c r="E124" s="10" t="s">
        <v>89</v>
      </c>
      <c r="F124" s="651" t="s">
        <v>82</v>
      </c>
      <c r="G124" s="652" t="s">
        <v>31</v>
      </c>
      <c r="H124" s="652" t="s">
        <v>38</v>
      </c>
      <c r="I124" s="653" t="s">
        <v>92</v>
      </c>
      <c r="J124" s="10" t="s">
        <v>51</v>
      </c>
      <c r="K124" s="26">
        <f>10298.6+40.2+413+542.5-1000</f>
        <v>10294.300000000001</v>
      </c>
      <c r="L124" s="26">
        <f>M124-K124</f>
        <v>1092.5</v>
      </c>
      <c r="M124" s="26">
        <f>10298.6+40.2+413+542.5-1000+92.5+1000</f>
        <v>11386.800000000001</v>
      </c>
    </row>
    <row r="125" spans="1:13" s="143" customFormat="1" ht="56.25" customHeight="1" x14ac:dyDescent="0.35">
      <c r="A125" s="11"/>
      <c r="B125" s="24" t="s">
        <v>56</v>
      </c>
      <c r="C125" s="25" t="s">
        <v>1</v>
      </c>
      <c r="D125" s="10" t="s">
        <v>64</v>
      </c>
      <c r="E125" s="10" t="s">
        <v>89</v>
      </c>
      <c r="F125" s="651" t="s">
        <v>82</v>
      </c>
      <c r="G125" s="652" t="s">
        <v>31</v>
      </c>
      <c r="H125" s="652" t="s">
        <v>38</v>
      </c>
      <c r="I125" s="653" t="s">
        <v>92</v>
      </c>
      <c r="J125" s="10" t="s">
        <v>57</v>
      </c>
      <c r="K125" s="26">
        <f>2032.9+67.9+0.7</f>
        <v>2101.5</v>
      </c>
      <c r="L125" s="26">
        <f>M125-K125</f>
        <v>3165.2000000000007</v>
      </c>
      <c r="M125" s="26">
        <f>2032.9+67.9+0.7+200+2841.1+124.1</f>
        <v>5266.7000000000007</v>
      </c>
    </row>
    <row r="126" spans="1:13" s="143" customFormat="1" ht="18.75" customHeight="1" x14ac:dyDescent="0.35">
      <c r="A126" s="11"/>
      <c r="B126" s="24" t="s">
        <v>58</v>
      </c>
      <c r="C126" s="25" t="s">
        <v>1</v>
      </c>
      <c r="D126" s="10" t="s">
        <v>64</v>
      </c>
      <c r="E126" s="10" t="s">
        <v>89</v>
      </c>
      <c r="F126" s="651" t="s">
        <v>82</v>
      </c>
      <c r="G126" s="652" t="s">
        <v>31</v>
      </c>
      <c r="H126" s="652" t="s">
        <v>38</v>
      </c>
      <c r="I126" s="653" t="s">
        <v>92</v>
      </c>
      <c r="J126" s="10" t="s">
        <v>59</v>
      </c>
      <c r="K126" s="26">
        <v>6.3</v>
      </c>
      <c r="L126" s="26">
        <f>M126-K126</f>
        <v>0</v>
      </c>
      <c r="M126" s="26">
        <v>6.3</v>
      </c>
    </row>
    <row r="127" spans="1:13" s="143" customFormat="1" ht="36" x14ac:dyDescent="0.35">
      <c r="A127" s="11"/>
      <c r="B127" s="442" t="s">
        <v>670</v>
      </c>
      <c r="C127" s="25" t="s">
        <v>1</v>
      </c>
      <c r="D127" s="10" t="s">
        <v>64</v>
      </c>
      <c r="E127" s="10" t="s">
        <v>89</v>
      </c>
      <c r="F127" s="651" t="s">
        <v>82</v>
      </c>
      <c r="G127" s="652" t="s">
        <v>31</v>
      </c>
      <c r="H127" s="652" t="s">
        <v>40</v>
      </c>
      <c r="I127" s="653" t="s">
        <v>45</v>
      </c>
      <c r="J127" s="10"/>
      <c r="K127" s="26">
        <f t="shared" ref="K127:M128" si="12">K128</f>
        <v>296.5</v>
      </c>
      <c r="L127" s="26">
        <f t="shared" si="12"/>
        <v>218.39999999999998</v>
      </c>
      <c r="M127" s="26">
        <f t="shared" si="12"/>
        <v>514.9</v>
      </c>
    </row>
    <row r="128" spans="1:13" s="143" customFormat="1" ht="54" x14ac:dyDescent="0.35">
      <c r="A128" s="11"/>
      <c r="B128" s="442" t="s">
        <v>86</v>
      </c>
      <c r="C128" s="25" t="s">
        <v>1</v>
      </c>
      <c r="D128" s="10" t="s">
        <v>64</v>
      </c>
      <c r="E128" s="10" t="s">
        <v>89</v>
      </c>
      <c r="F128" s="651" t="s">
        <v>82</v>
      </c>
      <c r="G128" s="652" t="s">
        <v>31</v>
      </c>
      <c r="H128" s="652" t="s">
        <v>40</v>
      </c>
      <c r="I128" s="653" t="s">
        <v>87</v>
      </c>
      <c r="J128" s="10"/>
      <c r="K128" s="26">
        <f t="shared" si="12"/>
        <v>296.5</v>
      </c>
      <c r="L128" s="26">
        <f t="shared" si="12"/>
        <v>218.39999999999998</v>
      </c>
      <c r="M128" s="26">
        <f t="shared" si="12"/>
        <v>514.9</v>
      </c>
    </row>
    <row r="129" spans="1:13" s="143" customFormat="1" ht="54" x14ac:dyDescent="0.35">
      <c r="A129" s="11"/>
      <c r="B129" s="24" t="s">
        <v>56</v>
      </c>
      <c r="C129" s="25" t="s">
        <v>1</v>
      </c>
      <c r="D129" s="10" t="s">
        <v>64</v>
      </c>
      <c r="E129" s="10" t="s">
        <v>89</v>
      </c>
      <c r="F129" s="651" t="s">
        <v>82</v>
      </c>
      <c r="G129" s="652" t="s">
        <v>31</v>
      </c>
      <c r="H129" s="652" t="s">
        <v>40</v>
      </c>
      <c r="I129" s="653" t="s">
        <v>87</v>
      </c>
      <c r="J129" s="10" t="s">
        <v>57</v>
      </c>
      <c r="K129" s="26">
        <v>296.5</v>
      </c>
      <c r="L129" s="26">
        <f>M129-K129</f>
        <v>218.39999999999998</v>
      </c>
      <c r="M129" s="26">
        <f>296.5+218.4</f>
        <v>514.9</v>
      </c>
    </row>
    <row r="130" spans="1:13" s="143" customFormat="1" ht="53.25" customHeight="1" x14ac:dyDescent="0.35">
      <c r="A130" s="11"/>
      <c r="B130" s="295" t="s">
        <v>529</v>
      </c>
      <c r="C130" s="25" t="s">
        <v>1</v>
      </c>
      <c r="D130" s="10" t="s">
        <v>64</v>
      </c>
      <c r="E130" s="10" t="s">
        <v>89</v>
      </c>
      <c r="F130" s="651" t="s">
        <v>82</v>
      </c>
      <c r="G130" s="652" t="s">
        <v>32</v>
      </c>
      <c r="H130" s="652" t="s">
        <v>44</v>
      </c>
      <c r="I130" s="653" t="s">
        <v>45</v>
      </c>
      <c r="J130" s="10"/>
      <c r="K130" s="26">
        <f t="shared" ref="K130:M132" si="13">K131</f>
        <v>21.8</v>
      </c>
      <c r="L130" s="26">
        <f t="shared" si="13"/>
        <v>0</v>
      </c>
      <c r="M130" s="26">
        <f t="shared" si="13"/>
        <v>21.8</v>
      </c>
    </row>
    <row r="131" spans="1:13" s="143" customFormat="1" ht="72" customHeight="1" x14ac:dyDescent="0.35">
      <c r="A131" s="11"/>
      <c r="B131" s="296" t="s">
        <v>530</v>
      </c>
      <c r="C131" s="25" t="s">
        <v>1</v>
      </c>
      <c r="D131" s="10" t="s">
        <v>64</v>
      </c>
      <c r="E131" s="10" t="s">
        <v>89</v>
      </c>
      <c r="F131" s="651" t="s">
        <v>82</v>
      </c>
      <c r="G131" s="652" t="s">
        <v>32</v>
      </c>
      <c r="H131" s="652" t="s">
        <v>38</v>
      </c>
      <c r="I131" s="653" t="s">
        <v>45</v>
      </c>
      <c r="J131" s="10"/>
      <c r="K131" s="26">
        <f t="shared" si="13"/>
        <v>21.8</v>
      </c>
      <c r="L131" s="26">
        <f t="shared" si="13"/>
        <v>0</v>
      </c>
      <c r="M131" s="26">
        <f t="shared" si="13"/>
        <v>21.8</v>
      </c>
    </row>
    <row r="132" spans="1:13" s="143" customFormat="1" ht="53.25" customHeight="1" x14ac:dyDescent="0.35">
      <c r="A132" s="11"/>
      <c r="B132" s="293" t="s">
        <v>86</v>
      </c>
      <c r="C132" s="25" t="s">
        <v>1</v>
      </c>
      <c r="D132" s="10" t="s">
        <v>64</v>
      </c>
      <c r="E132" s="10" t="s">
        <v>89</v>
      </c>
      <c r="F132" s="651" t="s">
        <v>82</v>
      </c>
      <c r="G132" s="652" t="s">
        <v>32</v>
      </c>
      <c r="H132" s="652" t="s">
        <v>38</v>
      </c>
      <c r="I132" s="653" t="s">
        <v>87</v>
      </c>
      <c r="J132" s="10"/>
      <c r="K132" s="26">
        <f t="shared" si="13"/>
        <v>21.8</v>
      </c>
      <c r="L132" s="26">
        <f t="shared" si="13"/>
        <v>0</v>
      </c>
      <c r="M132" s="26">
        <f t="shared" si="13"/>
        <v>21.8</v>
      </c>
    </row>
    <row r="133" spans="1:13" s="143" customFormat="1" ht="53.25" customHeight="1" x14ac:dyDescent="0.35">
      <c r="A133" s="11"/>
      <c r="B133" s="294" t="s">
        <v>56</v>
      </c>
      <c r="C133" s="25" t="s">
        <v>1</v>
      </c>
      <c r="D133" s="10" t="s">
        <v>64</v>
      </c>
      <c r="E133" s="10" t="s">
        <v>89</v>
      </c>
      <c r="F133" s="651" t="s">
        <v>82</v>
      </c>
      <c r="G133" s="652" t="s">
        <v>32</v>
      </c>
      <c r="H133" s="652" t="s">
        <v>38</v>
      </c>
      <c r="I133" s="653" t="s">
        <v>87</v>
      </c>
      <c r="J133" s="10" t="s">
        <v>57</v>
      </c>
      <c r="K133" s="26">
        <v>21.8</v>
      </c>
      <c r="L133" s="26">
        <f>M133-K133</f>
        <v>0</v>
      </c>
      <c r="M133" s="26">
        <v>21.8</v>
      </c>
    </row>
    <row r="134" spans="1:13" s="143" customFormat="1" ht="18.75" customHeight="1" x14ac:dyDescent="0.35">
      <c r="A134" s="11"/>
      <c r="B134" s="24" t="s">
        <v>93</v>
      </c>
      <c r="C134" s="25" t="s">
        <v>1</v>
      </c>
      <c r="D134" s="10" t="s">
        <v>53</v>
      </c>
      <c r="E134" s="10"/>
      <c r="F134" s="651"/>
      <c r="G134" s="652"/>
      <c r="H134" s="652"/>
      <c r="I134" s="653"/>
      <c r="J134" s="10"/>
      <c r="K134" s="26">
        <f>K135+K144+K152</f>
        <v>133273.72200000001</v>
      </c>
      <c r="L134" s="26">
        <f>L135+L144+L152</f>
        <v>32056.7</v>
      </c>
      <c r="M134" s="26">
        <f>M135+M144+M152</f>
        <v>165330.42200000002</v>
      </c>
    </row>
    <row r="135" spans="1:13" s="7" customFormat="1" ht="18.75" customHeight="1" x14ac:dyDescent="0.35">
      <c r="A135" s="11"/>
      <c r="B135" s="24" t="s">
        <v>94</v>
      </c>
      <c r="C135" s="25" t="s">
        <v>1</v>
      </c>
      <c r="D135" s="10" t="s">
        <v>53</v>
      </c>
      <c r="E135" s="10" t="s">
        <v>66</v>
      </c>
      <c r="F135" s="651"/>
      <c r="G135" s="652"/>
      <c r="H135" s="652"/>
      <c r="I135" s="653"/>
      <c r="J135" s="10"/>
      <c r="K135" s="26">
        <f t="shared" ref="K135:M136" si="14">K136</f>
        <v>22646.200000000004</v>
      </c>
      <c r="L135" s="26">
        <f t="shared" si="14"/>
        <v>0</v>
      </c>
      <c r="M135" s="26">
        <f t="shared" si="14"/>
        <v>22646.200000000004</v>
      </c>
    </row>
    <row r="136" spans="1:13" s="143" customFormat="1" ht="60" customHeight="1" x14ac:dyDescent="0.35">
      <c r="A136" s="11"/>
      <c r="B136" s="24" t="s">
        <v>95</v>
      </c>
      <c r="C136" s="25" t="s">
        <v>1</v>
      </c>
      <c r="D136" s="10" t="s">
        <v>53</v>
      </c>
      <c r="E136" s="10" t="s">
        <v>66</v>
      </c>
      <c r="F136" s="651" t="s">
        <v>68</v>
      </c>
      <c r="G136" s="652" t="s">
        <v>43</v>
      </c>
      <c r="H136" s="652" t="s">
        <v>44</v>
      </c>
      <c r="I136" s="653" t="s">
        <v>45</v>
      </c>
      <c r="J136" s="10"/>
      <c r="K136" s="26">
        <f t="shared" si="14"/>
        <v>22646.200000000004</v>
      </c>
      <c r="L136" s="26">
        <f t="shared" si="14"/>
        <v>0</v>
      </c>
      <c r="M136" s="26">
        <f t="shared" si="14"/>
        <v>22646.200000000004</v>
      </c>
    </row>
    <row r="137" spans="1:13" s="7" customFormat="1" ht="37.5" customHeight="1" x14ac:dyDescent="0.35">
      <c r="A137" s="11"/>
      <c r="B137" s="24" t="s">
        <v>343</v>
      </c>
      <c r="C137" s="25" t="s">
        <v>1</v>
      </c>
      <c r="D137" s="10" t="s">
        <v>53</v>
      </c>
      <c r="E137" s="10" t="s">
        <v>66</v>
      </c>
      <c r="F137" s="651" t="s">
        <v>68</v>
      </c>
      <c r="G137" s="652" t="s">
        <v>46</v>
      </c>
      <c r="H137" s="652" t="s">
        <v>44</v>
      </c>
      <c r="I137" s="653" t="s">
        <v>45</v>
      </c>
      <c r="J137" s="10"/>
      <c r="K137" s="26">
        <f>K138+K141</f>
        <v>22646.200000000004</v>
      </c>
      <c r="L137" s="26">
        <f>L138+L141</f>
        <v>0</v>
      </c>
      <c r="M137" s="26">
        <f>M138+M141</f>
        <v>22646.200000000004</v>
      </c>
    </row>
    <row r="138" spans="1:13" s="7" customFormat="1" ht="56.25" customHeight="1" x14ac:dyDescent="0.35">
      <c r="A138" s="11"/>
      <c r="B138" s="24" t="s">
        <v>96</v>
      </c>
      <c r="C138" s="25" t="s">
        <v>1</v>
      </c>
      <c r="D138" s="10" t="s">
        <v>53</v>
      </c>
      <c r="E138" s="10" t="s">
        <v>66</v>
      </c>
      <c r="F138" s="651" t="s">
        <v>68</v>
      </c>
      <c r="G138" s="652" t="s">
        <v>46</v>
      </c>
      <c r="H138" s="652" t="s">
        <v>38</v>
      </c>
      <c r="I138" s="653" t="s">
        <v>45</v>
      </c>
      <c r="J138" s="10"/>
      <c r="K138" s="26">
        <f t="shared" ref="K138:M139" si="15">K139</f>
        <v>21095.300000000003</v>
      </c>
      <c r="L138" s="26">
        <f t="shared" si="15"/>
        <v>0</v>
      </c>
      <c r="M138" s="26">
        <f t="shared" si="15"/>
        <v>21095.300000000003</v>
      </c>
    </row>
    <row r="139" spans="1:13" s="7" customFormat="1" ht="71.400000000000006" customHeight="1" x14ac:dyDescent="0.35">
      <c r="A139" s="11"/>
      <c r="B139" s="44" t="s">
        <v>429</v>
      </c>
      <c r="C139" s="25" t="s">
        <v>1</v>
      </c>
      <c r="D139" s="10" t="s">
        <v>53</v>
      </c>
      <c r="E139" s="10" t="s">
        <v>66</v>
      </c>
      <c r="F139" s="651" t="s">
        <v>68</v>
      </c>
      <c r="G139" s="652" t="s">
        <v>46</v>
      </c>
      <c r="H139" s="652" t="s">
        <v>38</v>
      </c>
      <c r="I139" s="653" t="s">
        <v>62</v>
      </c>
      <c r="J139" s="10"/>
      <c r="K139" s="26">
        <f t="shared" si="15"/>
        <v>21095.300000000003</v>
      </c>
      <c r="L139" s="26">
        <f t="shared" si="15"/>
        <v>0</v>
      </c>
      <c r="M139" s="26">
        <f t="shared" si="15"/>
        <v>21095.300000000003</v>
      </c>
    </row>
    <row r="140" spans="1:13" s="143" customFormat="1" ht="18.75" customHeight="1" x14ac:dyDescent="0.35">
      <c r="A140" s="11"/>
      <c r="B140" s="24" t="s">
        <v>58</v>
      </c>
      <c r="C140" s="25" t="s">
        <v>1</v>
      </c>
      <c r="D140" s="10" t="s">
        <v>53</v>
      </c>
      <c r="E140" s="10" t="s">
        <v>66</v>
      </c>
      <c r="F140" s="651" t="s">
        <v>68</v>
      </c>
      <c r="G140" s="652" t="s">
        <v>46</v>
      </c>
      <c r="H140" s="652" t="s">
        <v>38</v>
      </c>
      <c r="I140" s="653" t="s">
        <v>62</v>
      </c>
      <c r="J140" s="10" t="s">
        <v>59</v>
      </c>
      <c r="K140" s="26">
        <f>11070.6+24.7+10000</f>
        <v>21095.300000000003</v>
      </c>
      <c r="L140" s="26">
        <f>M140-K140</f>
        <v>0</v>
      </c>
      <c r="M140" s="26">
        <f>11070.6+24.7+10000</f>
        <v>21095.300000000003</v>
      </c>
    </row>
    <row r="141" spans="1:13" s="7" customFormat="1" ht="63.75" customHeight="1" x14ac:dyDescent="0.35">
      <c r="A141" s="11"/>
      <c r="B141" s="24" t="s">
        <v>97</v>
      </c>
      <c r="C141" s="25" t="s">
        <v>1</v>
      </c>
      <c r="D141" s="10" t="s">
        <v>53</v>
      </c>
      <c r="E141" s="10" t="s">
        <v>66</v>
      </c>
      <c r="F141" s="651" t="s">
        <v>68</v>
      </c>
      <c r="G141" s="652" t="s">
        <v>46</v>
      </c>
      <c r="H141" s="652" t="s">
        <v>40</v>
      </c>
      <c r="I141" s="653" t="s">
        <v>45</v>
      </c>
      <c r="J141" s="10"/>
      <c r="K141" s="26">
        <f t="shared" ref="K141:M142" si="16">K142</f>
        <v>1550.9</v>
      </c>
      <c r="L141" s="26">
        <f t="shared" si="16"/>
        <v>0</v>
      </c>
      <c r="M141" s="26">
        <f t="shared" si="16"/>
        <v>1550.9</v>
      </c>
    </row>
    <row r="142" spans="1:13" s="7" customFormat="1" ht="180" x14ac:dyDescent="0.35">
      <c r="A142" s="11"/>
      <c r="B142" s="24" t="s">
        <v>590</v>
      </c>
      <c r="C142" s="25" t="s">
        <v>1</v>
      </c>
      <c r="D142" s="10" t="s">
        <v>53</v>
      </c>
      <c r="E142" s="10" t="s">
        <v>66</v>
      </c>
      <c r="F142" s="651" t="s">
        <v>68</v>
      </c>
      <c r="G142" s="652" t="s">
        <v>46</v>
      </c>
      <c r="H142" s="652" t="s">
        <v>40</v>
      </c>
      <c r="I142" s="653" t="s">
        <v>98</v>
      </c>
      <c r="J142" s="10"/>
      <c r="K142" s="26">
        <f t="shared" si="16"/>
        <v>1550.9</v>
      </c>
      <c r="L142" s="26">
        <f t="shared" si="16"/>
        <v>0</v>
      </c>
      <c r="M142" s="26">
        <f t="shared" si="16"/>
        <v>1550.9</v>
      </c>
    </row>
    <row r="143" spans="1:13" s="143" customFormat="1" ht="56.25" customHeight="1" x14ac:dyDescent="0.35">
      <c r="A143" s="11"/>
      <c r="B143" s="24" t="s">
        <v>56</v>
      </c>
      <c r="C143" s="25" t="s">
        <v>1</v>
      </c>
      <c r="D143" s="10" t="s">
        <v>53</v>
      </c>
      <c r="E143" s="10" t="s">
        <v>66</v>
      </c>
      <c r="F143" s="651" t="s">
        <v>68</v>
      </c>
      <c r="G143" s="652" t="s">
        <v>46</v>
      </c>
      <c r="H143" s="652" t="s">
        <v>40</v>
      </c>
      <c r="I143" s="653" t="s">
        <v>98</v>
      </c>
      <c r="J143" s="10" t="s">
        <v>57</v>
      </c>
      <c r="K143" s="26">
        <v>1550.9</v>
      </c>
      <c r="L143" s="26">
        <f>M143-K143</f>
        <v>0</v>
      </c>
      <c r="M143" s="26">
        <v>1550.9</v>
      </c>
    </row>
    <row r="144" spans="1:13" s="7" customFormat="1" ht="18.75" customHeight="1" x14ac:dyDescent="0.35">
      <c r="A144" s="11"/>
      <c r="B144" s="29" t="s">
        <v>99</v>
      </c>
      <c r="C144" s="25" t="s">
        <v>1</v>
      </c>
      <c r="D144" s="10" t="s">
        <v>53</v>
      </c>
      <c r="E144" s="10" t="s">
        <v>80</v>
      </c>
      <c r="F144" s="651"/>
      <c r="G144" s="652"/>
      <c r="H144" s="652"/>
      <c r="I144" s="653"/>
      <c r="J144" s="10"/>
      <c r="K144" s="26">
        <f t="shared" ref="K144:M148" si="17">K145</f>
        <v>71099.521999999997</v>
      </c>
      <c r="L144" s="26">
        <f t="shared" si="17"/>
        <v>0</v>
      </c>
      <c r="M144" s="26">
        <f t="shared" si="17"/>
        <v>71099.521999999997</v>
      </c>
    </row>
    <row r="145" spans="1:13" s="143" customFormat="1" ht="56.25" customHeight="1" x14ac:dyDescent="0.35">
      <c r="A145" s="11"/>
      <c r="B145" s="24" t="s">
        <v>100</v>
      </c>
      <c r="C145" s="25" t="s">
        <v>1</v>
      </c>
      <c r="D145" s="10" t="s">
        <v>53</v>
      </c>
      <c r="E145" s="10" t="s">
        <v>80</v>
      </c>
      <c r="F145" s="651" t="s">
        <v>101</v>
      </c>
      <c r="G145" s="652" t="s">
        <v>43</v>
      </c>
      <c r="H145" s="652" t="s">
        <v>44</v>
      </c>
      <c r="I145" s="653" t="s">
        <v>45</v>
      </c>
      <c r="J145" s="10"/>
      <c r="K145" s="26">
        <f t="shared" si="17"/>
        <v>71099.521999999997</v>
      </c>
      <c r="L145" s="26">
        <f t="shared" si="17"/>
        <v>0</v>
      </c>
      <c r="M145" s="26">
        <f t="shared" si="17"/>
        <v>71099.521999999997</v>
      </c>
    </row>
    <row r="146" spans="1:13" s="7" customFormat="1" ht="37.5" customHeight="1" x14ac:dyDescent="0.35">
      <c r="A146" s="11"/>
      <c r="B146" s="24" t="s">
        <v>343</v>
      </c>
      <c r="C146" s="25" t="s">
        <v>1</v>
      </c>
      <c r="D146" s="10" t="s">
        <v>53</v>
      </c>
      <c r="E146" s="10" t="s">
        <v>80</v>
      </c>
      <c r="F146" s="651" t="s">
        <v>101</v>
      </c>
      <c r="G146" s="652" t="s">
        <v>46</v>
      </c>
      <c r="H146" s="652" t="s">
        <v>44</v>
      </c>
      <c r="I146" s="653" t="s">
        <v>45</v>
      </c>
      <c r="J146" s="10"/>
      <c r="K146" s="26">
        <f t="shared" si="17"/>
        <v>71099.521999999997</v>
      </c>
      <c r="L146" s="26">
        <f t="shared" si="17"/>
        <v>0</v>
      </c>
      <c r="M146" s="26">
        <f t="shared" si="17"/>
        <v>71099.521999999997</v>
      </c>
    </row>
    <row r="147" spans="1:13" s="7" customFormat="1" ht="93.75" customHeight="1" x14ac:dyDescent="0.35">
      <c r="A147" s="11"/>
      <c r="B147" s="24" t="s">
        <v>102</v>
      </c>
      <c r="C147" s="25" t="s">
        <v>1</v>
      </c>
      <c r="D147" s="10" t="s">
        <v>53</v>
      </c>
      <c r="E147" s="10" t="s">
        <v>80</v>
      </c>
      <c r="F147" s="651" t="s">
        <v>101</v>
      </c>
      <c r="G147" s="652" t="s">
        <v>46</v>
      </c>
      <c r="H147" s="652" t="s">
        <v>38</v>
      </c>
      <c r="I147" s="653" t="s">
        <v>45</v>
      </c>
      <c r="J147" s="10"/>
      <c r="K147" s="26">
        <f t="shared" si="17"/>
        <v>71099.521999999997</v>
      </c>
      <c r="L147" s="26">
        <f>L148+L150</f>
        <v>0</v>
      </c>
      <c r="M147" s="26">
        <f>M148+M150</f>
        <v>71099.521999999997</v>
      </c>
    </row>
    <row r="148" spans="1:13" s="7" customFormat="1" ht="75.75" customHeight="1" x14ac:dyDescent="0.35">
      <c r="A148" s="11"/>
      <c r="B148" s="30" t="s">
        <v>103</v>
      </c>
      <c r="C148" s="25" t="s">
        <v>1</v>
      </c>
      <c r="D148" s="10" t="s">
        <v>53</v>
      </c>
      <c r="E148" s="10" t="s">
        <v>80</v>
      </c>
      <c r="F148" s="651" t="s">
        <v>101</v>
      </c>
      <c r="G148" s="652" t="s">
        <v>46</v>
      </c>
      <c r="H148" s="652" t="s">
        <v>38</v>
      </c>
      <c r="I148" s="653" t="s">
        <v>104</v>
      </c>
      <c r="J148" s="10"/>
      <c r="K148" s="26">
        <f t="shared" si="17"/>
        <v>71099.521999999997</v>
      </c>
      <c r="L148" s="26">
        <f t="shared" si="17"/>
        <v>-63381.599999999999</v>
      </c>
      <c r="M148" s="26">
        <f t="shared" si="17"/>
        <v>7717.9219999999987</v>
      </c>
    </row>
    <row r="149" spans="1:13" s="143" customFormat="1" ht="56.25" customHeight="1" x14ac:dyDescent="0.35">
      <c r="A149" s="11"/>
      <c r="B149" s="24" t="s">
        <v>56</v>
      </c>
      <c r="C149" s="25" t="s">
        <v>1</v>
      </c>
      <c r="D149" s="10" t="s">
        <v>53</v>
      </c>
      <c r="E149" s="10" t="s">
        <v>80</v>
      </c>
      <c r="F149" s="651" t="s">
        <v>101</v>
      </c>
      <c r="G149" s="652" t="s">
        <v>46</v>
      </c>
      <c r="H149" s="652" t="s">
        <v>38</v>
      </c>
      <c r="I149" s="653" t="s">
        <v>104</v>
      </c>
      <c r="J149" s="10" t="s">
        <v>57</v>
      </c>
      <c r="K149" s="26">
        <f>6255.7+3364.222+61479.6</f>
        <v>71099.521999999997</v>
      </c>
      <c r="L149" s="26">
        <f>M149-K149</f>
        <v>-63381.599999999999</v>
      </c>
      <c r="M149" s="26">
        <f>6255.7+3364.222+61479.6-61479.6-1902</f>
        <v>7717.9219999999987</v>
      </c>
    </row>
    <row r="150" spans="1:13" s="143" customFormat="1" ht="36" x14ac:dyDescent="0.35">
      <c r="A150" s="11"/>
      <c r="B150" s="24" t="s">
        <v>716</v>
      </c>
      <c r="C150" s="25" t="s">
        <v>1</v>
      </c>
      <c r="D150" s="10" t="s">
        <v>53</v>
      </c>
      <c r="E150" s="10" t="s">
        <v>80</v>
      </c>
      <c r="F150" s="651" t="s">
        <v>101</v>
      </c>
      <c r="G150" s="652" t="s">
        <v>46</v>
      </c>
      <c r="H150" s="652" t="s">
        <v>38</v>
      </c>
      <c r="I150" s="653" t="s">
        <v>711</v>
      </c>
      <c r="J150" s="10"/>
      <c r="K150" s="26"/>
      <c r="L150" s="26">
        <f>L151</f>
        <v>63381.599999999999</v>
      </c>
      <c r="M150" s="26">
        <f>M151</f>
        <v>63381.599999999999</v>
      </c>
    </row>
    <row r="151" spans="1:13" s="143" customFormat="1" ht="56.25" customHeight="1" x14ac:dyDescent="0.35">
      <c r="A151" s="11"/>
      <c r="B151" s="24" t="s">
        <v>56</v>
      </c>
      <c r="C151" s="25" t="s">
        <v>1</v>
      </c>
      <c r="D151" s="10" t="s">
        <v>53</v>
      </c>
      <c r="E151" s="10" t="s">
        <v>80</v>
      </c>
      <c r="F151" s="651" t="s">
        <v>101</v>
      </c>
      <c r="G151" s="652" t="s">
        <v>46</v>
      </c>
      <c r="H151" s="652" t="s">
        <v>38</v>
      </c>
      <c r="I151" s="653" t="s">
        <v>711</v>
      </c>
      <c r="J151" s="10" t="s">
        <v>57</v>
      </c>
      <c r="K151" s="26"/>
      <c r="L151" s="26">
        <f>M151-K151</f>
        <v>63381.599999999999</v>
      </c>
      <c r="M151" s="26">
        <f>61479.6+1902</f>
        <v>63381.599999999999</v>
      </c>
    </row>
    <row r="152" spans="1:13" s="7" customFormat="1" ht="37.5" customHeight="1" x14ac:dyDescent="0.35">
      <c r="A152" s="11"/>
      <c r="B152" s="29" t="s">
        <v>107</v>
      </c>
      <c r="C152" s="25" t="s">
        <v>1</v>
      </c>
      <c r="D152" s="10" t="s">
        <v>53</v>
      </c>
      <c r="E152" s="10" t="s">
        <v>101</v>
      </c>
      <c r="F152" s="651"/>
      <c r="G152" s="652"/>
      <c r="H152" s="652"/>
      <c r="I152" s="653"/>
      <c r="J152" s="10"/>
      <c r="K152" s="26">
        <f>K153+K162+K171</f>
        <v>39528</v>
      </c>
      <c r="L152" s="26">
        <f>L153+L162+L171</f>
        <v>32056.7</v>
      </c>
      <c r="M152" s="26">
        <f>M153+M162+M171</f>
        <v>71584.7</v>
      </c>
    </row>
    <row r="153" spans="1:13" s="143" customFormat="1" ht="75" customHeight="1" x14ac:dyDescent="0.35">
      <c r="A153" s="11"/>
      <c r="B153" s="24" t="s">
        <v>108</v>
      </c>
      <c r="C153" s="25" t="s">
        <v>1</v>
      </c>
      <c r="D153" s="10" t="s">
        <v>53</v>
      </c>
      <c r="E153" s="10" t="s">
        <v>101</v>
      </c>
      <c r="F153" s="651" t="s">
        <v>72</v>
      </c>
      <c r="G153" s="652" t="s">
        <v>43</v>
      </c>
      <c r="H153" s="652" t="s">
        <v>44</v>
      </c>
      <c r="I153" s="653" t="s">
        <v>45</v>
      </c>
      <c r="J153" s="10"/>
      <c r="K153" s="26">
        <f>K154+K158</f>
        <v>1025.0999999999999</v>
      </c>
      <c r="L153" s="26">
        <f>L154+L158</f>
        <v>0</v>
      </c>
      <c r="M153" s="26">
        <f>M154+M158</f>
        <v>1025.0999999999999</v>
      </c>
    </row>
    <row r="154" spans="1:13" s="143" customFormat="1" ht="56.25" customHeight="1" x14ac:dyDescent="0.35">
      <c r="A154" s="11"/>
      <c r="B154" s="29" t="s">
        <v>109</v>
      </c>
      <c r="C154" s="25" t="s">
        <v>1</v>
      </c>
      <c r="D154" s="10" t="s">
        <v>53</v>
      </c>
      <c r="E154" s="10" t="s">
        <v>101</v>
      </c>
      <c r="F154" s="651" t="s">
        <v>72</v>
      </c>
      <c r="G154" s="652" t="s">
        <v>46</v>
      </c>
      <c r="H154" s="652" t="s">
        <v>44</v>
      </c>
      <c r="I154" s="653" t="s">
        <v>45</v>
      </c>
      <c r="J154" s="10"/>
      <c r="K154" s="26">
        <f t="shared" ref="K154:M155" si="18">K155</f>
        <v>310</v>
      </c>
      <c r="L154" s="26">
        <f t="shared" si="18"/>
        <v>0</v>
      </c>
      <c r="M154" s="26">
        <f t="shared" si="18"/>
        <v>310</v>
      </c>
    </row>
    <row r="155" spans="1:13" s="7" customFormat="1" ht="37.5" customHeight="1" x14ac:dyDescent="0.35">
      <c r="A155" s="11"/>
      <c r="B155" s="24" t="s">
        <v>110</v>
      </c>
      <c r="C155" s="25" t="s">
        <v>1</v>
      </c>
      <c r="D155" s="10" t="s">
        <v>53</v>
      </c>
      <c r="E155" s="10" t="s">
        <v>101</v>
      </c>
      <c r="F155" s="651" t="s">
        <v>72</v>
      </c>
      <c r="G155" s="652" t="s">
        <v>46</v>
      </c>
      <c r="H155" s="652" t="s">
        <v>38</v>
      </c>
      <c r="I155" s="653" t="s">
        <v>45</v>
      </c>
      <c r="J155" s="10"/>
      <c r="K155" s="26">
        <f t="shared" si="18"/>
        <v>310</v>
      </c>
      <c r="L155" s="26">
        <f t="shared" si="18"/>
        <v>0</v>
      </c>
      <c r="M155" s="26">
        <f t="shared" si="18"/>
        <v>310</v>
      </c>
    </row>
    <row r="156" spans="1:13" s="143" customFormat="1" ht="37.5" customHeight="1" x14ac:dyDescent="0.35">
      <c r="A156" s="11"/>
      <c r="B156" s="29" t="s">
        <v>111</v>
      </c>
      <c r="C156" s="25" t="s">
        <v>1</v>
      </c>
      <c r="D156" s="10" t="s">
        <v>53</v>
      </c>
      <c r="E156" s="10" t="s">
        <v>101</v>
      </c>
      <c r="F156" s="651" t="s">
        <v>72</v>
      </c>
      <c r="G156" s="652" t="s">
        <v>46</v>
      </c>
      <c r="H156" s="652" t="s">
        <v>38</v>
      </c>
      <c r="I156" s="653" t="s">
        <v>112</v>
      </c>
      <c r="J156" s="10"/>
      <c r="K156" s="26">
        <f>K157</f>
        <v>310</v>
      </c>
      <c r="L156" s="26">
        <f>L157</f>
        <v>0</v>
      </c>
      <c r="M156" s="26">
        <f>M157</f>
        <v>310</v>
      </c>
    </row>
    <row r="157" spans="1:13" s="7" customFormat="1" ht="56.25" customHeight="1" x14ac:dyDescent="0.35">
      <c r="A157" s="11"/>
      <c r="B157" s="24" t="s">
        <v>56</v>
      </c>
      <c r="C157" s="25" t="s">
        <v>1</v>
      </c>
      <c r="D157" s="10" t="s">
        <v>53</v>
      </c>
      <c r="E157" s="10" t="s">
        <v>101</v>
      </c>
      <c r="F157" s="651" t="s">
        <v>72</v>
      </c>
      <c r="G157" s="652" t="s">
        <v>46</v>
      </c>
      <c r="H157" s="652" t="s">
        <v>38</v>
      </c>
      <c r="I157" s="653" t="s">
        <v>112</v>
      </c>
      <c r="J157" s="10" t="s">
        <v>57</v>
      </c>
      <c r="K157" s="26">
        <v>310</v>
      </c>
      <c r="L157" s="26">
        <f>M157-K157</f>
        <v>0</v>
      </c>
      <c r="M157" s="26">
        <v>310</v>
      </c>
    </row>
    <row r="158" spans="1:13" s="143" customFormat="1" ht="37.5" customHeight="1" x14ac:dyDescent="0.35">
      <c r="A158" s="11"/>
      <c r="B158" s="29" t="s">
        <v>113</v>
      </c>
      <c r="C158" s="25" t="s">
        <v>1</v>
      </c>
      <c r="D158" s="10" t="s">
        <v>53</v>
      </c>
      <c r="E158" s="10" t="s">
        <v>101</v>
      </c>
      <c r="F158" s="651" t="s">
        <v>72</v>
      </c>
      <c r="G158" s="652" t="s">
        <v>90</v>
      </c>
      <c r="H158" s="652" t="s">
        <v>44</v>
      </c>
      <c r="I158" s="653" t="s">
        <v>45</v>
      </c>
      <c r="J158" s="10"/>
      <c r="K158" s="26">
        <f t="shared" ref="K158:M160" si="19">K159</f>
        <v>715.1</v>
      </c>
      <c r="L158" s="26">
        <f t="shared" si="19"/>
        <v>0</v>
      </c>
      <c r="M158" s="26">
        <f t="shared" si="19"/>
        <v>715.1</v>
      </c>
    </row>
    <row r="159" spans="1:13" s="7" customFormat="1" ht="56.25" customHeight="1" x14ac:dyDescent="0.35">
      <c r="A159" s="11"/>
      <c r="B159" s="29" t="s">
        <v>114</v>
      </c>
      <c r="C159" s="25" t="s">
        <v>1</v>
      </c>
      <c r="D159" s="10" t="s">
        <v>53</v>
      </c>
      <c r="E159" s="10" t="s">
        <v>101</v>
      </c>
      <c r="F159" s="651" t="s">
        <v>72</v>
      </c>
      <c r="G159" s="652" t="s">
        <v>90</v>
      </c>
      <c r="H159" s="652" t="s">
        <v>38</v>
      </c>
      <c r="I159" s="653" t="s">
        <v>45</v>
      </c>
      <c r="J159" s="10"/>
      <c r="K159" s="26">
        <f t="shared" si="19"/>
        <v>715.1</v>
      </c>
      <c r="L159" s="26">
        <f t="shared" si="19"/>
        <v>0</v>
      </c>
      <c r="M159" s="26">
        <f t="shared" si="19"/>
        <v>715.1</v>
      </c>
    </row>
    <row r="160" spans="1:13" s="143" customFormat="1" ht="79.5" customHeight="1" x14ac:dyDescent="0.35">
      <c r="A160" s="11"/>
      <c r="B160" s="29" t="s">
        <v>115</v>
      </c>
      <c r="C160" s="25" t="s">
        <v>1</v>
      </c>
      <c r="D160" s="10" t="s">
        <v>53</v>
      </c>
      <c r="E160" s="10" t="s">
        <v>101</v>
      </c>
      <c r="F160" s="651" t="s">
        <v>72</v>
      </c>
      <c r="G160" s="652" t="s">
        <v>90</v>
      </c>
      <c r="H160" s="652" t="s">
        <v>38</v>
      </c>
      <c r="I160" s="653" t="s">
        <v>116</v>
      </c>
      <c r="J160" s="10"/>
      <c r="K160" s="26">
        <f t="shared" si="19"/>
        <v>715.1</v>
      </c>
      <c r="L160" s="26">
        <f t="shared" si="19"/>
        <v>0</v>
      </c>
      <c r="M160" s="26">
        <f t="shared" si="19"/>
        <v>715.1</v>
      </c>
    </row>
    <row r="161" spans="1:13" s="7" customFormat="1" ht="56.25" customHeight="1" x14ac:dyDescent="0.35">
      <c r="A161" s="11"/>
      <c r="B161" s="24" t="s">
        <v>56</v>
      </c>
      <c r="C161" s="25" t="s">
        <v>1</v>
      </c>
      <c r="D161" s="10" t="s">
        <v>53</v>
      </c>
      <c r="E161" s="10" t="s">
        <v>101</v>
      </c>
      <c r="F161" s="651" t="s">
        <v>72</v>
      </c>
      <c r="G161" s="652" t="s">
        <v>90</v>
      </c>
      <c r="H161" s="652" t="s">
        <v>38</v>
      </c>
      <c r="I161" s="653" t="s">
        <v>116</v>
      </c>
      <c r="J161" s="10" t="s">
        <v>57</v>
      </c>
      <c r="K161" s="26">
        <v>715.1</v>
      </c>
      <c r="L161" s="26">
        <f>M161-K161</f>
        <v>0</v>
      </c>
      <c r="M161" s="26">
        <v>715.1</v>
      </c>
    </row>
    <row r="162" spans="1:13" s="143" customFormat="1" ht="75" customHeight="1" x14ac:dyDescent="0.35">
      <c r="A162" s="11"/>
      <c r="B162" s="24" t="s">
        <v>117</v>
      </c>
      <c r="C162" s="25" t="s">
        <v>1</v>
      </c>
      <c r="D162" s="10" t="s">
        <v>53</v>
      </c>
      <c r="E162" s="10" t="s">
        <v>101</v>
      </c>
      <c r="F162" s="651" t="s">
        <v>89</v>
      </c>
      <c r="G162" s="652" t="s">
        <v>43</v>
      </c>
      <c r="H162" s="652" t="s">
        <v>44</v>
      </c>
      <c r="I162" s="653" t="s">
        <v>45</v>
      </c>
      <c r="J162" s="10"/>
      <c r="K162" s="26">
        <f t="shared" ref="K162:M165" si="20">K163</f>
        <v>5774.5000000000009</v>
      </c>
      <c r="L162" s="26">
        <f t="shared" si="20"/>
        <v>32494.7</v>
      </c>
      <c r="M162" s="26">
        <f t="shared" si="20"/>
        <v>38269.199999999997</v>
      </c>
    </row>
    <row r="163" spans="1:13" s="143" customFormat="1" ht="37.5" customHeight="1" x14ac:dyDescent="0.35">
      <c r="A163" s="11"/>
      <c r="B163" s="24" t="s">
        <v>343</v>
      </c>
      <c r="C163" s="25" t="s">
        <v>1</v>
      </c>
      <c r="D163" s="10" t="s">
        <v>53</v>
      </c>
      <c r="E163" s="10" t="s">
        <v>101</v>
      </c>
      <c r="F163" s="651" t="s">
        <v>89</v>
      </c>
      <c r="G163" s="652" t="s">
        <v>46</v>
      </c>
      <c r="H163" s="652" t="s">
        <v>44</v>
      </c>
      <c r="I163" s="653" t="s">
        <v>45</v>
      </c>
      <c r="J163" s="10"/>
      <c r="K163" s="26">
        <f t="shared" si="20"/>
        <v>5774.5000000000009</v>
      </c>
      <c r="L163" s="26">
        <f t="shared" si="20"/>
        <v>32494.7</v>
      </c>
      <c r="M163" s="26">
        <f t="shared" si="20"/>
        <v>38269.199999999997</v>
      </c>
    </row>
    <row r="164" spans="1:13" s="7" customFormat="1" ht="75" customHeight="1" x14ac:dyDescent="0.35">
      <c r="A164" s="11"/>
      <c r="B164" s="29" t="s">
        <v>310</v>
      </c>
      <c r="C164" s="25" t="s">
        <v>1</v>
      </c>
      <c r="D164" s="10" t="s">
        <v>53</v>
      </c>
      <c r="E164" s="10" t="s">
        <v>101</v>
      </c>
      <c r="F164" s="651" t="s">
        <v>89</v>
      </c>
      <c r="G164" s="652" t="s">
        <v>46</v>
      </c>
      <c r="H164" s="652" t="s">
        <v>38</v>
      </c>
      <c r="I164" s="653" t="s">
        <v>45</v>
      </c>
      <c r="J164" s="10"/>
      <c r="K164" s="26">
        <f>K165+K167</f>
        <v>5774.5000000000009</v>
      </c>
      <c r="L164" s="26">
        <f>L165+L167+L169</f>
        <v>32494.7</v>
      </c>
      <c r="M164" s="26">
        <f>M165+M167+M169</f>
        <v>38269.199999999997</v>
      </c>
    </row>
    <row r="165" spans="1:13" s="143" customFormat="1" ht="56.25" customHeight="1" x14ac:dyDescent="0.35">
      <c r="A165" s="11"/>
      <c r="B165" s="29" t="s">
        <v>118</v>
      </c>
      <c r="C165" s="25" t="s">
        <v>1</v>
      </c>
      <c r="D165" s="10" t="s">
        <v>53</v>
      </c>
      <c r="E165" s="10" t="s">
        <v>101</v>
      </c>
      <c r="F165" s="651" t="s">
        <v>89</v>
      </c>
      <c r="G165" s="652" t="s">
        <v>46</v>
      </c>
      <c r="H165" s="652" t="s">
        <v>38</v>
      </c>
      <c r="I165" s="653" t="s">
        <v>119</v>
      </c>
      <c r="J165" s="10"/>
      <c r="K165" s="26">
        <f t="shared" si="20"/>
        <v>4952.2000000000007</v>
      </c>
      <c r="L165" s="26">
        <f t="shared" si="20"/>
        <v>-4840</v>
      </c>
      <c r="M165" s="26">
        <f t="shared" si="20"/>
        <v>112.20000000000073</v>
      </c>
    </row>
    <row r="166" spans="1:13" s="7" customFormat="1" ht="56.25" customHeight="1" x14ac:dyDescent="0.35">
      <c r="A166" s="11"/>
      <c r="B166" s="24" t="s">
        <v>56</v>
      </c>
      <c r="C166" s="25" t="s">
        <v>1</v>
      </c>
      <c r="D166" s="10" t="s">
        <v>53</v>
      </c>
      <c r="E166" s="10" t="s">
        <v>101</v>
      </c>
      <c r="F166" s="651" t="s">
        <v>89</v>
      </c>
      <c r="G166" s="652" t="s">
        <v>46</v>
      </c>
      <c r="H166" s="652" t="s">
        <v>38</v>
      </c>
      <c r="I166" s="653" t="s">
        <v>119</v>
      </c>
      <c r="J166" s="10" t="s">
        <v>57</v>
      </c>
      <c r="K166" s="26">
        <f>4927.6+24.6</f>
        <v>4952.2000000000007</v>
      </c>
      <c r="L166" s="26">
        <f>M166-K166</f>
        <v>-4840</v>
      </c>
      <c r="M166" s="26">
        <f>4927.6+24.6-2604.5-2235.5</f>
        <v>112.20000000000073</v>
      </c>
    </row>
    <row r="167" spans="1:13" s="7" customFormat="1" ht="90" x14ac:dyDescent="0.35">
      <c r="A167" s="11"/>
      <c r="B167" s="24" t="s">
        <v>591</v>
      </c>
      <c r="C167" s="25" t="s">
        <v>1</v>
      </c>
      <c r="D167" s="10" t="s">
        <v>53</v>
      </c>
      <c r="E167" s="10" t="s">
        <v>101</v>
      </c>
      <c r="F167" s="651" t="s">
        <v>89</v>
      </c>
      <c r="G167" s="652" t="s">
        <v>46</v>
      </c>
      <c r="H167" s="652" t="s">
        <v>38</v>
      </c>
      <c r="I167" s="653" t="s">
        <v>589</v>
      </c>
      <c r="J167" s="10"/>
      <c r="K167" s="26">
        <f>K168</f>
        <v>822.3</v>
      </c>
      <c r="L167" s="26">
        <f>L168</f>
        <v>14980.400000000001</v>
      </c>
      <c r="M167" s="26">
        <f>M168</f>
        <v>15802.7</v>
      </c>
    </row>
    <row r="168" spans="1:13" s="7" customFormat="1" ht="56.25" customHeight="1" x14ac:dyDescent="0.35">
      <c r="A168" s="11"/>
      <c r="B168" s="24" t="s">
        <v>56</v>
      </c>
      <c r="C168" s="25" t="s">
        <v>1</v>
      </c>
      <c r="D168" s="10" t="s">
        <v>53</v>
      </c>
      <c r="E168" s="10" t="s">
        <v>101</v>
      </c>
      <c r="F168" s="651" t="s">
        <v>89</v>
      </c>
      <c r="G168" s="652" t="s">
        <v>46</v>
      </c>
      <c r="H168" s="652" t="s">
        <v>38</v>
      </c>
      <c r="I168" s="653" t="s">
        <v>589</v>
      </c>
      <c r="J168" s="10" t="s">
        <v>57</v>
      </c>
      <c r="K168" s="26">
        <f>779+43.3</f>
        <v>822.3</v>
      </c>
      <c r="L168" s="26">
        <f>M168-K168</f>
        <v>14980.400000000001</v>
      </c>
      <c r="M168" s="26">
        <f>779+43.3+1498+13482.4</f>
        <v>15802.7</v>
      </c>
    </row>
    <row r="169" spans="1:13" s="7" customFormat="1" ht="76.2" customHeight="1" x14ac:dyDescent="0.35">
      <c r="A169" s="11"/>
      <c r="B169" s="24" t="s">
        <v>718</v>
      </c>
      <c r="C169" s="25" t="s">
        <v>1</v>
      </c>
      <c r="D169" s="10" t="s">
        <v>53</v>
      </c>
      <c r="E169" s="10" t="s">
        <v>101</v>
      </c>
      <c r="F169" s="651" t="s">
        <v>89</v>
      </c>
      <c r="G169" s="652" t="s">
        <v>46</v>
      </c>
      <c r="H169" s="652" t="s">
        <v>38</v>
      </c>
      <c r="I169" s="653" t="s">
        <v>714</v>
      </c>
      <c r="J169" s="10"/>
      <c r="K169" s="26"/>
      <c r="L169" s="26">
        <f>L170</f>
        <v>22354.3</v>
      </c>
      <c r="M169" s="26">
        <f>M170</f>
        <v>22354.3</v>
      </c>
    </row>
    <row r="170" spans="1:13" s="7" customFormat="1" ht="56.25" customHeight="1" x14ac:dyDescent="0.35">
      <c r="A170" s="11"/>
      <c r="B170" s="24" t="s">
        <v>56</v>
      </c>
      <c r="C170" s="25" t="s">
        <v>1</v>
      </c>
      <c r="D170" s="10" t="s">
        <v>53</v>
      </c>
      <c r="E170" s="10" t="s">
        <v>101</v>
      </c>
      <c r="F170" s="651" t="s">
        <v>89</v>
      </c>
      <c r="G170" s="652" t="s">
        <v>46</v>
      </c>
      <c r="H170" s="652" t="s">
        <v>38</v>
      </c>
      <c r="I170" s="653" t="s">
        <v>714</v>
      </c>
      <c r="J170" s="10" t="s">
        <v>57</v>
      </c>
      <c r="K170" s="26"/>
      <c r="L170" s="26">
        <f>M170-K170</f>
        <v>22354.3</v>
      </c>
      <c r="M170" s="26">
        <f>20118.8+2235.5</f>
        <v>22354.3</v>
      </c>
    </row>
    <row r="171" spans="1:13" s="7" customFormat="1" ht="57.75" customHeight="1" x14ac:dyDescent="0.35">
      <c r="A171" s="11"/>
      <c r="B171" s="24" t="s">
        <v>41</v>
      </c>
      <c r="C171" s="25" t="s">
        <v>1</v>
      </c>
      <c r="D171" s="10" t="s">
        <v>53</v>
      </c>
      <c r="E171" s="10" t="s">
        <v>101</v>
      </c>
      <c r="F171" s="651" t="s">
        <v>42</v>
      </c>
      <c r="G171" s="652" t="s">
        <v>43</v>
      </c>
      <c r="H171" s="652" t="s">
        <v>44</v>
      </c>
      <c r="I171" s="653" t="s">
        <v>45</v>
      </c>
      <c r="J171" s="10"/>
      <c r="K171" s="26">
        <f t="shared" ref="K171:M172" si="21">K172</f>
        <v>32728.399999999998</v>
      </c>
      <c r="L171" s="26">
        <f t="shared" si="21"/>
        <v>-437.99999999999966</v>
      </c>
      <c r="M171" s="26">
        <f t="shared" si="21"/>
        <v>32290.400000000001</v>
      </c>
    </row>
    <row r="172" spans="1:13" s="7" customFormat="1" ht="37.5" customHeight="1" x14ac:dyDescent="0.35">
      <c r="A172" s="11"/>
      <c r="B172" s="24" t="s">
        <v>343</v>
      </c>
      <c r="C172" s="25" t="s">
        <v>1</v>
      </c>
      <c r="D172" s="10" t="s">
        <v>53</v>
      </c>
      <c r="E172" s="10" t="s">
        <v>101</v>
      </c>
      <c r="F172" s="651" t="s">
        <v>42</v>
      </c>
      <c r="G172" s="652" t="s">
        <v>46</v>
      </c>
      <c r="H172" s="652" t="s">
        <v>44</v>
      </c>
      <c r="I172" s="653" t="s">
        <v>45</v>
      </c>
      <c r="J172" s="10"/>
      <c r="K172" s="26">
        <f t="shared" si="21"/>
        <v>32728.399999999998</v>
      </c>
      <c r="L172" s="26">
        <f t="shared" si="21"/>
        <v>-437.99999999999966</v>
      </c>
      <c r="M172" s="26">
        <f t="shared" si="21"/>
        <v>32290.400000000001</v>
      </c>
    </row>
    <row r="173" spans="1:13" s="7" customFormat="1" ht="56.25" customHeight="1" x14ac:dyDescent="0.35">
      <c r="A173" s="11"/>
      <c r="B173" s="24" t="s">
        <v>335</v>
      </c>
      <c r="C173" s="25" t="s">
        <v>1</v>
      </c>
      <c r="D173" s="10" t="s">
        <v>53</v>
      </c>
      <c r="E173" s="10" t="s">
        <v>101</v>
      </c>
      <c r="F173" s="651" t="s">
        <v>42</v>
      </c>
      <c r="G173" s="652" t="s">
        <v>46</v>
      </c>
      <c r="H173" s="652" t="s">
        <v>89</v>
      </c>
      <c r="I173" s="653" t="s">
        <v>45</v>
      </c>
      <c r="J173" s="10"/>
      <c r="K173" s="26">
        <f>K174+K180+K178</f>
        <v>32728.399999999998</v>
      </c>
      <c r="L173" s="26">
        <f>L174+L180+L178</f>
        <v>-437.99999999999966</v>
      </c>
      <c r="M173" s="26">
        <f>M174+M180+M178</f>
        <v>32290.400000000001</v>
      </c>
    </row>
    <row r="174" spans="1:13" s="7" customFormat="1" ht="36.75" customHeight="1" x14ac:dyDescent="0.35">
      <c r="A174" s="11"/>
      <c r="B174" s="27" t="s">
        <v>490</v>
      </c>
      <c r="C174" s="25" t="s">
        <v>1</v>
      </c>
      <c r="D174" s="10" t="s">
        <v>53</v>
      </c>
      <c r="E174" s="10" t="s">
        <v>101</v>
      </c>
      <c r="F174" s="651" t="s">
        <v>42</v>
      </c>
      <c r="G174" s="652" t="s">
        <v>46</v>
      </c>
      <c r="H174" s="652" t="s">
        <v>89</v>
      </c>
      <c r="I174" s="653" t="s">
        <v>92</v>
      </c>
      <c r="J174" s="10"/>
      <c r="K174" s="26">
        <f>K175+K176+K177</f>
        <v>4782.0999999999995</v>
      </c>
      <c r="L174" s="26">
        <f>L175+L176+L177</f>
        <v>59.400000000000006</v>
      </c>
      <c r="M174" s="26">
        <f>M175+M176+M177</f>
        <v>4841.4999999999991</v>
      </c>
    </row>
    <row r="175" spans="1:13" s="7" customFormat="1" ht="112.5" customHeight="1" x14ac:dyDescent="0.35">
      <c r="A175" s="11"/>
      <c r="B175" s="24" t="s">
        <v>50</v>
      </c>
      <c r="C175" s="25" t="s">
        <v>1</v>
      </c>
      <c r="D175" s="10" t="s">
        <v>53</v>
      </c>
      <c r="E175" s="10" t="s">
        <v>101</v>
      </c>
      <c r="F175" s="651" t="s">
        <v>42</v>
      </c>
      <c r="G175" s="652" t="s">
        <v>46</v>
      </c>
      <c r="H175" s="652" t="s">
        <v>89</v>
      </c>
      <c r="I175" s="653" t="s">
        <v>92</v>
      </c>
      <c r="J175" s="10" t="s">
        <v>51</v>
      </c>
      <c r="K175" s="26">
        <f>5398+216.4-1027.6</f>
        <v>4586.7999999999993</v>
      </c>
      <c r="L175" s="26">
        <f>M175-K175</f>
        <v>0</v>
      </c>
      <c r="M175" s="26">
        <f>5398+216.4-1027.6</f>
        <v>4586.7999999999993</v>
      </c>
    </row>
    <row r="176" spans="1:13" s="7" customFormat="1" ht="56.25" customHeight="1" x14ac:dyDescent="0.35">
      <c r="A176" s="11"/>
      <c r="B176" s="24" t="s">
        <v>56</v>
      </c>
      <c r="C176" s="25" t="s">
        <v>1</v>
      </c>
      <c r="D176" s="10" t="s">
        <v>53</v>
      </c>
      <c r="E176" s="10" t="s">
        <v>101</v>
      </c>
      <c r="F176" s="651" t="s">
        <v>42</v>
      </c>
      <c r="G176" s="652" t="s">
        <v>46</v>
      </c>
      <c r="H176" s="652" t="s">
        <v>89</v>
      </c>
      <c r="I176" s="653" t="s">
        <v>92</v>
      </c>
      <c r="J176" s="10" t="s">
        <v>57</v>
      </c>
      <c r="K176" s="26">
        <v>145.30000000000001</v>
      </c>
      <c r="L176" s="26">
        <f>M176-K176</f>
        <v>59.400000000000006</v>
      </c>
      <c r="M176" s="26">
        <f>145.3+59.4</f>
        <v>204.70000000000002</v>
      </c>
    </row>
    <row r="177" spans="1:13" s="7" customFormat="1" ht="18" x14ac:dyDescent="0.35">
      <c r="A177" s="11"/>
      <c r="B177" s="24" t="s">
        <v>58</v>
      </c>
      <c r="C177" s="25" t="s">
        <v>1</v>
      </c>
      <c r="D177" s="10" t="s">
        <v>53</v>
      </c>
      <c r="E177" s="10" t="s">
        <v>101</v>
      </c>
      <c r="F177" s="651" t="s">
        <v>42</v>
      </c>
      <c r="G177" s="652" t="s">
        <v>46</v>
      </c>
      <c r="H177" s="652" t="s">
        <v>89</v>
      </c>
      <c r="I177" s="653" t="s">
        <v>92</v>
      </c>
      <c r="J177" s="10" t="s">
        <v>59</v>
      </c>
      <c r="K177" s="26">
        <v>50</v>
      </c>
      <c r="L177" s="26">
        <f>M177-K177</f>
        <v>0</v>
      </c>
      <c r="M177" s="26">
        <v>50</v>
      </c>
    </row>
    <row r="178" spans="1:13" s="7" customFormat="1" ht="54" x14ac:dyDescent="0.35">
      <c r="A178" s="11"/>
      <c r="B178" s="24" t="s">
        <v>644</v>
      </c>
      <c r="C178" s="25" t="s">
        <v>1</v>
      </c>
      <c r="D178" s="10" t="s">
        <v>53</v>
      </c>
      <c r="E178" s="10" t="s">
        <v>101</v>
      </c>
      <c r="F178" s="651" t="s">
        <v>42</v>
      </c>
      <c r="G178" s="652" t="s">
        <v>46</v>
      </c>
      <c r="H178" s="652" t="s">
        <v>89</v>
      </c>
      <c r="I178" s="653" t="s">
        <v>645</v>
      </c>
      <c r="J178" s="10"/>
      <c r="K178" s="26">
        <f>K179</f>
        <v>14590.3</v>
      </c>
      <c r="L178" s="26">
        <f>L179</f>
        <v>-497.39999999999964</v>
      </c>
      <c r="M178" s="26">
        <f>M179</f>
        <v>14092.9</v>
      </c>
    </row>
    <row r="179" spans="1:13" s="7" customFormat="1" ht="54" x14ac:dyDescent="0.35">
      <c r="A179" s="11"/>
      <c r="B179" s="24" t="s">
        <v>56</v>
      </c>
      <c r="C179" s="25" t="s">
        <v>1</v>
      </c>
      <c r="D179" s="10" t="s">
        <v>53</v>
      </c>
      <c r="E179" s="10" t="s">
        <v>101</v>
      </c>
      <c r="F179" s="651" t="s">
        <v>42</v>
      </c>
      <c r="G179" s="652" t="s">
        <v>46</v>
      </c>
      <c r="H179" s="652" t="s">
        <v>89</v>
      </c>
      <c r="I179" s="653" t="s">
        <v>645</v>
      </c>
      <c r="J179" s="10" t="s">
        <v>57</v>
      </c>
      <c r="K179" s="26">
        <f>6607.3+7983</f>
        <v>14590.3</v>
      </c>
      <c r="L179" s="26">
        <f>M179-K179</f>
        <v>-497.39999999999964</v>
      </c>
      <c r="M179" s="26">
        <f>6607.3+7983-497.4</f>
        <v>14092.9</v>
      </c>
    </row>
    <row r="180" spans="1:13" s="7" customFormat="1" ht="56.25" customHeight="1" x14ac:dyDescent="0.35">
      <c r="A180" s="11"/>
      <c r="B180" s="24" t="s">
        <v>610</v>
      </c>
      <c r="C180" s="25" t="s">
        <v>1</v>
      </c>
      <c r="D180" s="10" t="s">
        <v>53</v>
      </c>
      <c r="E180" s="10" t="s">
        <v>101</v>
      </c>
      <c r="F180" s="651" t="s">
        <v>42</v>
      </c>
      <c r="G180" s="652" t="s">
        <v>46</v>
      </c>
      <c r="H180" s="652" t="s">
        <v>89</v>
      </c>
      <c r="I180" s="653" t="s">
        <v>609</v>
      </c>
      <c r="J180" s="10"/>
      <c r="K180" s="26">
        <f>K181</f>
        <v>13356</v>
      </c>
      <c r="L180" s="26">
        <f>L181</f>
        <v>0</v>
      </c>
      <c r="M180" s="26">
        <f>M181</f>
        <v>13356</v>
      </c>
    </row>
    <row r="181" spans="1:13" s="7" customFormat="1" ht="56.25" customHeight="1" x14ac:dyDescent="0.35">
      <c r="A181" s="11"/>
      <c r="B181" s="24" t="s">
        <v>56</v>
      </c>
      <c r="C181" s="25" t="s">
        <v>1</v>
      </c>
      <c r="D181" s="10" t="s">
        <v>53</v>
      </c>
      <c r="E181" s="10" t="s">
        <v>101</v>
      </c>
      <c r="F181" s="651" t="s">
        <v>42</v>
      </c>
      <c r="G181" s="652" t="s">
        <v>46</v>
      </c>
      <c r="H181" s="652" t="s">
        <v>89</v>
      </c>
      <c r="I181" s="653" t="s">
        <v>609</v>
      </c>
      <c r="J181" s="10" t="s">
        <v>57</v>
      </c>
      <c r="K181" s="26">
        <f>400.7+12955.3</f>
        <v>13356</v>
      </c>
      <c r="L181" s="26">
        <f>M181-K181</f>
        <v>0</v>
      </c>
      <c r="M181" s="26">
        <f>400.7+12955.3</f>
        <v>13356</v>
      </c>
    </row>
    <row r="182" spans="1:13" s="7" customFormat="1" ht="18.75" customHeight="1" x14ac:dyDescent="0.35">
      <c r="A182" s="11"/>
      <c r="B182" s="24" t="s">
        <v>178</v>
      </c>
      <c r="C182" s="25" t="s">
        <v>1</v>
      </c>
      <c r="D182" s="10" t="s">
        <v>66</v>
      </c>
      <c r="E182" s="10"/>
      <c r="F182" s="651"/>
      <c r="G182" s="652"/>
      <c r="H182" s="652"/>
      <c r="I182" s="653"/>
      <c r="J182" s="10"/>
      <c r="K182" s="321">
        <f>K183+K193</f>
        <v>61265.600000000006</v>
      </c>
      <c r="L182" s="321">
        <f>L183+L193</f>
        <v>0</v>
      </c>
      <c r="M182" s="321">
        <f>M183+M193</f>
        <v>61265.600000000006</v>
      </c>
    </row>
    <row r="183" spans="1:13" s="7" customFormat="1" ht="18" x14ac:dyDescent="0.35">
      <c r="A183" s="11"/>
      <c r="B183" s="24" t="s">
        <v>512</v>
      </c>
      <c r="C183" s="25" t="s">
        <v>1</v>
      </c>
      <c r="D183" s="10" t="s">
        <v>66</v>
      </c>
      <c r="E183" s="10" t="s">
        <v>38</v>
      </c>
      <c r="F183" s="651"/>
      <c r="G183" s="652"/>
      <c r="H183" s="652"/>
      <c r="I183" s="653"/>
      <c r="J183" s="10"/>
      <c r="K183" s="321">
        <f>K184</f>
        <v>57931.900000000009</v>
      </c>
      <c r="L183" s="321">
        <f>L184</f>
        <v>0</v>
      </c>
      <c r="M183" s="321">
        <f>M184</f>
        <v>57931.900000000009</v>
      </c>
    </row>
    <row r="184" spans="1:13" s="7" customFormat="1" ht="72" x14ac:dyDescent="0.35">
      <c r="A184" s="11"/>
      <c r="B184" s="420" t="s">
        <v>336</v>
      </c>
      <c r="C184" s="25" t="s">
        <v>1</v>
      </c>
      <c r="D184" s="10" t="s">
        <v>66</v>
      </c>
      <c r="E184" s="10" t="s">
        <v>38</v>
      </c>
      <c r="F184" s="651" t="s">
        <v>105</v>
      </c>
      <c r="G184" s="652" t="s">
        <v>43</v>
      </c>
      <c r="H184" s="652" t="s">
        <v>44</v>
      </c>
      <c r="I184" s="653" t="s">
        <v>45</v>
      </c>
      <c r="J184" s="10"/>
      <c r="K184" s="26">
        <f>K186</f>
        <v>57931.900000000009</v>
      </c>
      <c r="L184" s="26">
        <f>L186</f>
        <v>0</v>
      </c>
      <c r="M184" s="26">
        <f>M186</f>
        <v>57931.900000000009</v>
      </c>
    </row>
    <row r="185" spans="1:13" s="7" customFormat="1" ht="36" x14ac:dyDescent="0.35">
      <c r="A185" s="11"/>
      <c r="B185" s="419" t="s">
        <v>518</v>
      </c>
      <c r="C185" s="25" t="s">
        <v>1</v>
      </c>
      <c r="D185" s="10" t="s">
        <v>66</v>
      </c>
      <c r="E185" s="10" t="s">
        <v>38</v>
      </c>
      <c r="F185" s="651" t="s">
        <v>105</v>
      </c>
      <c r="G185" s="652" t="s">
        <v>519</v>
      </c>
      <c r="H185" s="652" t="s">
        <v>44</v>
      </c>
      <c r="I185" s="653" t="s">
        <v>45</v>
      </c>
      <c r="J185" s="10"/>
      <c r="K185" s="26">
        <f>K186</f>
        <v>57931.900000000009</v>
      </c>
      <c r="L185" s="26">
        <f>L186</f>
        <v>0</v>
      </c>
      <c r="M185" s="26">
        <f>M186</f>
        <v>57931.900000000009</v>
      </c>
    </row>
    <row r="186" spans="1:13" s="7" customFormat="1" ht="54" x14ac:dyDescent="0.35">
      <c r="A186" s="11"/>
      <c r="B186" s="24" t="s">
        <v>510</v>
      </c>
      <c r="C186" s="25" t="s">
        <v>1</v>
      </c>
      <c r="D186" s="10" t="s">
        <v>66</v>
      </c>
      <c r="E186" s="10" t="s">
        <v>38</v>
      </c>
      <c r="F186" s="651" t="s">
        <v>105</v>
      </c>
      <c r="G186" s="652" t="s">
        <v>519</v>
      </c>
      <c r="H186" s="652" t="s">
        <v>507</v>
      </c>
      <c r="I186" s="653" t="s">
        <v>45</v>
      </c>
      <c r="J186" s="10"/>
      <c r="K186" s="26">
        <f>K187+K189+K191</f>
        <v>57931.900000000009</v>
      </c>
      <c r="L186" s="26">
        <f>L187+L189+L191</f>
        <v>0</v>
      </c>
      <c r="M186" s="26">
        <f>M187+M189+M191</f>
        <v>57931.900000000009</v>
      </c>
    </row>
    <row r="187" spans="1:13" s="7" customFormat="1" ht="108" x14ac:dyDescent="0.35">
      <c r="A187" s="11"/>
      <c r="B187" s="24" t="s">
        <v>511</v>
      </c>
      <c r="C187" s="25" t="s">
        <v>1</v>
      </c>
      <c r="D187" s="10" t="s">
        <v>66</v>
      </c>
      <c r="E187" s="10" t="s">
        <v>38</v>
      </c>
      <c r="F187" s="651" t="s">
        <v>105</v>
      </c>
      <c r="G187" s="652" t="s">
        <v>519</v>
      </c>
      <c r="H187" s="652" t="s">
        <v>507</v>
      </c>
      <c r="I187" s="653" t="s">
        <v>508</v>
      </c>
      <c r="J187" s="10"/>
      <c r="K187" s="26">
        <f>K188</f>
        <v>30033.800000000003</v>
      </c>
      <c r="L187" s="26">
        <f>L188</f>
        <v>0</v>
      </c>
      <c r="M187" s="26">
        <f>M188</f>
        <v>30033.800000000003</v>
      </c>
    </row>
    <row r="188" spans="1:13" s="7" customFormat="1" ht="54" x14ac:dyDescent="0.35">
      <c r="A188" s="11"/>
      <c r="B188" s="24" t="s">
        <v>204</v>
      </c>
      <c r="C188" s="25" t="s">
        <v>1</v>
      </c>
      <c r="D188" s="10" t="s">
        <v>66</v>
      </c>
      <c r="E188" s="10" t="s">
        <v>38</v>
      </c>
      <c r="F188" s="651" t="s">
        <v>105</v>
      </c>
      <c r="G188" s="652" t="s">
        <v>519</v>
      </c>
      <c r="H188" s="652" t="s">
        <v>507</v>
      </c>
      <c r="I188" s="653" t="s">
        <v>508</v>
      </c>
      <c r="J188" s="10" t="s">
        <v>205</v>
      </c>
      <c r="K188" s="26">
        <f>21532.7+8501.1</f>
        <v>30033.800000000003</v>
      </c>
      <c r="L188" s="26">
        <f>M188-K188</f>
        <v>0</v>
      </c>
      <c r="M188" s="26">
        <f>21532.7+8501.1</f>
        <v>30033.800000000003</v>
      </c>
    </row>
    <row r="189" spans="1:13" s="7" customFormat="1" ht="108" x14ac:dyDescent="0.35">
      <c r="A189" s="11"/>
      <c r="B189" s="24" t="s">
        <v>511</v>
      </c>
      <c r="C189" s="25" t="s">
        <v>1</v>
      </c>
      <c r="D189" s="10" t="s">
        <v>66</v>
      </c>
      <c r="E189" s="10" t="s">
        <v>38</v>
      </c>
      <c r="F189" s="651" t="s">
        <v>105</v>
      </c>
      <c r="G189" s="652" t="s">
        <v>519</v>
      </c>
      <c r="H189" s="652" t="s">
        <v>507</v>
      </c>
      <c r="I189" s="653" t="s">
        <v>509</v>
      </c>
      <c r="J189" s="10"/>
      <c r="K189" s="26">
        <f>K190</f>
        <v>21236.9</v>
      </c>
      <c r="L189" s="26">
        <f>L190</f>
        <v>0</v>
      </c>
      <c r="M189" s="26">
        <f>M190</f>
        <v>21236.9</v>
      </c>
    </row>
    <row r="190" spans="1:13" s="7" customFormat="1" ht="54" x14ac:dyDescent="0.35">
      <c r="A190" s="11"/>
      <c r="B190" s="261" t="s">
        <v>204</v>
      </c>
      <c r="C190" s="25" t="s">
        <v>1</v>
      </c>
      <c r="D190" s="10" t="s">
        <v>66</v>
      </c>
      <c r="E190" s="10" t="s">
        <v>38</v>
      </c>
      <c r="F190" s="651" t="s">
        <v>105</v>
      </c>
      <c r="G190" s="652" t="s">
        <v>519</v>
      </c>
      <c r="H190" s="652" t="s">
        <v>507</v>
      </c>
      <c r="I190" s="653" t="s">
        <v>509</v>
      </c>
      <c r="J190" s="10" t="s">
        <v>205</v>
      </c>
      <c r="K190" s="26">
        <f>15225.8+6011.1</f>
        <v>21236.9</v>
      </c>
      <c r="L190" s="26">
        <f>M190-K190</f>
        <v>0</v>
      </c>
      <c r="M190" s="26">
        <f>15225.8+6011.1</f>
        <v>21236.9</v>
      </c>
    </row>
    <row r="191" spans="1:13" s="7" customFormat="1" ht="108" x14ac:dyDescent="0.35">
      <c r="A191" s="11"/>
      <c r="B191" s="24" t="s">
        <v>511</v>
      </c>
      <c r="C191" s="25" t="s">
        <v>1</v>
      </c>
      <c r="D191" s="10" t="s">
        <v>66</v>
      </c>
      <c r="E191" s="10" t="s">
        <v>38</v>
      </c>
      <c r="F191" s="651" t="s">
        <v>105</v>
      </c>
      <c r="G191" s="652" t="s">
        <v>519</v>
      </c>
      <c r="H191" s="652" t="s">
        <v>507</v>
      </c>
      <c r="I191" s="653" t="s">
        <v>580</v>
      </c>
      <c r="J191" s="10"/>
      <c r="K191" s="26">
        <f>K192</f>
        <v>6661.2000000000007</v>
      </c>
      <c r="L191" s="26">
        <f>L192</f>
        <v>0</v>
      </c>
      <c r="M191" s="26">
        <f>M192</f>
        <v>6661.2000000000007</v>
      </c>
    </row>
    <row r="192" spans="1:13" s="7" customFormat="1" ht="54" x14ac:dyDescent="0.35">
      <c r="A192" s="11"/>
      <c r="B192" s="24" t="s">
        <v>204</v>
      </c>
      <c r="C192" s="25" t="s">
        <v>1</v>
      </c>
      <c r="D192" s="10" t="s">
        <v>66</v>
      </c>
      <c r="E192" s="10" t="s">
        <v>38</v>
      </c>
      <c r="F192" s="651" t="s">
        <v>105</v>
      </c>
      <c r="G192" s="652" t="s">
        <v>519</v>
      </c>
      <c r="H192" s="652" t="s">
        <v>507</v>
      </c>
      <c r="I192" s="653" t="s">
        <v>580</v>
      </c>
      <c r="J192" s="10" t="s">
        <v>205</v>
      </c>
      <c r="K192" s="26">
        <f>1213.9+5447.3</f>
        <v>6661.2000000000007</v>
      </c>
      <c r="L192" s="26">
        <f>M192-K192</f>
        <v>0</v>
      </c>
      <c r="M192" s="26">
        <f>1213.9+5447.3</f>
        <v>6661.2000000000007</v>
      </c>
    </row>
    <row r="193" spans="1:13" s="7" customFormat="1" ht="18.75" customHeight="1" x14ac:dyDescent="0.35">
      <c r="A193" s="11"/>
      <c r="B193" s="24" t="s">
        <v>539</v>
      </c>
      <c r="C193" s="25" t="s">
        <v>1</v>
      </c>
      <c r="D193" s="10" t="s">
        <v>66</v>
      </c>
      <c r="E193" s="10" t="s">
        <v>64</v>
      </c>
      <c r="F193" s="651"/>
      <c r="G193" s="652"/>
      <c r="H193" s="652"/>
      <c r="I193" s="653"/>
      <c r="J193" s="10"/>
      <c r="K193" s="321">
        <f>K194</f>
        <v>3333.7</v>
      </c>
      <c r="L193" s="321">
        <f>L194</f>
        <v>0</v>
      </c>
      <c r="M193" s="321">
        <f>M194</f>
        <v>3333.7</v>
      </c>
    </row>
    <row r="194" spans="1:13" s="7" customFormat="1" ht="75" customHeight="1" x14ac:dyDescent="0.35">
      <c r="A194" s="11"/>
      <c r="B194" s="24" t="s">
        <v>540</v>
      </c>
      <c r="C194" s="25" t="s">
        <v>1</v>
      </c>
      <c r="D194" s="10" t="s">
        <v>66</v>
      </c>
      <c r="E194" s="10" t="s">
        <v>64</v>
      </c>
      <c r="F194" s="651" t="s">
        <v>105</v>
      </c>
      <c r="G194" s="652" t="s">
        <v>43</v>
      </c>
      <c r="H194" s="652" t="s">
        <v>44</v>
      </c>
      <c r="I194" s="653" t="s">
        <v>45</v>
      </c>
      <c r="J194" s="10"/>
      <c r="K194" s="321">
        <f>K195+K199</f>
        <v>3333.7</v>
      </c>
      <c r="L194" s="321">
        <f>L195+L199</f>
        <v>0</v>
      </c>
      <c r="M194" s="321">
        <f>M195+M199</f>
        <v>3333.7</v>
      </c>
    </row>
    <row r="195" spans="1:13" s="7" customFormat="1" ht="36" x14ac:dyDescent="0.35">
      <c r="A195" s="11"/>
      <c r="B195" s="418" t="s">
        <v>343</v>
      </c>
      <c r="C195" s="25" t="s">
        <v>1</v>
      </c>
      <c r="D195" s="10" t="s">
        <v>66</v>
      </c>
      <c r="E195" s="10" t="s">
        <v>64</v>
      </c>
      <c r="F195" s="651" t="s">
        <v>105</v>
      </c>
      <c r="G195" s="652" t="s">
        <v>31</v>
      </c>
      <c r="H195" s="652" t="s">
        <v>44</v>
      </c>
      <c r="I195" s="653" t="s">
        <v>45</v>
      </c>
      <c r="J195" s="10"/>
      <c r="K195" s="26">
        <f>K196</f>
        <v>2109.1999999999998</v>
      </c>
      <c r="L195" s="26">
        <f>L196</f>
        <v>0</v>
      </c>
      <c r="M195" s="26">
        <f>M196</f>
        <v>2109.1999999999998</v>
      </c>
    </row>
    <row r="196" spans="1:13" s="7" customFormat="1" ht="36" x14ac:dyDescent="0.35">
      <c r="A196" s="11"/>
      <c r="B196" s="351" t="s">
        <v>552</v>
      </c>
      <c r="C196" s="25" t="s">
        <v>1</v>
      </c>
      <c r="D196" s="10" t="s">
        <v>66</v>
      </c>
      <c r="E196" s="10" t="s">
        <v>64</v>
      </c>
      <c r="F196" s="651" t="s">
        <v>105</v>
      </c>
      <c r="G196" s="652" t="s">
        <v>31</v>
      </c>
      <c r="H196" s="652" t="s">
        <v>227</v>
      </c>
      <c r="I196" s="653" t="s">
        <v>45</v>
      </c>
      <c r="J196" s="10"/>
      <c r="K196" s="26">
        <f t="shared" ref="K196:M197" si="22">K197</f>
        <v>2109.1999999999998</v>
      </c>
      <c r="L196" s="26">
        <f t="shared" si="22"/>
        <v>0</v>
      </c>
      <c r="M196" s="26">
        <f t="shared" si="22"/>
        <v>2109.1999999999998</v>
      </c>
    </row>
    <row r="197" spans="1:13" s="7" customFormat="1" ht="18" x14ac:dyDescent="0.35">
      <c r="A197" s="11"/>
      <c r="B197" s="351" t="s">
        <v>553</v>
      </c>
      <c r="C197" s="25" t="s">
        <v>1</v>
      </c>
      <c r="D197" s="10" t="s">
        <v>66</v>
      </c>
      <c r="E197" s="10" t="s">
        <v>64</v>
      </c>
      <c r="F197" s="651" t="s">
        <v>105</v>
      </c>
      <c r="G197" s="652" t="s">
        <v>31</v>
      </c>
      <c r="H197" s="652" t="s">
        <v>227</v>
      </c>
      <c r="I197" s="653" t="s">
        <v>551</v>
      </c>
      <c r="J197" s="10"/>
      <c r="K197" s="26">
        <f t="shared" si="22"/>
        <v>2109.1999999999998</v>
      </c>
      <c r="L197" s="26">
        <f t="shared" si="22"/>
        <v>0</v>
      </c>
      <c r="M197" s="26">
        <f t="shared" si="22"/>
        <v>2109.1999999999998</v>
      </c>
    </row>
    <row r="198" spans="1:13" s="7" customFormat="1" ht="54" x14ac:dyDescent="0.35">
      <c r="A198" s="11"/>
      <c r="B198" s="351" t="s">
        <v>56</v>
      </c>
      <c r="C198" s="25" t="s">
        <v>1</v>
      </c>
      <c r="D198" s="10" t="s">
        <v>66</v>
      </c>
      <c r="E198" s="10" t="s">
        <v>64</v>
      </c>
      <c r="F198" s="651" t="s">
        <v>105</v>
      </c>
      <c r="G198" s="652" t="s">
        <v>31</v>
      </c>
      <c r="H198" s="652" t="s">
        <v>227</v>
      </c>
      <c r="I198" s="653" t="s">
        <v>551</v>
      </c>
      <c r="J198" s="10" t="s">
        <v>57</v>
      </c>
      <c r="K198" s="26">
        <v>2109.1999999999998</v>
      </c>
      <c r="L198" s="26">
        <f>M198-K198</f>
        <v>0</v>
      </c>
      <c r="M198" s="26">
        <v>2109.1999999999998</v>
      </c>
    </row>
    <row r="199" spans="1:13" s="7" customFormat="1" ht="56.25" customHeight="1" x14ac:dyDescent="0.35">
      <c r="A199" s="11"/>
      <c r="B199" s="24" t="s">
        <v>541</v>
      </c>
      <c r="C199" s="25" t="s">
        <v>1</v>
      </c>
      <c r="D199" s="10" t="s">
        <v>66</v>
      </c>
      <c r="E199" s="10" t="s">
        <v>64</v>
      </c>
      <c r="F199" s="651" t="s">
        <v>105</v>
      </c>
      <c r="G199" s="652" t="s">
        <v>35</v>
      </c>
      <c r="H199" s="652" t="s">
        <v>44</v>
      </c>
      <c r="I199" s="653" t="s">
        <v>45</v>
      </c>
      <c r="J199" s="10"/>
      <c r="K199" s="321">
        <f t="shared" ref="K199:M201" si="23">K200</f>
        <v>1224.5</v>
      </c>
      <c r="L199" s="321">
        <f t="shared" si="23"/>
        <v>0</v>
      </c>
      <c r="M199" s="321">
        <f t="shared" si="23"/>
        <v>1224.5</v>
      </c>
    </row>
    <row r="200" spans="1:13" s="7" customFormat="1" ht="56.25" customHeight="1" x14ac:dyDescent="0.35">
      <c r="A200" s="11"/>
      <c r="B200" s="24" t="s">
        <v>542</v>
      </c>
      <c r="C200" s="25" t="s">
        <v>1</v>
      </c>
      <c r="D200" s="10" t="s">
        <v>66</v>
      </c>
      <c r="E200" s="10" t="s">
        <v>64</v>
      </c>
      <c r="F200" s="651" t="s">
        <v>105</v>
      </c>
      <c r="G200" s="652" t="s">
        <v>35</v>
      </c>
      <c r="H200" s="652" t="s">
        <v>38</v>
      </c>
      <c r="I200" s="653" t="s">
        <v>45</v>
      </c>
      <c r="J200" s="10"/>
      <c r="K200" s="321">
        <f t="shared" si="23"/>
        <v>1224.5</v>
      </c>
      <c r="L200" s="321">
        <f t="shared" si="23"/>
        <v>0</v>
      </c>
      <c r="M200" s="321">
        <f t="shared" si="23"/>
        <v>1224.5</v>
      </c>
    </row>
    <row r="201" spans="1:13" s="7" customFormat="1" ht="36" x14ac:dyDescent="0.35">
      <c r="A201" s="11"/>
      <c r="B201" s="24" t="s">
        <v>543</v>
      </c>
      <c r="C201" s="25" t="s">
        <v>1</v>
      </c>
      <c r="D201" s="10" t="s">
        <v>66</v>
      </c>
      <c r="E201" s="10" t="s">
        <v>64</v>
      </c>
      <c r="F201" s="651" t="s">
        <v>105</v>
      </c>
      <c r="G201" s="652" t="s">
        <v>35</v>
      </c>
      <c r="H201" s="652" t="s">
        <v>38</v>
      </c>
      <c r="I201" s="653" t="s">
        <v>544</v>
      </c>
      <c r="J201" s="10"/>
      <c r="K201" s="321">
        <f t="shared" si="23"/>
        <v>1224.5</v>
      </c>
      <c r="L201" s="321">
        <f t="shared" si="23"/>
        <v>0</v>
      </c>
      <c r="M201" s="321">
        <f t="shared" si="23"/>
        <v>1224.5</v>
      </c>
    </row>
    <row r="202" spans="1:13" s="7" customFormat="1" ht="56.25" customHeight="1" x14ac:dyDescent="0.35">
      <c r="A202" s="11"/>
      <c r="B202" s="24" t="s">
        <v>56</v>
      </c>
      <c r="C202" s="25" t="s">
        <v>1</v>
      </c>
      <c r="D202" s="10" t="s">
        <v>66</v>
      </c>
      <c r="E202" s="10" t="s">
        <v>64</v>
      </c>
      <c r="F202" s="651" t="s">
        <v>105</v>
      </c>
      <c r="G202" s="652" t="s">
        <v>35</v>
      </c>
      <c r="H202" s="652" t="s">
        <v>38</v>
      </c>
      <c r="I202" s="653" t="s">
        <v>544</v>
      </c>
      <c r="J202" s="10" t="s">
        <v>57</v>
      </c>
      <c r="K202" s="26">
        <v>1224.5</v>
      </c>
      <c r="L202" s="26">
        <f>M202-K202</f>
        <v>0</v>
      </c>
      <c r="M202" s="26">
        <v>1224.5</v>
      </c>
    </row>
    <row r="203" spans="1:13" s="7" customFormat="1" ht="18" x14ac:dyDescent="0.35">
      <c r="A203" s="11"/>
      <c r="B203" s="24" t="s">
        <v>180</v>
      </c>
      <c r="C203" s="25" t="s">
        <v>1</v>
      </c>
      <c r="D203" s="10" t="s">
        <v>225</v>
      </c>
      <c r="E203" s="10"/>
      <c r="F203" s="651"/>
      <c r="G203" s="652"/>
      <c r="H203" s="652"/>
      <c r="I203" s="653"/>
      <c r="J203" s="10"/>
      <c r="K203" s="26">
        <f>K204</f>
        <v>137.4</v>
      </c>
      <c r="L203" s="26">
        <f>L204</f>
        <v>36</v>
      </c>
      <c r="M203" s="26">
        <f>M204</f>
        <v>173.4</v>
      </c>
    </row>
    <row r="204" spans="1:13" s="7" customFormat="1" ht="36" x14ac:dyDescent="0.35">
      <c r="A204" s="11"/>
      <c r="B204" s="24" t="s">
        <v>599</v>
      </c>
      <c r="C204" s="25" t="s">
        <v>1</v>
      </c>
      <c r="D204" s="10" t="s">
        <v>225</v>
      </c>
      <c r="E204" s="10" t="s">
        <v>66</v>
      </c>
      <c r="F204" s="651"/>
      <c r="G204" s="652"/>
      <c r="H204" s="652"/>
      <c r="I204" s="653"/>
      <c r="J204" s="10"/>
      <c r="K204" s="26">
        <f t="shared" ref="K204:M208" si="24">K205</f>
        <v>137.4</v>
      </c>
      <c r="L204" s="26">
        <f t="shared" si="24"/>
        <v>36</v>
      </c>
      <c r="M204" s="26">
        <f t="shared" si="24"/>
        <v>173.4</v>
      </c>
    </row>
    <row r="205" spans="1:13" s="7" customFormat="1" ht="56.25" customHeight="1" x14ac:dyDescent="0.35">
      <c r="A205" s="11"/>
      <c r="B205" s="24" t="s">
        <v>41</v>
      </c>
      <c r="C205" s="25" t="s">
        <v>1</v>
      </c>
      <c r="D205" s="10" t="s">
        <v>225</v>
      </c>
      <c r="E205" s="10" t="s">
        <v>66</v>
      </c>
      <c r="F205" s="651" t="s">
        <v>42</v>
      </c>
      <c r="G205" s="652" t="s">
        <v>43</v>
      </c>
      <c r="H205" s="652" t="s">
        <v>44</v>
      </c>
      <c r="I205" s="653" t="s">
        <v>45</v>
      </c>
      <c r="J205" s="10"/>
      <c r="K205" s="26">
        <f t="shared" si="24"/>
        <v>137.4</v>
      </c>
      <c r="L205" s="26">
        <f t="shared" si="24"/>
        <v>36</v>
      </c>
      <c r="M205" s="26">
        <f t="shared" si="24"/>
        <v>173.4</v>
      </c>
    </row>
    <row r="206" spans="1:13" s="7" customFormat="1" ht="36" customHeight="1" x14ac:dyDescent="0.35">
      <c r="A206" s="11"/>
      <c r="B206" s="24" t="s">
        <v>343</v>
      </c>
      <c r="C206" s="25" t="s">
        <v>1</v>
      </c>
      <c r="D206" s="10" t="s">
        <v>225</v>
      </c>
      <c r="E206" s="10" t="s">
        <v>66</v>
      </c>
      <c r="F206" s="651" t="s">
        <v>42</v>
      </c>
      <c r="G206" s="652" t="s">
        <v>46</v>
      </c>
      <c r="H206" s="652" t="s">
        <v>44</v>
      </c>
      <c r="I206" s="653" t="s">
        <v>45</v>
      </c>
      <c r="J206" s="10"/>
      <c r="K206" s="26">
        <f t="shared" si="24"/>
        <v>137.4</v>
      </c>
      <c r="L206" s="26">
        <f t="shared" si="24"/>
        <v>36</v>
      </c>
      <c r="M206" s="26">
        <f t="shared" si="24"/>
        <v>173.4</v>
      </c>
    </row>
    <row r="207" spans="1:13" s="7" customFormat="1" ht="18" x14ac:dyDescent="0.35">
      <c r="A207" s="11"/>
      <c r="B207" s="24" t="s">
        <v>63</v>
      </c>
      <c r="C207" s="25" t="s">
        <v>1</v>
      </c>
      <c r="D207" s="10" t="s">
        <v>225</v>
      </c>
      <c r="E207" s="10" t="s">
        <v>66</v>
      </c>
      <c r="F207" s="651" t="s">
        <v>42</v>
      </c>
      <c r="G207" s="652" t="s">
        <v>46</v>
      </c>
      <c r="H207" s="652" t="s">
        <v>64</v>
      </c>
      <c r="I207" s="653" t="s">
        <v>45</v>
      </c>
      <c r="J207" s="10"/>
      <c r="K207" s="26">
        <f t="shared" si="24"/>
        <v>137.4</v>
      </c>
      <c r="L207" s="26">
        <f t="shared" si="24"/>
        <v>36</v>
      </c>
      <c r="M207" s="26">
        <f t="shared" si="24"/>
        <v>173.4</v>
      </c>
    </row>
    <row r="208" spans="1:13" s="7" customFormat="1" ht="36" x14ac:dyDescent="0.35">
      <c r="A208" s="11"/>
      <c r="B208" s="24" t="s">
        <v>601</v>
      </c>
      <c r="C208" s="25" t="s">
        <v>1</v>
      </c>
      <c r="D208" s="10" t="s">
        <v>225</v>
      </c>
      <c r="E208" s="10" t="s">
        <v>66</v>
      </c>
      <c r="F208" s="651" t="s">
        <v>42</v>
      </c>
      <c r="G208" s="652" t="s">
        <v>46</v>
      </c>
      <c r="H208" s="652" t="s">
        <v>64</v>
      </c>
      <c r="I208" s="653" t="s">
        <v>600</v>
      </c>
      <c r="J208" s="10"/>
      <c r="K208" s="26">
        <f t="shared" si="24"/>
        <v>137.4</v>
      </c>
      <c r="L208" s="26">
        <f t="shared" si="24"/>
        <v>36</v>
      </c>
      <c r="M208" s="26">
        <f t="shared" si="24"/>
        <v>173.4</v>
      </c>
    </row>
    <row r="209" spans="1:13" s="7" customFormat="1" ht="56.25" customHeight="1" x14ac:dyDescent="0.35">
      <c r="A209" s="11"/>
      <c r="B209" s="24" t="s">
        <v>56</v>
      </c>
      <c r="C209" s="25" t="s">
        <v>1</v>
      </c>
      <c r="D209" s="10" t="s">
        <v>225</v>
      </c>
      <c r="E209" s="10" t="s">
        <v>66</v>
      </c>
      <c r="F209" s="651" t="s">
        <v>42</v>
      </c>
      <c r="G209" s="652" t="s">
        <v>46</v>
      </c>
      <c r="H209" s="652" t="s">
        <v>64</v>
      </c>
      <c r="I209" s="653" t="s">
        <v>600</v>
      </c>
      <c r="J209" s="10" t="s">
        <v>57</v>
      </c>
      <c r="K209" s="26">
        <f>112.4+25</f>
        <v>137.4</v>
      </c>
      <c r="L209" s="26">
        <f>M209-K209</f>
        <v>36</v>
      </c>
      <c r="M209" s="26">
        <f>112.4+25+36</f>
        <v>173.4</v>
      </c>
    </row>
    <row r="210" spans="1:13" s="143" customFormat="1" ht="18.75" customHeight="1" x14ac:dyDescent="0.35">
      <c r="A210" s="11"/>
      <c r="B210" s="24" t="s">
        <v>120</v>
      </c>
      <c r="C210" s="25" t="s">
        <v>1</v>
      </c>
      <c r="D210" s="10" t="s">
        <v>105</v>
      </c>
      <c r="E210" s="10"/>
      <c r="F210" s="651"/>
      <c r="G210" s="652"/>
      <c r="H210" s="652"/>
      <c r="I210" s="653"/>
      <c r="J210" s="10"/>
      <c r="K210" s="26">
        <f>K211+K217</f>
        <v>2389.6999999999998</v>
      </c>
      <c r="L210" s="26">
        <f>L211+L217</f>
        <v>-299</v>
      </c>
      <c r="M210" s="26">
        <f>M211+M217</f>
        <v>2090.6999999999998</v>
      </c>
    </row>
    <row r="211" spans="1:13" s="143" customFormat="1" ht="18.75" customHeight="1" x14ac:dyDescent="0.35">
      <c r="A211" s="11"/>
      <c r="B211" s="24" t="s">
        <v>362</v>
      </c>
      <c r="C211" s="25" t="s">
        <v>1</v>
      </c>
      <c r="D211" s="10" t="s">
        <v>105</v>
      </c>
      <c r="E211" s="10" t="s">
        <v>38</v>
      </c>
      <c r="F211" s="651"/>
      <c r="G211" s="652"/>
      <c r="H211" s="652"/>
      <c r="I211" s="653"/>
      <c r="J211" s="10"/>
      <c r="K211" s="26">
        <f t="shared" ref="K211:M215" si="25">K212</f>
        <v>1200</v>
      </c>
      <c r="L211" s="26">
        <f t="shared" si="25"/>
        <v>-299</v>
      </c>
      <c r="M211" s="26">
        <f t="shared" si="25"/>
        <v>901</v>
      </c>
    </row>
    <row r="212" spans="1:13" s="143" customFormat="1" ht="56.25" customHeight="1" x14ac:dyDescent="0.35">
      <c r="A212" s="11"/>
      <c r="B212" s="31" t="s">
        <v>297</v>
      </c>
      <c r="C212" s="25" t="s">
        <v>1</v>
      </c>
      <c r="D212" s="10" t="s">
        <v>105</v>
      </c>
      <c r="E212" s="10" t="s">
        <v>38</v>
      </c>
      <c r="F212" s="651" t="s">
        <v>80</v>
      </c>
      <c r="G212" s="652" t="s">
        <v>43</v>
      </c>
      <c r="H212" s="652" t="s">
        <v>44</v>
      </c>
      <c r="I212" s="653" t="s">
        <v>45</v>
      </c>
      <c r="J212" s="10"/>
      <c r="K212" s="26">
        <f t="shared" si="25"/>
        <v>1200</v>
      </c>
      <c r="L212" s="26">
        <f t="shared" si="25"/>
        <v>-299</v>
      </c>
      <c r="M212" s="26">
        <f t="shared" si="25"/>
        <v>901</v>
      </c>
    </row>
    <row r="213" spans="1:13" s="143" customFormat="1" ht="37.5" customHeight="1" x14ac:dyDescent="0.35">
      <c r="A213" s="11"/>
      <c r="B213" s="24" t="s">
        <v>343</v>
      </c>
      <c r="C213" s="25" t="s">
        <v>1</v>
      </c>
      <c r="D213" s="10" t="s">
        <v>105</v>
      </c>
      <c r="E213" s="10" t="s">
        <v>38</v>
      </c>
      <c r="F213" s="651" t="s">
        <v>80</v>
      </c>
      <c r="G213" s="652" t="s">
        <v>46</v>
      </c>
      <c r="H213" s="652" t="s">
        <v>44</v>
      </c>
      <c r="I213" s="653" t="s">
        <v>45</v>
      </c>
      <c r="J213" s="10"/>
      <c r="K213" s="26">
        <f t="shared" si="25"/>
        <v>1200</v>
      </c>
      <c r="L213" s="26">
        <f t="shared" si="25"/>
        <v>-299</v>
      </c>
      <c r="M213" s="26">
        <f t="shared" si="25"/>
        <v>901</v>
      </c>
    </row>
    <row r="214" spans="1:13" s="143" customFormat="1" ht="93.75" customHeight="1" x14ac:dyDescent="0.35">
      <c r="A214" s="11"/>
      <c r="B214" s="27" t="s">
        <v>472</v>
      </c>
      <c r="C214" s="25" t="s">
        <v>1</v>
      </c>
      <c r="D214" s="10" t="s">
        <v>105</v>
      </c>
      <c r="E214" s="10" t="s">
        <v>38</v>
      </c>
      <c r="F214" s="651" t="s">
        <v>80</v>
      </c>
      <c r="G214" s="652" t="s">
        <v>46</v>
      </c>
      <c r="H214" s="652" t="s">
        <v>53</v>
      </c>
      <c r="I214" s="653" t="s">
        <v>45</v>
      </c>
      <c r="J214" s="10"/>
      <c r="K214" s="26">
        <f t="shared" si="25"/>
        <v>1200</v>
      </c>
      <c r="L214" s="26">
        <f t="shared" si="25"/>
        <v>-299</v>
      </c>
      <c r="M214" s="26">
        <f t="shared" si="25"/>
        <v>901</v>
      </c>
    </row>
    <row r="215" spans="1:13" s="143" customFormat="1" ht="72" x14ac:dyDescent="0.35">
      <c r="A215" s="11"/>
      <c r="B215" s="27" t="s">
        <v>467</v>
      </c>
      <c r="C215" s="25" t="s">
        <v>1</v>
      </c>
      <c r="D215" s="10" t="s">
        <v>105</v>
      </c>
      <c r="E215" s="10" t="s">
        <v>38</v>
      </c>
      <c r="F215" s="651" t="s">
        <v>80</v>
      </c>
      <c r="G215" s="652" t="s">
        <v>46</v>
      </c>
      <c r="H215" s="652" t="s">
        <v>53</v>
      </c>
      <c r="I215" s="653" t="s">
        <v>363</v>
      </c>
      <c r="J215" s="10"/>
      <c r="K215" s="26">
        <f t="shared" si="25"/>
        <v>1200</v>
      </c>
      <c r="L215" s="26">
        <f t="shared" si="25"/>
        <v>-299</v>
      </c>
      <c r="M215" s="26">
        <f t="shared" si="25"/>
        <v>901</v>
      </c>
    </row>
    <row r="216" spans="1:13" s="143" customFormat="1" ht="37.5" customHeight="1" x14ac:dyDescent="0.35">
      <c r="A216" s="11"/>
      <c r="B216" s="28" t="s">
        <v>121</v>
      </c>
      <c r="C216" s="25" t="s">
        <v>1</v>
      </c>
      <c r="D216" s="10" t="s">
        <v>105</v>
      </c>
      <c r="E216" s="10" t="s">
        <v>38</v>
      </c>
      <c r="F216" s="651" t="s">
        <v>80</v>
      </c>
      <c r="G216" s="652" t="s">
        <v>46</v>
      </c>
      <c r="H216" s="652" t="s">
        <v>53</v>
      </c>
      <c r="I216" s="653" t="s">
        <v>363</v>
      </c>
      <c r="J216" s="10" t="s">
        <v>122</v>
      </c>
      <c r="K216" s="26">
        <f>504+696</f>
        <v>1200</v>
      </c>
      <c r="L216" s="26">
        <f>M216-K216</f>
        <v>-299</v>
      </c>
      <c r="M216" s="26">
        <f>504+696-299</f>
        <v>901</v>
      </c>
    </row>
    <row r="217" spans="1:13" s="143" customFormat="1" ht="37.5" customHeight="1" x14ac:dyDescent="0.35">
      <c r="A217" s="11"/>
      <c r="B217" s="24" t="s">
        <v>123</v>
      </c>
      <c r="C217" s="25" t="s">
        <v>1</v>
      </c>
      <c r="D217" s="10" t="s">
        <v>105</v>
      </c>
      <c r="E217" s="10" t="s">
        <v>82</v>
      </c>
      <c r="F217" s="651"/>
      <c r="G217" s="652"/>
      <c r="H217" s="652"/>
      <c r="I217" s="653"/>
      <c r="J217" s="10"/>
      <c r="K217" s="26">
        <f>K218</f>
        <v>1189.7</v>
      </c>
      <c r="L217" s="26">
        <f>L218</f>
        <v>0</v>
      </c>
      <c r="M217" s="26">
        <f>M218</f>
        <v>1189.7</v>
      </c>
    </row>
    <row r="218" spans="1:13" s="143" customFormat="1" ht="78" customHeight="1" x14ac:dyDescent="0.35">
      <c r="A218" s="11"/>
      <c r="B218" s="24" t="s">
        <v>73</v>
      </c>
      <c r="C218" s="25" t="s">
        <v>1</v>
      </c>
      <c r="D218" s="10" t="s">
        <v>105</v>
      </c>
      <c r="E218" s="10" t="s">
        <v>82</v>
      </c>
      <c r="F218" s="651" t="s">
        <v>74</v>
      </c>
      <c r="G218" s="652" t="s">
        <v>43</v>
      </c>
      <c r="H218" s="652" t="s">
        <v>44</v>
      </c>
      <c r="I218" s="653" t="s">
        <v>45</v>
      </c>
      <c r="J218" s="10"/>
      <c r="K218" s="26">
        <f t="shared" ref="K218:M221" si="26">K219</f>
        <v>1189.7</v>
      </c>
      <c r="L218" s="26">
        <f t="shared" si="26"/>
        <v>0</v>
      </c>
      <c r="M218" s="26">
        <f t="shared" si="26"/>
        <v>1189.7</v>
      </c>
    </row>
    <row r="219" spans="1:13" s="143" customFormat="1" ht="37.5" customHeight="1" x14ac:dyDescent="0.35">
      <c r="A219" s="11"/>
      <c r="B219" s="24" t="s">
        <v>343</v>
      </c>
      <c r="C219" s="25" t="s">
        <v>1</v>
      </c>
      <c r="D219" s="10" t="s">
        <v>105</v>
      </c>
      <c r="E219" s="10" t="s">
        <v>82</v>
      </c>
      <c r="F219" s="651" t="s">
        <v>74</v>
      </c>
      <c r="G219" s="652" t="s">
        <v>46</v>
      </c>
      <c r="H219" s="652" t="s">
        <v>44</v>
      </c>
      <c r="I219" s="653" t="s">
        <v>45</v>
      </c>
      <c r="J219" s="10"/>
      <c r="K219" s="26">
        <f t="shared" si="26"/>
        <v>1189.7</v>
      </c>
      <c r="L219" s="26">
        <f t="shared" si="26"/>
        <v>0</v>
      </c>
      <c r="M219" s="26">
        <f t="shared" si="26"/>
        <v>1189.7</v>
      </c>
    </row>
    <row r="220" spans="1:13" s="143" customFormat="1" ht="56.25" customHeight="1" x14ac:dyDescent="0.35">
      <c r="A220" s="11"/>
      <c r="B220" s="27" t="s">
        <v>267</v>
      </c>
      <c r="C220" s="25" t="s">
        <v>1</v>
      </c>
      <c r="D220" s="10" t="s">
        <v>105</v>
      </c>
      <c r="E220" s="10" t="s">
        <v>82</v>
      </c>
      <c r="F220" s="651" t="s">
        <v>74</v>
      </c>
      <c r="G220" s="652" t="s">
        <v>46</v>
      </c>
      <c r="H220" s="652" t="s">
        <v>38</v>
      </c>
      <c r="I220" s="653" t="s">
        <v>45</v>
      </c>
      <c r="J220" s="10"/>
      <c r="K220" s="26">
        <f t="shared" si="26"/>
        <v>1189.7</v>
      </c>
      <c r="L220" s="26">
        <f t="shared" si="26"/>
        <v>0</v>
      </c>
      <c r="M220" s="26">
        <f t="shared" si="26"/>
        <v>1189.7</v>
      </c>
    </row>
    <row r="221" spans="1:13" s="143" customFormat="1" ht="53.4" customHeight="1" x14ac:dyDescent="0.35">
      <c r="A221" s="11"/>
      <c r="B221" s="27" t="s">
        <v>75</v>
      </c>
      <c r="C221" s="25" t="s">
        <v>1</v>
      </c>
      <c r="D221" s="10" t="s">
        <v>105</v>
      </c>
      <c r="E221" s="10" t="s">
        <v>82</v>
      </c>
      <c r="F221" s="651" t="s">
        <v>74</v>
      </c>
      <c r="G221" s="652" t="s">
        <v>46</v>
      </c>
      <c r="H221" s="652" t="s">
        <v>38</v>
      </c>
      <c r="I221" s="653" t="s">
        <v>76</v>
      </c>
      <c r="J221" s="10"/>
      <c r="K221" s="26">
        <f t="shared" si="26"/>
        <v>1189.7</v>
      </c>
      <c r="L221" s="26">
        <f t="shared" si="26"/>
        <v>0</v>
      </c>
      <c r="M221" s="26">
        <f t="shared" si="26"/>
        <v>1189.7</v>
      </c>
    </row>
    <row r="222" spans="1:13" s="143" customFormat="1" ht="56.25" customHeight="1" x14ac:dyDescent="0.35">
      <c r="A222" s="11"/>
      <c r="B222" s="28" t="s">
        <v>77</v>
      </c>
      <c r="C222" s="25" t="s">
        <v>1</v>
      </c>
      <c r="D222" s="10" t="s">
        <v>105</v>
      </c>
      <c r="E222" s="10" t="s">
        <v>82</v>
      </c>
      <c r="F222" s="651" t="s">
        <v>74</v>
      </c>
      <c r="G222" s="652" t="s">
        <v>46</v>
      </c>
      <c r="H222" s="652" t="s">
        <v>38</v>
      </c>
      <c r="I222" s="653" t="s">
        <v>76</v>
      </c>
      <c r="J222" s="10" t="s">
        <v>78</v>
      </c>
      <c r="K222" s="26">
        <f>1027.7+112+50</f>
        <v>1189.7</v>
      </c>
      <c r="L222" s="26">
        <f>M222-K222</f>
        <v>0</v>
      </c>
      <c r="M222" s="26">
        <f>1027.7+112+50</f>
        <v>1189.7</v>
      </c>
    </row>
    <row r="223" spans="1:13" s="143" customFormat="1" ht="37.5" customHeight="1" x14ac:dyDescent="0.35">
      <c r="A223" s="11"/>
      <c r="B223" s="297" t="s">
        <v>390</v>
      </c>
      <c r="C223" s="25" t="s">
        <v>1</v>
      </c>
      <c r="D223" s="10" t="s">
        <v>72</v>
      </c>
      <c r="E223" s="10"/>
      <c r="F223" s="651"/>
      <c r="G223" s="652"/>
      <c r="H223" s="652"/>
      <c r="I223" s="653"/>
      <c r="J223" s="10"/>
      <c r="K223" s="26">
        <f t="shared" ref="K223:M228" si="27">K224</f>
        <v>9.4</v>
      </c>
      <c r="L223" s="26">
        <f t="shared" si="27"/>
        <v>0</v>
      </c>
      <c r="M223" s="26">
        <f t="shared" si="27"/>
        <v>9.4</v>
      </c>
    </row>
    <row r="224" spans="1:13" s="143" customFormat="1" ht="37.5" customHeight="1" x14ac:dyDescent="0.35">
      <c r="A224" s="11"/>
      <c r="B224" s="286" t="s">
        <v>483</v>
      </c>
      <c r="C224" s="25" t="s">
        <v>1</v>
      </c>
      <c r="D224" s="10" t="s">
        <v>72</v>
      </c>
      <c r="E224" s="10" t="s">
        <v>38</v>
      </c>
      <c r="F224" s="651"/>
      <c r="G224" s="652"/>
      <c r="H224" s="652"/>
      <c r="I224" s="653"/>
      <c r="J224" s="10"/>
      <c r="K224" s="26">
        <f t="shared" si="27"/>
        <v>9.4</v>
      </c>
      <c r="L224" s="26">
        <f t="shared" si="27"/>
        <v>0</v>
      </c>
      <c r="M224" s="26">
        <f t="shared" si="27"/>
        <v>9.4</v>
      </c>
    </row>
    <row r="225" spans="1:13" s="143" customFormat="1" ht="61.5" customHeight="1" x14ac:dyDescent="0.35">
      <c r="A225" s="11"/>
      <c r="B225" s="24" t="s">
        <v>41</v>
      </c>
      <c r="C225" s="25" t="s">
        <v>1</v>
      </c>
      <c r="D225" s="10" t="s">
        <v>72</v>
      </c>
      <c r="E225" s="10" t="s">
        <v>38</v>
      </c>
      <c r="F225" s="651" t="s">
        <v>42</v>
      </c>
      <c r="G225" s="652" t="s">
        <v>43</v>
      </c>
      <c r="H225" s="652" t="s">
        <v>44</v>
      </c>
      <c r="I225" s="653" t="s">
        <v>45</v>
      </c>
      <c r="J225" s="10"/>
      <c r="K225" s="26">
        <f t="shared" si="27"/>
        <v>9.4</v>
      </c>
      <c r="L225" s="26">
        <f t="shared" si="27"/>
        <v>0</v>
      </c>
      <c r="M225" s="26">
        <f t="shared" si="27"/>
        <v>9.4</v>
      </c>
    </row>
    <row r="226" spans="1:13" s="143" customFormat="1" ht="37.5" customHeight="1" x14ac:dyDescent="0.35">
      <c r="A226" s="11"/>
      <c r="B226" s="24" t="s">
        <v>343</v>
      </c>
      <c r="C226" s="25" t="s">
        <v>1</v>
      </c>
      <c r="D226" s="10" t="s">
        <v>72</v>
      </c>
      <c r="E226" s="10" t="s">
        <v>38</v>
      </c>
      <c r="F226" s="651" t="s">
        <v>42</v>
      </c>
      <c r="G226" s="652" t="s">
        <v>46</v>
      </c>
      <c r="H226" s="652" t="s">
        <v>44</v>
      </c>
      <c r="I226" s="653" t="s">
        <v>45</v>
      </c>
      <c r="J226" s="10"/>
      <c r="K226" s="26">
        <f t="shared" si="27"/>
        <v>9.4</v>
      </c>
      <c r="L226" s="26">
        <f t="shared" si="27"/>
        <v>0</v>
      </c>
      <c r="M226" s="26">
        <f t="shared" si="27"/>
        <v>9.4</v>
      </c>
    </row>
    <row r="227" spans="1:13" s="143" customFormat="1" ht="56.25" customHeight="1" x14ac:dyDescent="0.35">
      <c r="A227" s="11"/>
      <c r="B227" s="28" t="s">
        <v>387</v>
      </c>
      <c r="C227" s="25" t="s">
        <v>1</v>
      </c>
      <c r="D227" s="10" t="s">
        <v>72</v>
      </c>
      <c r="E227" s="10" t="s">
        <v>38</v>
      </c>
      <c r="F227" s="651" t="s">
        <v>42</v>
      </c>
      <c r="G227" s="652" t="s">
        <v>46</v>
      </c>
      <c r="H227" s="652" t="s">
        <v>80</v>
      </c>
      <c r="I227" s="653" t="s">
        <v>45</v>
      </c>
      <c r="J227" s="10"/>
      <c r="K227" s="26">
        <f t="shared" si="27"/>
        <v>9.4</v>
      </c>
      <c r="L227" s="26">
        <f t="shared" si="27"/>
        <v>0</v>
      </c>
      <c r="M227" s="26">
        <f t="shared" si="27"/>
        <v>9.4</v>
      </c>
    </row>
    <row r="228" spans="1:13" s="143" customFormat="1" ht="37.5" customHeight="1" x14ac:dyDescent="0.35">
      <c r="A228" s="11"/>
      <c r="B228" s="28" t="s">
        <v>388</v>
      </c>
      <c r="C228" s="25" t="s">
        <v>1</v>
      </c>
      <c r="D228" s="10" t="s">
        <v>72</v>
      </c>
      <c r="E228" s="10" t="s">
        <v>38</v>
      </c>
      <c r="F228" s="651" t="s">
        <v>42</v>
      </c>
      <c r="G228" s="652" t="s">
        <v>46</v>
      </c>
      <c r="H228" s="652" t="s">
        <v>80</v>
      </c>
      <c r="I228" s="653" t="s">
        <v>389</v>
      </c>
      <c r="J228" s="10"/>
      <c r="K228" s="26">
        <f t="shared" si="27"/>
        <v>9.4</v>
      </c>
      <c r="L228" s="26">
        <f t="shared" si="27"/>
        <v>0</v>
      </c>
      <c r="M228" s="26">
        <f t="shared" si="27"/>
        <v>9.4</v>
      </c>
    </row>
    <row r="229" spans="1:13" s="143" customFormat="1" ht="37.5" customHeight="1" x14ac:dyDescent="0.35">
      <c r="A229" s="11"/>
      <c r="B229" s="28" t="s">
        <v>390</v>
      </c>
      <c r="C229" s="25" t="s">
        <v>1</v>
      </c>
      <c r="D229" s="10" t="s">
        <v>72</v>
      </c>
      <c r="E229" s="10" t="s">
        <v>38</v>
      </c>
      <c r="F229" s="651" t="s">
        <v>42</v>
      </c>
      <c r="G229" s="652" t="s">
        <v>46</v>
      </c>
      <c r="H229" s="652" t="s">
        <v>80</v>
      </c>
      <c r="I229" s="653" t="s">
        <v>389</v>
      </c>
      <c r="J229" s="10" t="s">
        <v>391</v>
      </c>
      <c r="K229" s="26">
        <v>9.4</v>
      </c>
      <c r="L229" s="26">
        <f>M229-K229</f>
        <v>0</v>
      </c>
      <c r="M229" s="26">
        <v>9.4</v>
      </c>
    </row>
    <row r="230" spans="1:13" s="143" customFormat="1" ht="54" x14ac:dyDescent="0.35">
      <c r="A230" s="11"/>
      <c r="B230" s="24" t="s">
        <v>201</v>
      </c>
      <c r="C230" s="25" t="s">
        <v>1</v>
      </c>
      <c r="D230" s="10" t="s">
        <v>89</v>
      </c>
      <c r="E230" s="10"/>
      <c r="F230" s="651"/>
      <c r="G230" s="652"/>
      <c r="H230" s="652"/>
      <c r="I230" s="653"/>
      <c r="J230" s="10"/>
      <c r="K230" s="26">
        <f t="shared" ref="K230:M232" si="28">K231</f>
        <v>34159.625</v>
      </c>
      <c r="L230" s="26">
        <f>L231</f>
        <v>5393.5489999999991</v>
      </c>
      <c r="M230" s="26">
        <f t="shared" si="28"/>
        <v>39553.173999999999</v>
      </c>
    </row>
    <row r="231" spans="1:13" s="143" customFormat="1" ht="36" x14ac:dyDescent="0.35">
      <c r="A231" s="11"/>
      <c r="B231" s="28" t="s">
        <v>649</v>
      </c>
      <c r="C231" s="25" t="s">
        <v>1</v>
      </c>
      <c r="D231" s="10" t="s">
        <v>89</v>
      </c>
      <c r="E231" s="10" t="s">
        <v>64</v>
      </c>
      <c r="F231" s="651"/>
      <c r="G231" s="652"/>
      <c r="H231" s="652"/>
      <c r="I231" s="653"/>
      <c r="J231" s="10"/>
      <c r="K231" s="26">
        <f t="shared" si="28"/>
        <v>34159.625</v>
      </c>
      <c r="L231" s="26">
        <f>L232+L282</f>
        <v>5393.5489999999991</v>
      </c>
      <c r="M231" s="26">
        <f>M232+M282</f>
        <v>39553.173999999999</v>
      </c>
    </row>
    <row r="232" spans="1:13" s="143" customFormat="1" ht="108" x14ac:dyDescent="0.35">
      <c r="A232" s="11"/>
      <c r="B232" s="28" t="s">
        <v>652</v>
      </c>
      <c r="C232" s="25" t="s">
        <v>1</v>
      </c>
      <c r="D232" s="10" t="s">
        <v>89</v>
      </c>
      <c r="E232" s="10" t="s">
        <v>64</v>
      </c>
      <c r="F232" s="651" t="s">
        <v>650</v>
      </c>
      <c r="G232" s="652" t="s">
        <v>43</v>
      </c>
      <c r="H232" s="652" t="s">
        <v>44</v>
      </c>
      <c r="I232" s="653" t="s">
        <v>45</v>
      </c>
      <c r="J232" s="10"/>
      <c r="K232" s="26">
        <f t="shared" si="28"/>
        <v>34159.625</v>
      </c>
      <c r="L232" s="26">
        <f>L233</f>
        <v>-4497.2510000000002</v>
      </c>
      <c r="M232" s="26">
        <f t="shared" si="28"/>
        <v>29662.374</v>
      </c>
    </row>
    <row r="233" spans="1:13" s="143" customFormat="1" ht="108" x14ac:dyDescent="0.35">
      <c r="A233" s="11"/>
      <c r="B233" s="28" t="s">
        <v>653</v>
      </c>
      <c r="C233" s="25" t="s">
        <v>1</v>
      </c>
      <c r="D233" s="10" t="s">
        <v>89</v>
      </c>
      <c r="E233" s="10" t="s">
        <v>64</v>
      </c>
      <c r="F233" s="651" t="s">
        <v>650</v>
      </c>
      <c r="G233" s="652" t="s">
        <v>90</v>
      </c>
      <c r="H233" s="652" t="s">
        <v>44</v>
      </c>
      <c r="I233" s="653" t="s">
        <v>45</v>
      </c>
      <c r="J233" s="10"/>
      <c r="K233" s="26">
        <f>K234+K237+K240+K243+K246+K249+K252+K255+K258+K261+K264+K267+K270+K273+K276</f>
        <v>34159.625</v>
      </c>
      <c r="L233" s="26">
        <f>L234+L237+L240+L243+L246+L249+L252+L255+L258+L261+L264+L267+L270+L273+L276+L279</f>
        <v>-4497.2510000000002</v>
      </c>
      <c r="M233" s="26">
        <f>M234+M237+M240+M243+M246+M249+M252+M255+M258+M261+M264+M267+M270+M273+M276+M279</f>
        <v>29662.374</v>
      </c>
    </row>
    <row r="234" spans="1:13" s="143" customFormat="1" ht="72" x14ac:dyDescent="0.35">
      <c r="A234" s="11"/>
      <c r="B234" s="28" t="s">
        <v>654</v>
      </c>
      <c r="C234" s="25" t="s">
        <v>1</v>
      </c>
      <c r="D234" s="10" t="s">
        <v>89</v>
      </c>
      <c r="E234" s="10" t="s">
        <v>64</v>
      </c>
      <c r="F234" s="651" t="s">
        <v>650</v>
      </c>
      <c r="G234" s="652" t="s">
        <v>90</v>
      </c>
      <c r="H234" s="652" t="s">
        <v>38</v>
      </c>
      <c r="I234" s="653" t="s">
        <v>45</v>
      </c>
      <c r="J234" s="10"/>
      <c r="K234" s="26">
        <f t="shared" ref="K234:M235" si="29">K235</f>
        <v>5500</v>
      </c>
      <c r="L234" s="26">
        <f t="shared" si="29"/>
        <v>0</v>
      </c>
      <c r="M234" s="26">
        <f t="shared" si="29"/>
        <v>5500</v>
      </c>
    </row>
    <row r="235" spans="1:13" s="143" customFormat="1" ht="72" x14ac:dyDescent="0.35">
      <c r="A235" s="11"/>
      <c r="B235" s="28" t="s">
        <v>655</v>
      </c>
      <c r="C235" s="25" t="s">
        <v>1</v>
      </c>
      <c r="D235" s="10" t="s">
        <v>89</v>
      </c>
      <c r="E235" s="10" t="s">
        <v>64</v>
      </c>
      <c r="F235" s="651" t="s">
        <v>650</v>
      </c>
      <c r="G235" s="652" t="s">
        <v>90</v>
      </c>
      <c r="H235" s="652" t="s">
        <v>38</v>
      </c>
      <c r="I235" s="653" t="s">
        <v>651</v>
      </c>
      <c r="J235" s="10"/>
      <c r="K235" s="26">
        <f t="shared" si="29"/>
        <v>5500</v>
      </c>
      <c r="L235" s="26">
        <f t="shared" si="29"/>
        <v>0</v>
      </c>
      <c r="M235" s="26">
        <f t="shared" si="29"/>
        <v>5500</v>
      </c>
    </row>
    <row r="236" spans="1:13" s="143" customFormat="1" ht="18" x14ac:dyDescent="0.35">
      <c r="A236" s="11"/>
      <c r="B236" s="28" t="s">
        <v>124</v>
      </c>
      <c r="C236" s="25" t="s">
        <v>1</v>
      </c>
      <c r="D236" s="10" t="s">
        <v>89</v>
      </c>
      <c r="E236" s="10" t="s">
        <v>64</v>
      </c>
      <c r="F236" s="651" t="s">
        <v>650</v>
      </c>
      <c r="G236" s="652" t="s">
        <v>90</v>
      </c>
      <c r="H236" s="652" t="s">
        <v>38</v>
      </c>
      <c r="I236" s="653" t="s">
        <v>651</v>
      </c>
      <c r="J236" s="10" t="s">
        <v>125</v>
      </c>
      <c r="K236" s="26">
        <v>5500</v>
      </c>
      <c r="L236" s="26">
        <f>M236-K236</f>
        <v>0</v>
      </c>
      <c r="M236" s="26">
        <f>5500</f>
        <v>5500</v>
      </c>
    </row>
    <row r="237" spans="1:13" s="143" customFormat="1" ht="72" x14ac:dyDescent="0.35">
      <c r="A237" s="11"/>
      <c r="B237" s="28" t="s">
        <v>656</v>
      </c>
      <c r="C237" s="25" t="s">
        <v>1</v>
      </c>
      <c r="D237" s="10" t="s">
        <v>89</v>
      </c>
      <c r="E237" s="10" t="s">
        <v>64</v>
      </c>
      <c r="F237" s="651" t="s">
        <v>650</v>
      </c>
      <c r="G237" s="652" t="s">
        <v>90</v>
      </c>
      <c r="H237" s="652" t="s">
        <v>40</v>
      </c>
      <c r="I237" s="653" t="s">
        <v>45</v>
      </c>
      <c r="J237" s="10"/>
      <c r="K237" s="26">
        <f t="shared" ref="K237:M238" si="30">K238</f>
        <v>2500</v>
      </c>
      <c r="L237" s="26">
        <f t="shared" si="30"/>
        <v>0</v>
      </c>
      <c r="M237" s="26">
        <f t="shared" si="30"/>
        <v>2500</v>
      </c>
    </row>
    <row r="238" spans="1:13" s="143" customFormat="1" ht="72" x14ac:dyDescent="0.35">
      <c r="A238" s="11"/>
      <c r="B238" s="28" t="s">
        <v>655</v>
      </c>
      <c r="C238" s="25" t="s">
        <v>1</v>
      </c>
      <c r="D238" s="10" t="s">
        <v>89</v>
      </c>
      <c r="E238" s="10" t="s">
        <v>64</v>
      </c>
      <c r="F238" s="651" t="s">
        <v>650</v>
      </c>
      <c r="G238" s="652" t="s">
        <v>90</v>
      </c>
      <c r="H238" s="652" t="s">
        <v>40</v>
      </c>
      <c r="I238" s="653" t="s">
        <v>651</v>
      </c>
      <c r="J238" s="10"/>
      <c r="K238" s="26">
        <f t="shared" si="30"/>
        <v>2500</v>
      </c>
      <c r="L238" s="26">
        <f t="shared" si="30"/>
        <v>0</v>
      </c>
      <c r="M238" s="26">
        <f t="shared" si="30"/>
        <v>2500</v>
      </c>
    </row>
    <row r="239" spans="1:13" s="143" customFormat="1" ht="18" x14ac:dyDescent="0.35">
      <c r="A239" s="11"/>
      <c r="B239" s="28" t="s">
        <v>124</v>
      </c>
      <c r="C239" s="25" t="s">
        <v>1</v>
      </c>
      <c r="D239" s="10" t="s">
        <v>89</v>
      </c>
      <c r="E239" s="10" t="s">
        <v>64</v>
      </c>
      <c r="F239" s="651" t="s">
        <v>650</v>
      </c>
      <c r="G239" s="652" t="s">
        <v>90</v>
      </c>
      <c r="H239" s="652" t="s">
        <v>40</v>
      </c>
      <c r="I239" s="653" t="s">
        <v>651</v>
      </c>
      <c r="J239" s="10" t="s">
        <v>125</v>
      </c>
      <c r="K239" s="26">
        <v>2500</v>
      </c>
      <c r="L239" s="26">
        <f>M239-K239</f>
        <v>0</v>
      </c>
      <c r="M239" s="26">
        <f>2500</f>
        <v>2500</v>
      </c>
    </row>
    <row r="240" spans="1:13" s="143" customFormat="1" ht="54" x14ac:dyDescent="0.35">
      <c r="A240" s="11"/>
      <c r="B240" s="28" t="s">
        <v>657</v>
      </c>
      <c r="C240" s="25" t="s">
        <v>1</v>
      </c>
      <c r="D240" s="10" t="s">
        <v>89</v>
      </c>
      <c r="E240" s="10" t="s">
        <v>64</v>
      </c>
      <c r="F240" s="651" t="s">
        <v>650</v>
      </c>
      <c r="G240" s="652" t="s">
        <v>90</v>
      </c>
      <c r="H240" s="652" t="s">
        <v>64</v>
      </c>
      <c r="I240" s="653" t="s">
        <v>45</v>
      </c>
      <c r="J240" s="10"/>
      <c r="K240" s="26">
        <f t="shared" ref="K240:M241" si="31">K241</f>
        <v>3000</v>
      </c>
      <c r="L240" s="26">
        <f t="shared" si="31"/>
        <v>0</v>
      </c>
      <c r="M240" s="26">
        <f t="shared" si="31"/>
        <v>3000</v>
      </c>
    </row>
    <row r="241" spans="1:13" s="143" customFormat="1" ht="72" x14ac:dyDescent="0.35">
      <c r="A241" s="11"/>
      <c r="B241" s="28" t="s">
        <v>655</v>
      </c>
      <c r="C241" s="25" t="s">
        <v>1</v>
      </c>
      <c r="D241" s="10" t="s">
        <v>89</v>
      </c>
      <c r="E241" s="10" t="s">
        <v>64</v>
      </c>
      <c r="F241" s="651" t="s">
        <v>650</v>
      </c>
      <c r="G241" s="652" t="s">
        <v>90</v>
      </c>
      <c r="H241" s="652" t="s">
        <v>64</v>
      </c>
      <c r="I241" s="653" t="s">
        <v>651</v>
      </c>
      <c r="J241" s="10"/>
      <c r="K241" s="26">
        <f t="shared" si="31"/>
        <v>3000</v>
      </c>
      <c r="L241" s="26">
        <f t="shared" si="31"/>
        <v>0</v>
      </c>
      <c r="M241" s="26">
        <f t="shared" si="31"/>
        <v>3000</v>
      </c>
    </row>
    <row r="242" spans="1:13" s="143" customFormat="1" ht="18" x14ac:dyDescent="0.35">
      <c r="A242" s="11"/>
      <c r="B242" s="28" t="s">
        <v>124</v>
      </c>
      <c r="C242" s="25" t="s">
        <v>1</v>
      </c>
      <c r="D242" s="10" t="s">
        <v>89</v>
      </c>
      <c r="E242" s="10" t="s">
        <v>64</v>
      </c>
      <c r="F242" s="651" t="s">
        <v>650</v>
      </c>
      <c r="G242" s="652" t="s">
        <v>90</v>
      </c>
      <c r="H242" s="652" t="s">
        <v>64</v>
      </c>
      <c r="I242" s="653" t="s">
        <v>651</v>
      </c>
      <c r="J242" s="10" t="s">
        <v>125</v>
      </c>
      <c r="K242" s="26">
        <v>3000</v>
      </c>
      <c r="L242" s="26">
        <f>M242-K242</f>
        <v>0</v>
      </c>
      <c r="M242" s="26">
        <v>3000</v>
      </c>
    </row>
    <row r="243" spans="1:13" s="143" customFormat="1" ht="126" x14ac:dyDescent="0.35">
      <c r="A243" s="11"/>
      <c r="B243" s="28" t="s">
        <v>658</v>
      </c>
      <c r="C243" s="25" t="s">
        <v>1</v>
      </c>
      <c r="D243" s="10" t="s">
        <v>89</v>
      </c>
      <c r="E243" s="10" t="s">
        <v>64</v>
      </c>
      <c r="F243" s="651" t="s">
        <v>650</v>
      </c>
      <c r="G243" s="652" t="s">
        <v>90</v>
      </c>
      <c r="H243" s="652" t="s">
        <v>53</v>
      </c>
      <c r="I243" s="653" t="s">
        <v>45</v>
      </c>
      <c r="J243" s="10"/>
      <c r="K243" s="26">
        <f t="shared" ref="K243:M244" si="32">K244</f>
        <v>4280</v>
      </c>
      <c r="L243" s="26">
        <f t="shared" si="32"/>
        <v>0</v>
      </c>
      <c r="M243" s="26">
        <f t="shared" si="32"/>
        <v>4280</v>
      </c>
    </row>
    <row r="244" spans="1:13" s="143" customFormat="1" ht="72" x14ac:dyDescent="0.35">
      <c r="A244" s="11"/>
      <c r="B244" s="28" t="s">
        <v>655</v>
      </c>
      <c r="C244" s="25" t="s">
        <v>1</v>
      </c>
      <c r="D244" s="10" t="s">
        <v>89</v>
      </c>
      <c r="E244" s="10" t="s">
        <v>64</v>
      </c>
      <c r="F244" s="651" t="s">
        <v>650</v>
      </c>
      <c r="G244" s="652" t="s">
        <v>90</v>
      </c>
      <c r="H244" s="652" t="s">
        <v>53</v>
      </c>
      <c r="I244" s="653" t="s">
        <v>651</v>
      </c>
      <c r="J244" s="10"/>
      <c r="K244" s="26">
        <f t="shared" si="32"/>
        <v>4280</v>
      </c>
      <c r="L244" s="26">
        <f t="shared" si="32"/>
        <v>0</v>
      </c>
      <c r="M244" s="26">
        <f t="shared" si="32"/>
        <v>4280</v>
      </c>
    </row>
    <row r="245" spans="1:13" s="143" customFormat="1" ht="18" x14ac:dyDescent="0.35">
      <c r="A245" s="11"/>
      <c r="B245" s="28" t="s">
        <v>124</v>
      </c>
      <c r="C245" s="25" t="s">
        <v>1</v>
      </c>
      <c r="D245" s="10" t="s">
        <v>89</v>
      </c>
      <c r="E245" s="10" t="s">
        <v>64</v>
      </c>
      <c r="F245" s="651" t="s">
        <v>650</v>
      </c>
      <c r="G245" s="652" t="s">
        <v>90</v>
      </c>
      <c r="H245" s="652" t="s">
        <v>53</v>
      </c>
      <c r="I245" s="653" t="s">
        <v>651</v>
      </c>
      <c r="J245" s="10" t="s">
        <v>125</v>
      </c>
      <c r="K245" s="26">
        <v>4280</v>
      </c>
      <c r="L245" s="26">
        <f>M245-K245</f>
        <v>0</v>
      </c>
      <c r="M245" s="26">
        <v>4280</v>
      </c>
    </row>
    <row r="246" spans="1:13" s="143" customFormat="1" ht="144" x14ac:dyDescent="0.35">
      <c r="A246" s="11"/>
      <c r="B246" s="28" t="s">
        <v>659</v>
      </c>
      <c r="C246" s="25" t="s">
        <v>1</v>
      </c>
      <c r="D246" s="10" t="s">
        <v>89</v>
      </c>
      <c r="E246" s="10" t="s">
        <v>64</v>
      </c>
      <c r="F246" s="651" t="s">
        <v>650</v>
      </c>
      <c r="G246" s="652" t="s">
        <v>90</v>
      </c>
      <c r="H246" s="652" t="s">
        <v>66</v>
      </c>
      <c r="I246" s="653" t="s">
        <v>45</v>
      </c>
      <c r="J246" s="10"/>
      <c r="K246" s="26">
        <f t="shared" ref="K246:M247" si="33">K247</f>
        <v>400</v>
      </c>
      <c r="L246" s="26">
        <f t="shared" si="33"/>
        <v>0</v>
      </c>
      <c r="M246" s="26">
        <f t="shared" si="33"/>
        <v>400</v>
      </c>
    </row>
    <row r="247" spans="1:13" s="143" customFormat="1" ht="72" x14ac:dyDescent="0.35">
      <c r="A247" s="11"/>
      <c r="B247" s="28" t="s">
        <v>655</v>
      </c>
      <c r="C247" s="25" t="s">
        <v>1</v>
      </c>
      <c r="D247" s="10" t="s">
        <v>89</v>
      </c>
      <c r="E247" s="10" t="s">
        <v>64</v>
      </c>
      <c r="F247" s="651" t="s">
        <v>650</v>
      </c>
      <c r="G247" s="652" t="s">
        <v>90</v>
      </c>
      <c r="H247" s="652" t="s">
        <v>66</v>
      </c>
      <c r="I247" s="653" t="s">
        <v>651</v>
      </c>
      <c r="J247" s="10"/>
      <c r="K247" s="26">
        <f t="shared" si="33"/>
        <v>400</v>
      </c>
      <c r="L247" s="26">
        <f t="shared" si="33"/>
        <v>0</v>
      </c>
      <c r="M247" s="26">
        <f t="shared" si="33"/>
        <v>400</v>
      </c>
    </row>
    <row r="248" spans="1:13" s="143" customFormat="1" ht="18" x14ac:dyDescent="0.35">
      <c r="A248" s="11"/>
      <c r="B248" s="28" t="s">
        <v>124</v>
      </c>
      <c r="C248" s="25" t="s">
        <v>1</v>
      </c>
      <c r="D248" s="10" t="s">
        <v>89</v>
      </c>
      <c r="E248" s="10" t="s">
        <v>64</v>
      </c>
      <c r="F248" s="651" t="s">
        <v>650</v>
      </c>
      <c r="G248" s="652" t="s">
        <v>90</v>
      </c>
      <c r="H248" s="652" t="s">
        <v>66</v>
      </c>
      <c r="I248" s="653" t="s">
        <v>651</v>
      </c>
      <c r="J248" s="10" t="s">
        <v>125</v>
      </c>
      <c r="K248" s="26">
        <v>400</v>
      </c>
      <c r="L248" s="26">
        <f>M248-K248</f>
        <v>0</v>
      </c>
      <c r="M248" s="26">
        <v>400</v>
      </c>
    </row>
    <row r="249" spans="1:13" s="143" customFormat="1" ht="72" x14ac:dyDescent="0.35">
      <c r="A249" s="11"/>
      <c r="B249" s="28" t="s">
        <v>660</v>
      </c>
      <c r="C249" s="25" t="s">
        <v>1</v>
      </c>
      <c r="D249" s="10" t="s">
        <v>89</v>
      </c>
      <c r="E249" s="10" t="s">
        <v>64</v>
      </c>
      <c r="F249" s="651" t="s">
        <v>650</v>
      </c>
      <c r="G249" s="652" t="s">
        <v>90</v>
      </c>
      <c r="H249" s="652" t="s">
        <v>82</v>
      </c>
      <c r="I249" s="653" t="s">
        <v>45</v>
      </c>
      <c r="J249" s="10"/>
      <c r="K249" s="26">
        <f t="shared" ref="K249:M250" si="34">K250</f>
        <v>36.4</v>
      </c>
      <c r="L249" s="26">
        <f t="shared" si="34"/>
        <v>0</v>
      </c>
      <c r="M249" s="26">
        <f t="shared" si="34"/>
        <v>36.4</v>
      </c>
    </row>
    <row r="250" spans="1:13" s="143" customFormat="1" ht="72" x14ac:dyDescent="0.35">
      <c r="A250" s="11"/>
      <c r="B250" s="28" t="s">
        <v>655</v>
      </c>
      <c r="C250" s="25" t="s">
        <v>1</v>
      </c>
      <c r="D250" s="10" t="s">
        <v>89</v>
      </c>
      <c r="E250" s="10" t="s">
        <v>64</v>
      </c>
      <c r="F250" s="651" t="s">
        <v>650</v>
      </c>
      <c r="G250" s="652" t="s">
        <v>90</v>
      </c>
      <c r="H250" s="652" t="s">
        <v>82</v>
      </c>
      <c r="I250" s="653" t="s">
        <v>651</v>
      </c>
      <c r="J250" s="10"/>
      <c r="K250" s="26">
        <f t="shared" si="34"/>
        <v>36.4</v>
      </c>
      <c r="L250" s="26">
        <f t="shared" si="34"/>
        <v>0</v>
      </c>
      <c r="M250" s="26">
        <f t="shared" si="34"/>
        <v>36.4</v>
      </c>
    </row>
    <row r="251" spans="1:13" s="143" customFormat="1" ht="18" x14ac:dyDescent="0.35">
      <c r="A251" s="11"/>
      <c r="B251" s="28" t="s">
        <v>124</v>
      </c>
      <c r="C251" s="25" t="s">
        <v>1</v>
      </c>
      <c r="D251" s="10" t="s">
        <v>89</v>
      </c>
      <c r="E251" s="10" t="s">
        <v>64</v>
      </c>
      <c r="F251" s="651" t="s">
        <v>650</v>
      </c>
      <c r="G251" s="652" t="s">
        <v>90</v>
      </c>
      <c r="H251" s="652" t="s">
        <v>82</v>
      </c>
      <c r="I251" s="653" t="s">
        <v>651</v>
      </c>
      <c r="J251" s="10" t="s">
        <v>125</v>
      </c>
      <c r="K251" s="26">
        <v>36.4</v>
      </c>
      <c r="L251" s="26">
        <f>M251-K251</f>
        <v>0</v>
      </c>
      <c r="M251" s="26">
        <v>36.4</v>
      </c>
    </row>
    <row r="252" spans="1:13" s="143" customFormat="1" ht="72" x14ac:dyDescent="0.35">
      <c r="A252" s="11"/>
      <c r="B252" s="28" t="s">
        <v>661</v>
      </c>
      <c r="C252" s="25" t="s">
        <v>1</v>
      </c>
      <c r="D252" s="10" t="s">
        <v>89</v>
      </c>
      <c r="E252" s="10" t="s">
        <v>64</v>
      </c>
      <c r="F252" s="651" t="s">
        <v>650</v>
      </c>
      <c r="G252" s="652" t="s">
        <v>90</v>
      </c>
      <c r="H252" s="652" t="s">
        <v>225</v>
      </c>
      <c r="I252" s="653" t="s">
        <v>45</v>
      </c>
      <c r="J252" s="10"/>
      <c r="K252" s="26">
        <f t="shared" ref="K252:M253" si="35">K253</f>
        <v>56.6</v>
      </c>
      <c r="L252" s="26">
        <f t="shared" si="35"/>
        <v>0</v>
      </c>
      <c r="M252" s="26">
        <f t="shared" si="35"/>
        <v>56.6</v>
      </c>
    </row>
    <row r="253" spans="1:13" s="143" customFormat="1" ht="72" x14ac:dyDescent="0.35">
      <c r="A253" s="11"/>
      <c r="B253" s="28" t="s">
        <v>655</v>
      </c>
      <c r="C253" s="25" t="s">
        <v>1</v>
      </c>
      <c r="D253" s="10" t="s">
        <v>89</v>
      </c>
      <c r="E253" s="10" t="s">
        <v>64</v>
      </c>
      <c r="F253" s="651" t="s">
        <v>650</v>
      </c>
      <c r="G253" s="652" t="s">
        <v>90</v>
      </c>
      <c r="H253" s="652" t="s">
        <v>225</v>
      </c>
      <c r="I253" s="653" t="s">
        <v>651</v>
      </c>
      <c r="J253" s="10"/>
      <c r="K253" s="26">
        <f t="shared" si="35"/>
        <v>56.6</v>
      </c>
      <c r="L253" s="26">
        <f t="shared" si="35"/>
        <v>0</v>
      </c>
      <c r="M253" s="26">
        <f t="shared" si="35"/>
        <v>56.6</v>
      </c>
    </row>
    <row r="254" spans="1:13" s="143" customFormat="1" ht="18" x14ac:dyDescent="0.35">
      <c r="A254" s="11"/>
      <c r="B254" s="28" t="s">
        <v>124</v>
      </c>
      <c r="C254" s="25" t="s">
        <v>1</v>
      </c>
      <c r="D254" s="10" t="s">
        <v>89</v>
      </c>
      <c r="E254" s="10" t="s">
        <v>64</v>
      </c>
      <c r="F254" s="651" t="s">
        <v>650</v>
      </c>
      <c r="G254" s="652" t="s">
        <v>90</v>
      </c>
      <c r="H254" s="652" t="s">
        <v>225</v>
      </c>
      <c r="I254" s="653" t="s">
        <v>651</v>
      </c>
      <c r="J254" s="10" t="s">
        <v>125</v>
      </c>
      <c r="K254" s="26">
        <v>56.6</v>
      </c>
      <c r="L254" s="26">
        <f>M254-K254</f>
        <v>0</v>
      </c>
      <c r="M254" s="26">
        <v>56.6</v>
      </c>
    </row>
    <row r="255" spans="1:13" s="143" customFormat="1" ht="36" x14ac:dyDescent="0.35">
      <c r="A255" s="11"/>
      <c r="B255" s="28" t="s">
        <v>662</v>
      </c>
      <c r="C255" s="25" t="s">
        <v>1</v>
      </c>
      <c r="D255" s="10" t="s">
        <v>89</v>
      </c>
      <c r="E255" s="10" t="s">
        <v>64</v>
      </c>
      <c r="F255" s="651" t="s">
        <v>650</v>
      </c>
      <c r="G255" s="652" t="s">
        <v>90</v>
      </c>
      <c r="H255" s="652" t="s">
        <v>227</v>
      </c>
      <c r="I255" s="653" t="s">
        <v>45</v>
      </c>
      <c r="J255" s="10"/>
      <c r="K255" s="26">
        <f t="shared" ref="K255:M256" si="36">K256</f>
        <v>3265.41</v>
      </c>
      <c r="L255" s="26">
        <f t="shared" si="36"/>
        <v>0</v>
      </c>
      <c r="M255" s="26">
        <f t="shared" si="36"/>
        <v>3265.41</v>
      </c>
    </row>
    <row r="256" spans="1:13" s="143" customFormat="1" ht="72" x14ac:dyDescent="0.35">
      <c r="A256" s="11"/>
      <c r="B256" s="28" t="s">
        <v>655</v>
      </c>
      <c r="C256" s="25" t="s">
        <v>1</v>
      </c>
      <c r="D256" s="10" t="s">
        <v>89</v>
      </c>
      <c r="E256" s="10" t="s">
        <v>64</v>
      </c>
      <c r="F256" s="651" t="s">
        <v>650</v>
      </c>
      <c r="G256" s="652" t="s">
        <v>90</v>
      </c>
      <c r="H256" s="652" t="s">
        <v>227</v>
      </c>
      <c r="I256" s="653" t="s">
        <v>651</v>
      </c>
      <c r="J256" s="10"/>
      <c r="K256" s="26">
        <f t="shared" si="36"/>
        <v>3265.41</v>
      </c>
      <c r="L256" s="26">
        <f t="shared" si="36"/>
        <v>0</v>
      </c>
      <c r="M256" s="26">
        <f t="shared" si="36"/>
        <v>3265.41</v>
      </c>
    </row>
    <row r="257" spans="1:13" s="143" customFormat="1" ht="18" x14ac:dyDescent="0.35">
      <c r="A257" s="11"/>
      <c r="B257" s="28" t="s">
        <v>124</v>
      </c>
      <c r="C257" s="25" t="s">
        <v>1</v>
      </c>
      <c r="D257" s="10" t="s">
        <v>89</v>
      </c>
      <c r="E257" s="10" t="s">
        <v>64</v>
      </c>
      <c r="F257" s="651" t="s">
        <v>650</v>
      </c>
      <c r="G257" s="652" t="s">
        <v>90</v>
      </c>
      <c r="H257" s="652" t="s">
        <v>227</v>
      </c>
      <c r="I257" s="653" t="s">
        <v>651</v>
      </c>
      <c r="J257" s="10" t="s">
        <v>125</v>
      </c>
      <c r="K257" s="26">
        <v>3265.41</v>
      </c>
      <c r="L257" s="26">
        <f>M257-K257</f>
        <v>0</v>
      </c>
      <c r="M257" s="26">
        <v>3265.41</v>
      </c>
    </row>
    <row r="258" spans="1:13" s="143" customFormat="1" ht="54" x14ac:dyDescent="0.35">
      <c r="A258" s="11"/>
      <c r="B258" s="28" t="s">
        <v>685</v>
      </c>
      <c r="C258" s="25" t="s">
        <v>1</v>
      </c>
      <c r="D258" s="10" t="s">
        <v>89</v>
      </c>
      <c r="E258" s="10" t="s">
        <v>64</v>
      </c>
      <c r="F258" s="651" t="s">
        <v>650</v>
      </c>
      <c r="G258" s="652" t="s">
        <v>90</v>
      </c>
      <c r="H258" s="652" t="s">
        <v>80</v>
      </c>
      <c r="I258" s="653" t="s">
        <v>45</v>
      </c>
      <c r="J258" s="10"/>
      <c r="K258" s="26">
        <f t="shared" ref="K258:M259" si="37">K259</f>
        <v>1200</v>
      </c>
      <c r="L258" s="26">
        <f t="shared" si="37"/>
        <v>0</v>
      </c>
      <c r="M258" s="26">
        <f t="shared" si="37"/>
        <v>1200</v>
      </c>
    </row>
    <row r="259" spans="1:13" s="143" customFormat="1" ht="72" x14ac:dyDescent="0.35">
      <c r="A259" s="11"/>
      <c r="B259" s="28" t="s">
        <v>655</v>
      </c>
      <c r="C259" s="25" t="s">
        <v>1</v>
      </c>
      <c r="D259" s="10" t="s">
        <v>89</v>
      </c>
      <c r="E259" s="10" t="s">
        <v>64</v>
      </c>
      <c r="F259" s="651" t="s">
        <v>650</v>
      </c>
      <c r="G259" s="652" t="s">
        <v>90</v>
      </c>
      <c r="H259" s="652" t="s">
        <v>80</v>
      </c>
      <c r="I259" s="653" t="s">
        <v>651</v>
      </c>
      <c r="J259" s="10"/>
      <c r="K259" s="26">
        <f t="shared" si="37"/>
        <v>1200</v>
      </c>
      <c r="L259" s="26">
        <f t="shared" si="37"/>
        <v>0</v>
      </c>
      <c r="M259" s="26">
        <f t="shared" si="37"/>
        <v>1200</v>
      </c>
    </row>
    <row r="260" spans="1:13" s="143" customFormat="1" ht="18" x14ac:dyDescent="0.35">
      <c r="A260" s="11"/>
      <c r="B260" s="28" t="s">
        <v>124</v>
      </c>
      <c r="C260" s="25" t="s">
        <v>1</v>
      </c>
      <c r="D260" s="10" t="s">
        <v>89</v>
      </c>
      <c r="E260" s="10" t="s">
        <v>64</v>
      </c>
      <c r="F260" s="651" t="s">
        <v>650</v>
      </c>
      <c r="G260" s="652" t="s">
        <v>90</v>
      </c>
      <c r="H260" s="652" t="s">
        <v>80</v>
      </c>
      <c r="I260" s="653" t="s">
        <v>651</v>
      </c>
      <c r="J260" s="10" t="s">
        <v>125</v>
      </c>
      <c r="K260" s="26">
        <v>1200</v>
      </c>
      <c r="L260" s="26">
        <f>M260-K260</f>
        <v>0</v>
      </c>
      <c r="M260" s="26">
        <v>1200</v>
      </c>
    </row>
    <row r="261" spans="1:13" s="143" customFormat="1" ht="144" x14ac:dyDescent="0.35">
      <c r="A261" s="11"/>
      <c r="B261" s="28" t="s">
        <v>686</v>
      </c>
      <c r="C261" s="25" t="s">
        <v>1</v>
      </c>
      <c r="D261" s="10" t="s">
        <v>89</v>
      </c>
      <c r="E261" s="10" t="s">
        <v>64</v>
      </c>
      <c r="F261" s="651" t="s">
        <v>650</v>
      </c>
      <c r="G261" s="652" t="s">
        <v>90</v>
      </c>
      <c r="H261" s="652" t="s">
        <v>105</v>
      </c>
      <c r="I261" s="653" t="s">
        <v>45</v>
      </c>
      <c r="J261" s="10"/>
      <c r="K261" s="26">
        <f t="shared" ref="K261:M262" si="38">K262</f>
        <v>2200</v>
      </c>
      <c r="L261" s="26">
        <f t="shared" si="38"/>
        <v>0</v>
      </c>
      <c r="M261" s="26">
        <f t="shared" si="38"/>
        <v>2200</v>
      </c>
    </row>
    <row r="262" spans="1:13" s="143" customFormat="1" ht="72" x14ac:dyDescent="0.35">
      <c r="A262" s="11"/>
      <c r="B262" s="28" t="s">
        <v>655</v>
      </c>
      <c r="C262" s="25" t="s">
        <v>1</v>
      </c>
      <c r="D262" s="10" t="s">
        <v>89</v>
      </c>
      <c r="E262" s="10" t="s">
        <v>64</v>
      </c>
      <c r="F262" s="651" t="s">
        <v>650</v>
      </c>
      <c r="G262" s="652" t="s">
        <v>90</v>
      </c>
      <c r="H262" s="652" t="s">
        <v>105</v>
      </c>
      <c r="I262" s="653" t="s">
        <v>651</v>
      </c>
      <c r="J262" s="10"/>
      <c r="K262" s="26">
        <f t="shared" si="38"/>
        <v>2200</v>
      </c>
      <c r="L262" s="26">
        <f t="shared" si="38"/>
        <v>0</v>
      </c>
      <c r="M262" s="26">
        <f t="shared" si="38"/>
        <v>2200</v>
      </c>
    </row>
    <row r="263" spans="1:13" s="143" customFormat="1" ht="18" x14ac:dyDescent="0.35">
      <c r="A263" s="11"/>
      <c r="B263" s="28" t="s">
        <v>124</v>
      </c>
      <c r="C263" s="25" t="s">
        <v>1</v>
      </c>
      <c r="D263" s="10" t="s">
        <v>89</v>
      </c>
      <c r="E263" s="10" t="s">
        <v>64</v>
      </c>
      <c r="F263" s="651" t="s">
        <v>650</v>
      </c>
      <c r="G263" s="652" t="s">
        <v>90</v>
      </c>
      <c r="H263" s="652" t="s">
        <v>105</v>
      </c>
      <c r="I263" s="653" t="s">
        <v>651</v>
      </c>
      <c r="J263" s="10" t="s">
        <v>125</v>
      </c>
      <c r="K263" s="26">
        <v>2200</v>
      </c>
      <c r="L263" s="26">
        <f>M263-K263</f>
        <v>0</v>
      </c>
      <c r="M263" s="26">
        <v>2200</v>
      </c>
    </row>
    <row r="264" spans="1:13" s="143" customFormat="1" ht="54" x14ac:dyDescent="0.35">
      <c r="A264" s="11"/>
      <c r="B264" s="28" t="s">
        <v>687</v>
      </c>
      <c r="C264" s="25" t="s">
        <v>1</v>
      </c>
      <c r="D264" s="10" t="s">
        <v>89</v>
      </c>
      <c r="E264" s="10" t="s">
        <v>64</v>
      </c>
      <c r="F264" s="651" t="s">
        <v>650</v>
      </c>
      <c r="G264" s="652" t="s">
        <v>90</v>
      </c>
      <c r="H264" s="652" t="s">
        <v>68</v>
      </c>
      <c r="I264" s="653" t="s">
        <v>45</v>
      </c>
      <c r="J264" s="10"/>
      <c r="K264" s="26">
        <f t="shared" ref="K264:M265" si="39">K265</f>
        <v>3800</v>
      </c>
      <c r="L264" s="26">
        <f t="shared" si="39"/>
        <v>-586.85100000000011</v>
      </c>
      <c r="M264" s="26">
        <f t="shared" si="39"/>
        <v>3213.1489999999999</v>
      </c>
    </row>
    <row r="265" spans="1:13" s="143" customFormat="1" ht="72" x14ac:dyDescent="0.35">
      <c r="A265" s="11"/>
      <c r="B265" s="28" t="s">
        <v>655</v>
      </c>
      <c r="C265" s="25" t="s">
        <v>1</v>
      </c>
      <c r="D265" s="10" t="s">
        <v>89</v>
      </c>
      <c r="E265" s="10" t="s">
        <v>64</v>
      </c>
      <c r="F265" s="651" t="s">
        <v>650</v>
      </c>
      <c r="G265" s="652" t="s">
        <v>90</v>
      </c>
      <c r="H265" s="652" t="s">
        <v>68</v>
      </c>
      <c r="I265" s="653" t="s">
        <v>651</v>
      </c>
      <c r="J265" s="10"/>
      <c r="K265" s="26">
        <f t="shared" si="39"/>
        <v>3800</v>
      </c>
      <c r="L265" s="26">
        <f t="shared" si="39"/>
        <v>-586.85100000000011</v>
      </c>
      <c r="M265" s="26">
        <f t="shared" si="39"/>
        <v>3213.1489999999999</v>
      </c>
    </row>
    <row r="266" spans="1:13" s="143" customFormat="1" ht="18" x14ac:dyDescent="0.35">
      <c r="A266" s="11"/>
      <c r="B266" s="28" t="s">
        <v>124</v>
      </c>
      <c r="C266" s="25" t="s">
        <v>1</v>
      </c>
      <c r="D266" s="10" t="s">
        <v>89</v>
      </c>
      <c r="E266" s="10" t="s">
        <v>64</v>
      </c>
      <c r="F266" s="651" t="s">
        <v>650</v>
      </c>
      <c r="G266" s="652" t="s">
        <v>90</v>
      </c>
      <c r="H266" s="652" t="s">
        <v>68</v>
      </c>
      <c r="I266" s="653" t="s">
        <v>651</v>
      </c>
      <c r="J266" s="10" t="s">
        <v>125</v>
      </c>
      <c r="K266" s="26">
        <v>3800</v>
      </c>
      <c r="L266" s="26">
        <f>M266-K266</f>
        <v>-586.85100000000011</v>
      </c>
      <c r="M266" s="26">
        <f>3800-586.851</f>
        <v>3213.1489999999999</v>
      </c>
    </row>
    <row r="267" spans="1:13" s="143" customFormat="1" ht="54" x14ac:dyDescent="0.35">
      <c r="A267" s="11"/>
      <c r="B267" s="28" t="s">
        <v>688</v>
      </c>
      <c r="C267" s="25" t="s">
        <v>1</v>
      </c>
      <c r="D267" s="10" t="s">
        <v>89</v>
      </c>
      <c r="E267" s="10" t="s">
        <v>64</v>
      </c>
      <c r="F267" s="651" t="s">
        <v>650</v>
      </c>
      <c r="G267" s="652" t="s">
        <v>90</v>
      </c>
      <c r="H267" s="652" t="s">
        <v>101</v>
      </c>
      <c r="I267" s="653" t="s">
        <v>45</v>
      </c>
      <c r="J267" s="10"/>
      <c r="K267" s="26">
        <f t="shared" ref="K267:M268" si="40">K268</f>
        <v>2100</v>
      </c>
      <c r="L267" s="26">
        <f t="shared" si="40"/>
        <v>0</v>
      </c>
      <c r="M267" s="26">
        <f t="shared" si="40"/>
        <v>2100</v>
      </c>
    </row>
    <row r="268" spans="1:13" s="143" customFormat="1" ht="72" x14ac:dyDescent="0.35">
      <c r="A268" s="11"/>
      <c r="B268" s="28" t="s">
        <v>655</v>
      </c>
      <c r="C268" s="25" t="s">
        <v>1</v>
      </c>
      <c r="D268" s="10" t="s">
        <v>89</v>
      </c>
      <c r="E268" s="10" t="s">
        <v>64</v>
      </c>
      <c r="F268" s="651" t="s">
        <v>650</v>
      </c>
      <c r="G268" s="652" t="s">
        <v>90</v>
      </c>
      <c r="H268" s="652" t="s">
        <v>101</v>
      </c>
      <c r="I268" s="653" t="s">
        <v>651</v>
      </c>
      <c r="J268" s="10"/>
      <c r="K268" s="26">
        <f t="shared" si="40"/>
        <v>2100</v>
      </c>
      <c r="L268" s="26">
        <f t="shared" si="40"/>
        <v>0</v>
      </c>
      <c r="M268" s="26">
        <f t="shared" si="40"/>
        <v>2100</v>
      </c>
    </row>
    <row r="269" spans="1:13" s="143" customFormat="1" ht="18" x14ac:dyDescent="0.35">
      <c r="A269" s="11"/>
      <c r="B269" s="28" t="s">
        <v>124</v>
      </c>
      <c r="C269" s="25" t="s">
        <v>1</v>
      </c>
      <c r="D269" s="10" t="s">
        <v>89</v>
      </c>
      <c r="E269" s="10" t="s">
        <v>64</v>
      </c>
      <c r="F269" s="651" t="s">
        <v>650</v>
      </c>
      <c r="G269" s="652" t="s">
        <v>90</v>
      </c>
      <c r="H269" s="652" t="s">
        <v>101</v>
      </c>
      <c r="I269" s="653" t="s">
        <v>651</v>
      </c>
      <c r="J269" s="10" t="s">
        <v>125</v>
      </c>
      <c r="K269" s="26">
        <v>2100</v>
      </c>
      <c r="L269" s="26">
        <f>M269-K269</f>
        <v>0</v>
      </c>
      <c r="M269" s="26">
        <v>2100</v>
      </c>
    </row>
    <row r="270" spans="1:13" s="143" customFormat="1" ht="54" x14ac:dyDescent="0.35">
      <c r="A270" s="11"/>
      <c r="B270" s="28" t="s">
        <v>700</v>
      </c>
      <c r="C270" s="25" t="s">
        <v>1</v>
      </c>
      <c r="D270" s="10" t="s">
        <v>89</v>
      </c>
      <c r="E270" s="10" t="s">
        <v>64</v>
      </c>
      <c r="F270" s="651" t="s">
        <v>650</v>
      </c>
      <c r="G270" s="652" t="s">
        <v>90</v>
      </c>
      <c r="H270" s="652" t="s">
        <v>72</v>
      </c>
      <c r="I270" s="653" t="s">
        <v>45</v>
      </c>
      <c r="J270" s="10"/>
      <c r="K270" s="26">
        <f t="shared" ref="K270:M271" si="41">K271</f>
        <v>186.815</v>
      </c>
      <c r="L270" s="26">
        <f t="shared" si="41"/>
        <v>0</v>
      </c>
      <c r="M270" s="26">
        <f t="shared" si="41"/>
        <v>186.815</v>
      </c>
    </row>
    <row r="271" spans="1:13" s="143" customFormat="1" ht="72" x14ac:dyDescent="0.35">
      <c r="A271" s="11"/>
      <c r="B271" s="28" t="s">
        <v>655</v>
      </c>
      <c r="C271" s="25" t="s">
        <v>1</v>
      </c>
      <c r="D271" s="10" t="s">
        <v>89</v>
      </c>
      <c r="E271" s="10" t="s">
        <v>64</v>
      </c>
      <c r="F271" s="651" t="s">
        <v>650</v>
      </c>
      <c r="G271" s="652" t="s">
        <v>90</v>
      </c>
      <c r="H271" s="652" t="s">
        <v>72</v>
      </c>
      <c r="I271" s="653" t="s">
        <v>651</v>
      </c>
      <c r="J271" s="10"/>
      <c r="K271" s="26">
        <f t="shared" si="41"/>
        <v>186.815</v>
      </c>
      <c r="L271" s="26">
        <f t="shared" si="41"/>
        <v>0</v>
      </c>
      <c r="M271" s="26">
        <f t="shared" si="41"/>
        <v>186.815</v>
      </c>
    </row>
    <row r="272" spans="1:13" s="143" customFormat="1" ht="18" x14ac:dyDescent="0.35">
      <c r="A272" s="11"/>
      <c r="B272" s="28" t="s">
        <v>124</v>
      </c>
      <c r="C272" s="25" t="s">
        <v>1</v>
      </c>
      <c r="D272" s="10" t="s">
        <v>89</v>
      </c>
      <c r="E272" s="10" t="s">
        <v>64</v>
      </c>
      <c r="F272" s="651" t="s">
        <v>650</v>
      </c>
      <c r="G272" s="652" t="s">
        <v>90</v>
      </c>
      <c r="H272" s="652" t="s">
        <v>72</v>
      </c>
      <c r="I272" s="653" t="s">
        <v>651</v>
      </c>
      <c r="J272" s="10" t="s">
        <v>125</v>
      </c>
      <c r="K272" s="26">
        <v>186.815</v>
      </c>
      <c r="L272" s="26">
        <f>M272-K272</f>
        <v>0</v>
      </c>
      <c r="M272" s="26">
        <v>186.815</v>
      </c>
    </row>
    <row r="273" spans="1:13" s="143" customFormat="1" ht="54" x14ac:dyDescent="0.35">
      <c r="A273" s="11"/>
      <c r="B273" s="28" t="s">
        <v>701</v>
      </c>
      <c r="C273" s="25" t="s">
        <v>1</v>
      </c>
      <c r="D273" s="10" t="s">
        <v>89</v>
      </c>
      <c r="E273" s="10" t="s">
        <v>64</v>
      </c>
      <c r="F273" s="651" t="s">
        <v>650</v>
      </c>
      <c r="G273" s="652" t="s">
        <v>90</v>
      </c>
      <c r="H273" s="652" t="s">
        <v>89</v>
      </c>
      <c r="I273" s="653" t="s">
        <v>45</v>
      </c>
      <c r="J273" s="10"/>
      <c r="K273" s="26">
        <f t="shared" ref="K273:M274" si="42">K274</f>
        <v>4130.3999999999996</v>
      </c>
      <c r="L273" s="26">
        <f t="shared" si="42"/>
        <v>-4130.3999999999996</v>
      </c>
      <c r="M273" s="26">
        <f t="shared" si="42"/>
        <v>0</v>
      </c>
    </row>
    <row r="274" spans="1:13" s="143" customFormat="1" ht="72" x14ac:dyDescent="0.35">
      <c r="A274" s="11"/>
      <c r="B274" s="28" t="s">
        <v>655</v>
      </c>
      <c r="C274" s="25" t="s">
        <v>1</v>
      </c>
      <c r="D274" s="10" t="s">
        <v>89</v>
      </c>
      <c r="E274" s="10" t="s">
        <v>64</v>
      </c>
      <c r="F274" s="651" t="s">
        <v>650</v>
      </c>
      <c r="G274" s="652" t="s">
        <v>90</v>
      </c>
      <c r="H274" s="652" t="s">
        <v>89</v>
      </c>
      <c r="I274" s="653" t="s">
        <v>651</v>
      </c>
      <c r="J274" s="10"/>
      <c r="K274" s="26">
        <f t="shared" si="42"/>
        <v>4130.3999999999996</v>
      </c>
      <c r="L274" s="26">
        <f t="shared" si="42"/>
        <v>-4130.3999999999996</v>
      </c>
      <c r="M274" s="26">
        <f t="shared" si="42"/>
        <v>0</v>
      </c>
    </row>
    <row r="275" spans="1:13" s="143" customFormat="1" ht="18" x14ac:dyDescent="0.35">
      <c r="A275" s="11"/>
      <c r="B275" s="28" t="s">
        <v>124</v>
      </c>
      <c r="C275" s="25" t="s">
        <v>1</v>
      </c>
      <c r="D275" s="10" t="s">
        <v>89</v>
      </c>
      <c r="E275" s="10" t="s">
        <v>64</v>
      </c>
      <c r="F275" s="651" t="s">
        <v>650</v>
      </c>
      <c r="G275" s="652" t="s">
        <v>90</v>
      </c>
      <c r="H275" s="652" t="s">
        <v>89</v>
      </c>
      <c r="I275" s="653" t="s">
        <v>651</v>
      </c>
      <c r="J275" s="10" t="s">
        <v>125</v>
      </c>
      <c r="K275" s="26">
        <v>4130.3999999999996</v>
      </c>
      <c r="L275" s="26">
        <f>M275-K275</f>
        <v>-4130.3999999999996</v>
      </c>
      <c r="M275" s="26">
        <f>4130.4-4130.4</f>
        <v>0</v>
      </c>
    </row>
    <row r="276" spans="1:13" s="143" customFormat="1" ht="73.95" customHeight="1" x14ac:dyDescent="0.35">
      <c r="A276" s="11"/>
      <c r="B276" s="28" t="s">
        <v>702</v>
      </c>
      <c r="C276" s="25" t="s">
        <v>1</v>
      </c>
      <c r="D276" s="10" t="s">
        <v>89</v>
      </c>
      <c r="E276" s="10" t="s">
        <v>64</v>
      </c>
      <c r="F276" s="651" t="s">
        <v>650</v>
      </c>
      <c r="G276" s="652" t="s">
        <v>90</v>
      </c>
      <c r="H276" s="652" t="s">
        <v>74</v>
      </c>
      <c r="I276" s="653" t="s">
        <v>45</v>
      </c>
      <c r="J276" s="10"/>
      <c r="K276" s="26">
        <f t="shared" ref="K276:M277" si="43">K277</f>
        <v>1504</v>
      </c>
      <c r="L276" s="26">
        <f t="shared" si="43"/>
        <v>0</v>
      </c>
      <c r="M276" s="26">
        <f t="shared" si="43"/>
        <v>1504</v>
      </c>
    </row>
    <row r="277" spans="1:13" s="143" customFormat="1" ht="72" x14ac:dyDescent="0.35">
      <c r="A277" s="11"/>
      <c r="B277" s="28" t="s">
        <v>655</v>
      </c>
      <c r="C277" s="25" t="s">
        <v>1</v>
      </c>
      <c r="D277" s="10" t="s">
        <v>89</v>
      </c>
      <c r="E277" s="10" t="s">
        <v>64</v>
      </c>
      <c r="F277" s="651" t="s">
        <v>650</v>
      </c>
      <c r="G277" s="652" t="s">
        <v>90</v>
      </c>
      <c r="H277" s="652" t="s">
        <v>74</v>
      </c>
      <c r="I277" s="653" t="s">
        <v>651</v>
      </c>
      <c r="J277" s="10"/>
      <c r="K277" s="26">
        <f t="shared" si="43"/>
        <v>1504</v>
      </c>
      <c r="L277" s="26">
        <f t="shared" si="43"/>
        <v>0</v>
      </c>
      <c r="M277" s="26">
        <f t="shared" si="43"/>
        <v>1504</v>
      </c>
    </row>
    <row r="278" spans="1:13" s="143" customFormat="1" ht="18" x14ac:dyDescent="0.35">
      <c r="A278" s="11"/>
      <c r="B278" s="28" t="s">
        <v>124</v>
      </c>
      <c r="C278" s="25" t="s">
        <v>1</v>
      </c>
      <c r="D278" s="10" t="s">
        <v>89</v>
      </c>
      <c r="E278" s="10" t="s">
        <v>64</v>
      </c>
      <c r="F278" s="651" t="s">
        <v>650</v>
      </c>
      <c r="G278" s="652" t="s">
        <v>90</v>
      </c>
      <c r="H278" s="652" t="s">
        <v>74</v>
      </c>
      <c r="I278" s="653" t="s">
        <v>651</v>
      </c>
      <c r="J278" s="10" t="s">
        <v>125</v>
      </c>
      <c r="K278" s="26">
        <v>1504</v>
      </c>
      <c r="L278" s="26">
        <f>M278-K278</f>
        <v>0</v>
      </c>
      <c r="M278" s="26">
        <v>1504</v>
      </c>
    </row>
    <row r="279" spans="1:13" s="143" customFormat="1" ht="144" x14ac:dyDescent="0.35">
      <c r="A279" s="11"/>
      <c r="B279" s="28" t="s">
        <v>703</v>
      </c>
      <c r="C279" s="25" t="s">
        <v>1</v>
      </c>
      <c r="D279" s="10" t="s">
        <v>89</v>
      </c>
      <c r="E279" s="10" t="s">
        <v>64</v>
      </c>
      <c r="F279" s="651" t="s">
        <v>650</v>
      </c>
      <c r="G279" s="652" t="s">
        <v>90</v>
      </c>
      <c r="H279" s="652" t="s">
        <v>432</v>
      </c>
      <c r="I279" s="653" t="s">
        <v>45</v>
      </c>
      <c r="J279" s="10"/>
      <c r="K279" s="26"/>
      <c r="L279" s="26">
        <f>L280</f>
        <v>220</v>
      </c>
      <c r="M279" s="26">
        <f>M280</f>
        <v>220</v>
      </c>
    </row>
    <row r="280" spans="1:13" s="143" customFormat="1" ht="72" x14ac:dyDescent="0.35">
      <c r="A280" s="11"/>
      <c r="B280" s="28" t="s">
        <v>655</v>
      </c>
      <c r="C280" s="25" t="s">
        <v>1</v>
      </c>
      <c r="D280" s="10" t="s">
        <v>89</v>
      </c>
      <c r="E280" s="10" t="s">
        <v>64</v>
      </c>
      <c r="F280" s="651" t="s">
        <v>650</v>
      </c>
      <c r="G280" s="652" t="s">
        <v>90</v>
      </c>
      <c r="H280" s="652" t="s">
        <v>432</v>
      </c>
      <c r="I280" s="653" t="s">
        <v>651</v>
      </c>
      <c r="J280" s="10"/>
      <c r="K280" s="26"/>
      <c r="L280" s="26">
        <f>L281</f>
        <v>220</v>
      </c>
      <c r="M280" s="26">
        <f>M281</f>
        <v>220</v>
      </c>
    </row>
    <row r="281" spans="1:13" s="143" customFormat="1" ht="18" x14ac:dyDescent="0.35">
      <c r="A281" s="11"/>
      <c r="B281" s="28" t="s">
        <v>124</v>
      </c>
      <c r="C281" s="25" t="s">
        <v>1</v>
      </c>
      <c r="D281" s="10" t="s">
        <v>89</v>
      </c>
      <c r="E281" s="10" t="s">
        <v>64</v>
      </c>
      <c r="F281" s="651" t="s">
        <v>650</v>
      </c>
      <c r="G281" s="652" t="s">
        <v>90</v>
      </c>
      <c r="H281" s="652" t="s">
        <v>432</v>
      </c>
      <c r="I281" s="653" t="s">
        <v>651</v>
      </c>
      <c r="J281" s="10" t="s">
        <v>125</v>
      </c>
      <c r="K281" s="26"/>
      <c r="L281" s="26">
        <f>M281-K281</f>
        <v>220</v>
      </c>
      <c r="M281" s="26">
        <v>220</v>
      </c>
    </row>
    <row r="282" spans="1:13" s="143" customFormat="1" ht="36" x14ac:dyDescent="0.35">
      <c r="A282" s="11"/>
      <c r="B282" s="24" t="s">
        <v>470</v>
      </c>
      <c r="C282" s="25" t="s">
        <v>1</v>
      </c>
      <c r="D282" s="10" t="s">
        <v>89</v>
      </c>
      <c r="E282" s="10" t="s">
        <v>64</v>
      </c>
      <c r="F282" s="651" t="s">
        <v>69</v>
      </c>
      <c r="G282" s="652" t="s">
        <v>43</v>
      </c>
      <c r="H282" s="652" t="s">
        <v>44</v>
      </c>
      <c r="I282" s="653" t="s">
        <v>45</v>
      </c>
      <c r="J282" s="10"/>
      <c r="K282" s="26"/>
      <c r="L282" s="26">
        <f t="shared" ref="L282:M284" si="44">L283</f>
        <v>9890.7999999999993</v>
      </c>
      <c r="M282" s="26">
        <f t="shared" si="44"/>
        <v>9890.7999999999993</v>
      </c>
    </row>
    <row r="283" spans="1:13" s="143" customFormat="1" ht="18" x14ac:dyDescent="0.35">
      <c r="A283" s="11"/>
      <c r="B283" s="27" t="s">
        <v>471</v>
      </c>
      <c r="C283" s="25" t="s">
        <v>1</v>
      </c>
      <c r="D283" s="10" t="s">
        <v>89</v>
      </c>
      <c r="E283" s="10" t="s">
        <v>64</v>
      </c>
      <c r="F283" s="651" t="s">
        <v>69</v>
      </c>
      <c r="G283" s="652" t="s">
        <v>46</v>
      </c>
      <c r="H283" s="652" t="s">
        <v>44</v>
      </c>
      <c r="I283" s="653" t="s">
        <v>45</v>
      </c>
      <c r="J283" s="10"/>
      <c r="K283" s="26"/>
      <c r="L283" s="26">
        <f t="shared" si="44"/>
        <v>9890.7999999999993</v>
      </c>
      <c r="M283" s="26">
        <f t="shared" si="44"/>
        <v>9890.7999999999993</v>
      </c>
    </row>
    <row r="284" spans="1:13" s="143" customFormat="1" ht="36" x14ac:dyDescent="0.35">
      <c r="A284" s="11"/>
      <c r="B284" s="24" t="s">
        <v>705</v>
      </c>
      <c r="C284" s="25" t="s">
        <v>1</v>
      </c>
      <c r="D284" s="10" t="s">
        <v>89</v>
      </c>
      <c r="E284" s="10" t="s">
        <v>64</v>
      </c>
      <c r="F284" s="651" t="s">
        <v>69</v>
      </c>
      <c r="G284" s="652" t="s">
        <v>46</v>
      </c>
      <c r="H284" s="652" t="s">
        <v>44</v>
      </c>
      <c r="I284" s="653" t="s">
        <v>706</v>
      </c>
      <c r="J284" s="341"/>
      <c r="K284" s="26"/>
      <c r="L284" s="26">
        <f t="shared" si="44"/>
        <v>9890.7999999999993</v>
      </c>
      <c r="M284" s="26">
        <f t="shared" si="44"/>
        <v>9890.7999999999993</v>
      </c>
    </row>
    <row r="285" spans="1:13" s="143" customFormat="1" ht="18" x14ac:dyDescent="0.35">
      <c r="A285" s="11"/>
      <c r="B285" s="24" t="s">
        <v>124</v>
      </c>
      <c r="C285" s="25" t="s">
        <v>1</v>
      </c>
      <c r="D285" s="10" t="s">
        <v>89</v>
      </c>
      <c r="E285" s="10" t="s">
        <v>64</v>
      </c>
      <c r="F285" s="651" t="s">
        <v>69</v>
      </c>
      <c r="G285" s="652" t="s">
        <v>46</v>
      </c>
      <c r="H285" s="652" t="s">
        <v>44</v>
      </c>
      <c r="I285" s="653" t="s">
        <v>706</v>
      </c>
      <c r="J285" s="341">
        <v>500</v>
      </c>
      <c r="K285" s="26"/>
      <c r="L285" s="26">
        <f>M285-K285</f>
        <v>9890.7999999999993</v>
      </c>
      <c r="M285" s="26">
        <v>9890.7999999999993</v>
      </c>
    </row>
    <row r="286" spans="1:13" ht="18.75" customHeight="1" x14ac:dyDescent="0.35">
      <c r="A286" s="11"/>
      <c r="B286" s="24"/>
      <c r="C286" s="25"/>
      <c r="D286" s="10"/>
      <c r="E286" s="10"/>
      <c r="F286" s="651"/>
      <c r="G286" s="652"/>
      <c r="H286" s="652"/>
      <c r="I286" s="653"/>
      <c r="J286" s="341"/>
      <c r="K286" s="26"/>
      <c r="L286" s="26"/>
      <c r="M286" s="26"/>
    </row>
    <row r="287" spans="1:13" ht="56.25" customHeight="1" x14ac:dyDescent="0.3">
      <c r="A287" s="142">
        <v>2</v>
      </c>
      <c r="B287" s="12" t="s">
        <v>2</v>
      </c>
      <c r="C287" s="19" t="s">
        <v>304</v>
      </c>
      <c r="D287" s="20"/>
      <c r="E287" s="20"/>
      <c r="F287" s="21"/>
      <c r="G287" s="22"/>
      <c r="H287" s="22"/>
      <c r="I287" s="23"/>
      <c r="J287" s="20"/>
      <c r="K287" s="40">
        <f>K288+K313+K306</f>
        <v>32230.799999999996</v>
      </c>
      <c r="L287" s="40">
        <f>L288+L313+L306</f>
        <v>8679.5999999999985</v>
      </c>
      <c r="M287" s="40">
        <f>M288+M313+M306</f>
        <v>40910.399999999994</v>
      </c>
    </row>
    <row r="288" spans="1:13" s="147" customFormat="1" ht="18.75" customHeight="1" x14ac:dyDescent="0.35">
      <c r="A288" s="11"/>
      <c r="B288" s="24" t="s">
        <v>37</v>
      </c>
      <c r="C288" s="25" t="s">
        <v>304</v>
      </c>
      <c r="D288" s="10" t="s">
        <v>38</v>
      </c>
      <c r="E288" s="10"/>
      <c r="F288" s="651"/>
      <c r="G288" s="652"/>
      <c r="H288" s="652"/>
      <c r="I288" s="653"/>
      <c r="J288" s="10"/>
      <c r="K288" s="26">
        <f>K289+K297</f>
        <v>23846.999999999996</v>
      </c>
      <c r="L288" s="26">
        <f>L289+L297</f>
        <v>8679.5999999999985</v>
      </c>
      <c r="M288" s="26">
        <f>M289+M297</f>
        <v>32526.599999999995</v>
      </c>
    </row>
    <row r="289" spans="1:13" s="148" customFormat="1" ht="70.2" customHeight="1" x14ac:dyDescent="0.35">
      <c r="A289" s="11"/>
      <c r="B289" s="24" t="s">
        <v>130</v>
      </c>
      <c r="C289" s="25" t="s">
        <v>304</v>
      </c>
      <c r="D289" s="10" t="s">
        <v>38</v>
      </c>
      <c r="E289" s="10" t="s">
        <v>82</v>
      </c>
      <c r="F289" s="651"/>
      <c r="G289" s="652"/>
      <c r="H289" s="652"/>
      <c r="I289" s="653"/>
      <c r="J289" s="10"/>
      <c r="K289" s="26">
        <f t="shared" ref="K289:M292" si="45">K290</f>
        <v>20538.899999999998</v>
      </c>
      <c r="L289" s="26">
        <f t="shared" si="45"/>
        <v>8679.5999999999985</v>
      </c>
      <c r="M289" s="26">
        <f t="shared" si="45"/>
        <v>29218.499999999996</v>
      </c>
    </row>
    <row r="290" spans="1:13" s="143" customFormat="1" ht="59.25" customHeight="1" x14ac:dyDescent="0.35">
      <c r="A290" s="11"/>
      <c r="B290" s="24" t="s">
        <v>224</v>
      </c>
      <c r="C290" s="25" t="s">
        <v>304</v>
      </c>
      <c r="D290" s="10" t="s">
        <v>38</v>
      </c>
      <c r="E290" s="10" t="s">
        <v>82</v>
      </c>
      <c r="F290" s="651" t="s">
        <v>225</v>
      </c>
      <c r="G290" s="652" t="s">
        <v>43</v>
      </c>
      <c r="H290" s="652" t="s">
        <v>44</v>
      </c>
      <c r="I290" s="653" t="s">
        <v>45</v>
      </c>
      <c r="J290" s="10"/>
      <c r="K290" s="26">
        <f t="shared" si="45"/>
        <v>20538.899999999998</v>
      </c>
      <c r="L290" s="26">
        <f t="shared" si="45"/>
        <v>8679.5999999999985</v>
      </c>
      <c r="M290" s="26">
        <f t="shared" si="45"/>
        <v>29218.499999999996</v>
      </c>
    </row>
    <row r="291" spans="1:13" s="143" customFormat="1" ht="37.5" customHeight="1" x14ac:dyDescent="0.35">
      <c r="A291" s="11"/>
      <c r="B291" s="24" t="s">
        <v>343</v>
      </c>
      <c r="C291" s="25" t="s">
        <v>304</v>
      </c>
      <c r="D291" s="10" t="s">
        <v>38</v>
      </c>
      <c r="E291" s="10" t="s">
        <v>82</v>
      </c>
      <c r="F291" s="32" t="s">
        <v>225</v>
      </c>
      <c r="G291" s="33" t="s">
        <v>46</v>
      </c>
      <c r="H291" s="652" t="s">
        <v>44</v>
      </c>
      <c r="I291" s="653" t="s">
        <v>45</v>
      </c>
      <c r="J291" s="10"/>
      <c r="K291" s="26">
        <f>K292</f>
        <v>20538.899999999998</v>
      </c>
      <c r="L291" s="26">
        <f>L292</f>
        <v>8679.5999999999985</v>
      </c>
      <c r="M291" s="26">
        <f>M292</f>
        <v>29218.499999999996</v>
      </c>
    </row>
    <row r="292" spans="1:13" s="143" customFormat="1" ht="56.25" customHeight="1" x14ac:dyDescent="0.35">
      <c r="A292" s="11"/>
      <c r="B292" s="24" t="s">
        <v>305</v>
      </c>
      <c r="C292" s="25" t="s">
        <v>304</v>
      </c>
      <c r="D292" s="10" t="s">
        <v>38</v>
      </c>
      <c r="E292" s="10" t="s">
        <v>82</v>
      </c>
      <c r="F292" s="32" t="s">
        <v>225</v>
      </c>
      <c r="G292" s="33" t="s">
        <v>46</v>
      </c>
      <c r="H292" s="652" t="s">
        <v>38</v>
      </c>
      <c r="I292" s="653" t="s">
        <v>45</v>
      </c>
      <c r="J292" s="10"/>
      <c r="K292" s="26">
        <f t="shared" si="45"/>
        <v>20538.899999999998</v>
      </c>
      <c r="L292" s="26">
        <f t="shared" si="45"/>
        <v>8679.5999999999985</v>
      </c>
      <c r="M292" s="26">
        <f t="shared" si="45"/>
        <v>29218.499999999996</v>
      </c>
    </row>
    <row r="293" spans="1:13" s="143" customFormat="1" ht="37.5" customHeight="1" x14ac:dyDescent="0.35">
      <c r="A293" s="11"/>
      <c r="B293" s="24" t="s">
        <v>48</v>
      </c>
      <c r="C293" s="25" t="s">
        <v>304</v>
      </c>
      <c r="D293" s="10" t="s">
        <v>38</v>
      </c>
      <c r="E293" s="10" t="s">
        <v>82</v>
      </c>
      <c r="F293" s="32" t="s">
        <v>225</v>
      </c>
      <c r="G293" s="33" t="s">
        <v>46</v>
      </c>
      <c r="H293" s="652" t="s">
        <v>38</v>
      </c>
      <c r="I293" s="653" t="s">
        <v>49</v>
      </c>
      <c r="J293" s="10"/>
      <c r="K293" s="26">
        <f>SUM(K294:K296)</f>
        <v>20538.899999999998</v>
      </c>
      <c r="L293" s="26">
        <f>SUM(L294:L296)</f>
        <v>8679.5999999999985</v>
      </c>
      <c r="M293" s="26">
        <f>SUM(M294:M296)</f>
        <v>29218.499999999996</v>
      </c>
    </row>
    <row r="294" spans="1:13" s="143" customFormat="1" ht="112.5" customHeight="1" x14ac:dyDescent="0.35">
      <c r="A294" s="11"/>
      <c r="B294" s="24" t="s">
        <v>50</v>
      </c>
      <c r="C294" s="25" t="s">
        <v>304</v>
      </c>
      <c r="D294" s="10" t="s">
        <v>38</v>
      </c>
      <c r="E294" s="10" t="s">
        <v>82</v>
      </c>
      <c r="F294" s="32" t="s">
        <v>225</v>
      </c>
      <c r="G294" s="33" t="s">
        <v>46</v>
      </c>
      <c r="H294" s="652" t="s">
        <v>38</v>
      </c>
      <c r="I294" s="653" t="s">
        <v>49</v>
      </c>
      <c r="J294" s="10" t="s">
        <v>51</v>
      </c>
      <c r="K294" s="26">
        <f>23639.5+4127.8+735.5-8679.6</f>
        <v>19823.199999999997</v>
      </c>
      <c r="L294" s="26">
        <f>M294-K294</f>
        <v>8679.5999999999985</v>
      </c>
      <c r="M294" s="26">
        <f>23639.5+4127.8+735.5-8679.6+8679.6</f>
        <v>28502.799999999996</v>
      </c>
    </row>
    <row r="295" spans="1:13" s="143" customFormat="1" ht="56.25" customHeight="1" x14ac:dyDescent="0.35">
      <c r="A295" s="11"/>
      <c r="B295" s="24" t="s">
        <v>56</v>
      </c>
      <c r="C295" s="25" t="s">
        <v>304</v>
      </c>
      <c r="D295" s="10" t="s">
        <v>38</v>
      </c>
      <c r="E295" s="10" t="s">
        <v>82</v>
      </c>
      <c r="F295" s="32" t="s">
        <v>225</v>
      </c>
      <c r="G295" s="33" t="s">
        <v>46</v>
      </c>
      <c r="H295" s="652" t="s">
        <v>38</v>
      </c>
      <c r="I295" s="653" t="s">
        <v>49</v>
      </c>
      <c r="J295" s="10" t="s">
        <v>57</v>
      </c>
      <c r="K295" s="26">
        <f>809.7-98.8</f>
        <v>710.90000000000009</v>
      </c>
      <c r="L295" s="26">
        <f>M295-K295</f>
        <v>0</v>
      </c>
      <c r="M295" s="26">
        <f>809.7-98.8</f>
        <v>710.90000000000009</v>
      </c>
    </row>
    <row r="296" spans="1:13" s="148" customFormat="1" ht="18.75" customHeight="1" x14ac:dyDescent="0.35">
      <c r="A296" s="11"/>
      <c r="B296" s="24" t="s">
        <v>58</v>
      </c>
      <c r="C296" s="25" t="s">
        <v>304</v>
      </c>
      <c r="D296" s="10" t="s">
        <v>38</v>
      </c>
      <c r="E296" s="10" t="s">
        <v>82</v>
      </c>
      <c r="F296" s="32" t="s">
        <v>225</v>
      </c>
      <c r="G296" s="33" t="s">
        <v>46</v>
      </c>
      <c r="H296" s="652" t="s">
        <v>38</v>
      </c>
      <c r="I296" s="653" t="s">
        <v>49</v>
      </c>
      <c r="J296" s="10" t="s">
        <v>59</v>
      </c>
      <c r="K296" s="26">
        <v>4.8</v>
      </c>
      <c r="L296" s="26">
        <f>M296-K296</f>
        <v>0</v>
      </c>
      <c r="M296" s="26">
        <v>4.8</v>
      </c>
    </row>
    <row r="297" spans="1:13" s="143" customFormat="1" ht="18.75" customHeight="1" x14ac:dyDescent="0.35">
      <c r="A297" s="11"/>
      <c r="B297" s="24" t="s">
        <v>71</v>
      </c>
      <c r="C297" s="25" t="s">
        <v>304</v>
      </c>
      <c r="D297" s="10" t="s">
        <v>38</v>
      </c>
      <c r="E297" s="10" t="s">
        <v>72</v>
      </c>
      <c r="F297" s="32"/>
      <c r="G297" s="33"/>
      <c r="H297" s="652"/>
      <c r="I297" s="653"/>
      <c r="J297" s="10"/>
      <c r="K297" s="26">
        <f t="shared" ref="K297:M301" si="46">K298</f>
        <v>3308.1</v>
      </c>
      <c r="L297" s="26">
        <f t="shared" si="46"/>
        <v>0</v>
      </c>
      <c r="M297" s="26">
        <f t="shared" si="46"/>
        <v>3308.1</v>
      </c>
    </row>
    <row r="298" spans="1:13" s="143" customFormat="1" ht="60.75" customHeight="1" x14ac:dyDescent="0.35">
      <c r="A298" s="11"/>
      <c r="B298" s="24" t="s">
        <v>224</v>
      </c>
      <c r="C298" s="25" t="s">
        <v>304</v>
      </c>
      <c r="D298" s="10" t="s">
        <v>38</v>
      </c>
      <c r="E298" s="10" t="s">
        <v>72</v>
      </c>
      <c r="F298" s="32" t="s">
        <v>225</v>
      </c>
      <c r="G298" s="33" t="s">
        <v>43</v>
      </c>
      <c r="H298" s="652" t="s">
        <v>44</v>
      </c>
      <c r="I298" s="653" t="s">
        <v>45</v>
      </c>
      <c r="J298" s="10"/>
      <c r="K298" s="26">
        <f t="shared" si="46"/>
        <v>3308.1</v>
      </c>
      <c r="L298" s="26">
        <f t="shared" si="46"/>
        <v>0</v>
      </c>
      <c r="M298" s="26">
        <f t="shared" si="46"/>
        <v>3308.1</v>
      </c>
    </row>
    <row r="299" spans="1:13" s="7" customFormat="1" ht="37.5" customHeight="1" x14ac:dyDescent="0.35">
      <c r="A299" s="11"/>
      <c r="B299" s="24" t="s">
        <v>343</v>
      </c>
      <c r="C299" s="25" t="s">
        <v>304</v>
      </c>
      <c r="D299" s="10" t="s">
        <v>38</v>
      </c>
      <c r="E299" s="10" t="s">
        <v>72</v>
      </c>
      <c r="F299" s="32" t="s">
        <v>225</v>
      </c>
      <c r="G299" s="33" t="s">
        <v>46</v>
      </c>
      <c r="H299" s="652" t="s">
        <v>44</v>
      </c>
      <c r="I299" s="653" t="s">
        <v>45</v>
      </c>
      <c r="J299" s="10"/>
      <c r="K299" s="26">
        <f>K300+K303</f>
        <v>3308.1</v>
      </c>
      <c r="L299" s="26">
        <f>L300+L303</f>
        <v>0</v>
      </c>
      <c r="M299" s="26">
        <f>M300+M303</f>
        <v>3308.1</v>
      </c>
    </row>
    <row r="300" spans="1:13" s="143" customFormat="1" ht="37.5" customHeight="1" x14ac:dyDescent="0.35">
      <c r="A300" s="11"/>
      <c r="B300" s="24" t="s">
        <v>358</v>
      </c>
      <c r="C300" s="25" t="s">
        <v>304</v>
      </c>
      <c r="D300" s="10" t="s">
        <v>38</v>
      </c>
      <c r="E300" s="10" t="s">
        <v>72</v>
      </c>
      <c r="F300" s="32" t="s">
        <v>225</v>
      </c>
      <c r="G300" s="33" t="s">
        <v>46</v>
      </c>
      <c r="H300" s="652" t="s">
        <v>64</v>
      </c>
      <c r="I300" s="653" t="s">
        <v>45</v>
      </c>
      <c r="J300" s="10"/>
      <c r="K300" s="26">
        <f>K301</f>
        <v>3290.9</v>
      </c>
      <c r="L300" s="26">
        <f>L301</f>
        <v>0</v>
      </c>
      <c r="M300" s="26">
        <f>M301</f>
        <v>3290.9</v>
      </c>
    </row>
    <row r="301" spans="1:13" s="148" customFormat="1" ht="60" customHeight="1" x14ac:dyDescent="0.35">
      <c r="A301" s="11"/>
      <c r="B301" s="24" t="s">
        <v>359</v>
      </c>
      <c r="C301" s="25" t="s">
        <v>304</v>
      </c>
      <c r="D301" s="10" t="s">
        <v>38</v>
      </c>
      <c r="E301" s="10" t="s">
        <v>72</v>
      </c>
      <c r="F301" s="32" t="s">
        <v>225</v>
      </c>
      <c r="G301" s="33" t="s">
        <v>46</v>
      </c>
      <c r="H301" s="652" t="s">
        <v>64</v>
      </c>
      <c r="I301" s="653" t="s">
        <v>106</v>
      </c>
      <c r="J301" s="10"/>
      <c r="K301" s="26">
        <f t="shared" si="46"/>
        <v>3290.9</v>
      </c>
      <c r="L301" s="26">
        <f t="shared" si="46"/>
        <v>0</v>
      </c>
      <c r="M301" s="26">
        <f t="shared" si="46"/>
        <v>3290.9</v>
      </c>
    </row>
    <row r="302" spans="1:13" s="148" customFormat="1" ht="56.25" customHeight="1" x14ac:dyDescent="0.35">
      <c r="A302" s="11"/>
      <c r="B302" s="24" t="s">
        <v>56</v>
      </c>
      <c r="C302" s="25" t="s">
        <v>304</v>
      </c>
      <c r="D302" s="10" t="s">
        <v>38</v>
      </c>
      <c r="E302" s="10" t="s">
        <v>72</v>
      </c>
      <c r="F302" s="32" t="s">
        <v>225</v>
      </c>
      <c r="G302" s="33" t="s">
        <v>46</v>
      </c>
      <c r="H302" s="652" t="s">
        <v>64</v>
      </c>
      <c r="I302" s="653" t="s">
        <v>106</v>
      </c>
      <c r="J302" s="10" t="s">
        <v>57</v>
      </c>
      <c r="K302" s="26">
        <v>3290.9</v>
      </c>
      <c r="L302" s="26">
        <f>M302-K302</f>
        <v>0</v>
      </c>
      <c r="M302" s="26">
        <v>3290.9</v>
      </c>
    </row>
    <row r="303" spans="1:13" s="148" customFormat="1" ht="33.75" customHeight="1" x14ac:dyDescent="0.35">
      <c r="A303" s="11"/>
      <c r="B303" s="24" t="s">
        <v>494</v>
      </c>
      <c r="C303" s="25" t="s">
        <v>304</v>
      </c>
      <c r="D303" s="10" t="s">
        <v>38</v>
      </c>
      <c r="E303" s="10" t="s">
        <v>72</v>
      </c>
      <c r="F303" s="32" t="s">
        <v>225</v>
      </c>
      <c r="G303" s="33" t="s">
        <v>46</v>
      </c>
      <c r="H303" s="652" t="s">
        <v>66</v>
      </c>
      <c r="I303" s="653" t="s">
        <v>45</v>
      </c>
      <c r="J303" s="10"/>
      <c r="K303" s="26">
        <f t="shared" ref="K303:M304" si="47">K304</f>
        <v>17.2</v>
      </c>
      <c r="L303" s="26">
        <f t="shared" si="47"/>
        <v>0</v>
      </c>
      <c r="M303" s="26">
        <f t="shared" si="47"/>
        <v>17.2</v>
      </c>
    </row>
    <row r="304" spans="1:13" s="148" customFormat="1" ht="23.4" customHeight="1" x14ac:dyDescent="0.35">
      <c r="A304" s="11"/>
      <c r="B304" s="24" t="s">
        <v>492</v>
      </c>
      <c r="C304" s="25" t="s">
        <v>304</v>
      </c>
      <c r="D304" s="10" t="s">
        <v>38</v>
      </c>
      <c r="E304" s="10" t="s">
        <v>72</v>
      </c>
      <c r="F304" s="32" t="s">
        <v>225</v>
      </c>
      <c r="G304" s="33" t="s">
        <v>46</v>
      </c>
      <c r="H304" s="652" t="s">
        <v>66</v>
      </c>
      <c r="I304" s="653" t="s">
        <v>493</v>
      </c>
      <c r="J304" s="10"/>
      <c r="K304" s="26">
        <f t="shared" si="47"/>
        <v>17.2</v>
      </c>
      <c r="L304" s="26">
        <f t="shared" si="47"/>
        <v>0</v>
      </c>
      <c r="M304" s="26">
        <f t="shared" si="47"/>
        <v>17.2</v>
      </c>
    </row>
    <row r="305" spans="1:13" s="148" customFormat="1" ht="56.25" customHeight="1" x14ac:dyDescent="0.35">
      <c r="A305" s="11"/>
      <c r="B305" s="24" t="s">
        <v>56</v>
      </c>
      <c r="C305" s="25" t="s">
        <v>304</v>
      </c>
      <c r="D305" s="10" t="s">
        <v>38</v>
      </c>
      <c r="E305" s="10" t="s">
        <v>72</v>
      </c>
      <c r="F305" s="32" t="s">
        <v>225</v>
      </c>
      <c r="G305" s="33" t="s">
        <v>46</v>
      </c>
      <c r="H305" s="652" t="s">
        <v>66</v>
      </c>
      <c r="I305" s="653" t="s">
        <v>493</v>
      </c>
      <c r="J305" s="10" t="s">
        <v>57</v>
      </c>
      <c r="K305" s="26">
        <v>17.2</v>
      </c>
      <c r="L305" s="26">
        <f>M305-K305</f>
        <v>0</v>
      </c>
      <c r="M305" s="26">
        <v>17.2</v>
      </c>
    </row>
    <row r="306" spans="1:13" s="148" customFormat="1" ht="18" x14ac:dyDescent="0.35">
      <c r="A306" s="11"/>
      <c r="B306" s="24" t="s">
        <v>180</v>
      </c>
      <c r="C306" s="25" t="s">
        <v>304</v>
      </c>
      <c r="D306" s="10" t="s">
        <v>225</v>
      </c>
      <c r="E306" s="10"/>
      <c r="F306" s="32"/>
      <c r="G306" s="33"/>
      <c r="H306" s="652"/>
      <c r="I306" s="653"/>
      <c r="J306" s="10"/>
      <c r="K306" s="26">
        <f t="shared" ref="K306:M311" si="48">K307</f>
        <v>98.8</v>
      </c>
      <c r="L306" s="26">
        <f t="shared" si="48"/>
        <v>0</v>
      </c>
      <c r="M306" s="26">
        <f t="shared" si="48"/>
        <v>98.8</v>
      </c>
    </row>
    <row r="307" spans="1:13" s="148" customFormat="1" ht="36" x14ac:dyDescent="0.35">
      <c r="A307" s="11"/>
      <c r="B307" s="24" t="s">
        <v>599</v>
      </c>
      <c r="C307" s="25" t="s">
        <v>304</v>
      </c>
      <c r="D307" s="10" t="s">
        <v>225</v>
      </c>
      <c r="E307" s="10" t="s">
        <v>66</v>
      </c>
      <c r="F307" s="32"/>
      <c r="G307" s="33"/>
      <c r="H307" s="652"/>
      <c r="I307" s="653"/>
      <c r="J307" s="10"/>
      <c r="K307" s="26">
        <f t="shared" si="48"/>
        <v>98.8</v>
      </c>
      <c r="L307" s="26">
        <f t="shared" si="48"/>
        <v>0</v>
      </c>
      <c r="M307" s="26">
        <f t="shared" si="48"/>
        <v>98.8</v>
      </c>
    </row>
    <row r="308" spans="1:13" s="148" customFormat="1" ht="56.25" customHeight="1" x14ac:dyDescent="0.35">
      <c r="A308" s="11"/>
      <c r="B308" s="24" t="s">
        <v>224</v>
      </c>
      <c r="C308" s="25" t="s">
        <v>304</v>
      </c>
      <c r="D308" s="10" t="s">
        <v>225</v>
      </c>
      <c r="E308" s="10" t="s">
        <v>66</v>
      </c>
      <c r="F308" s="32" t="s">
        <v>225</v>
      </c>
      <c r="G308" s="33" t="s">
        <v>43</v>
      </c>
      <c r="H308" s="652" t="s">
        <v>44</v>
      </c>
      <c r="I308" s="653" t="s">
        <v>45</v>
      </c>
      <c r="J308" s="10"/>
      <c r="K308" s="26">
        <f t="shared" si="48"/>
        <v>98.8</v>
      </c>
      <c r="L308" s="26">
        <f t="shared" si="48"/>
        <v>0</v>
      </c>
      <c r="M308" s="26">
        <f t="shared" si="48"/>
        <v>98.8</v>
      </c>
    </row>
    <row r="309" spans="1:13" s="148" customFormat="1" ht="36" x14ac:dyDescent="0.35">
      <c r="A309" s="11"/>
      <c r="B309" s="24" t="s">
        <v>343</v>
      </c>
      <c r="C309" s="25" t="s">
        <v>304</v>
      </c>
      <c r="D309" s="10" t="s">
        <v>225</v>
      </c>
      <c r="E309" s="10" t="s">
        <v>66</v>
      </c>
      <c r="F309" s="32" t="s">
        <v>225</v>
      </c>
      <c r="G309" s="33" t="s">
        <v>46</v>
      </c>
      <c r="H309" s="652" t="s">
        <v>44</v>
      </c>
      <c r="I309" s="653" t="s">
        <v>45</v>
      </c>
      <c r="J309" s="10"/>
      <c r="K309" s="26">
        <f t="shared" si="48"/>
        <v>98.8</v>
      </c>
      <c r="L309" s="26">
        <f t="shared" si="48"/>
        <v>0</v>
      </c>
      <c r="M309" s="26">
        <f t="shared" si="48"/>
        <v>98.8</v>
      </c>
    </row>
    <row r="310" spans="1:13" s="148" customFormat="1" ht="56.25" customHeight="1" x14ac:dyDescent="0.35">
      <c r="A310" s="11"/>
      <c r="B310" s="24" t="s">
        <v>305</v>
      </c>
      <c r="C310" s="25" t="s">
        <v>304</v>
      </c>
      <c r="D310" s="10" t="s">
        <v>225</v>
      </c>
      <c r="E310" s="10" t="s">
        <v>66</v>
      </c>
      <c r="F310" s="32" t="s">
        <v>225</v>
      </c>
      <c r="G310" s="33" t="s">
        <v>46</v>
      </c>
      <c r="H310" s="652" t="s">
        <v>38</v>
      </c>
      <c r="I310" s="653" t="s">
        <v>45</v>
      </c>
      <c r="J310" s="10"/>
      <c r="K310" s="26">
        <f t="shared" si="48"/>
        <v>98.8</v>
      </c>
      <c r="L310" s="26">
        <f t="shared" si="48"/>
        <v>0</v>
      </c>
      <c r="M310" s="26">
        <f t="shared" si="48"/>
        <v>98.8</v>
      </c>
    </row>
    <row r="311" spans="1:13" s="148" customFormat="1" ht="36" x14ac:dyDescent="0.35">
      <c r="A311" s="11"/>
      <c r="B311" s="24" t="s">
        <v>601</v>
      </c>
      <c r="C311" s="25" t="s">
        <v>304</v>
      </c>
      <c r="D311" s="10" t="s">
        <v>225</v>
      </c>
      <c r="E311" s="10" t="s">
        <v>66</v>
      </c>
      <c r="F311" s="32" t="s">
        <v>225</v>
      </c>
      <c r="G311" s="33" t="s">
        <v>46</v>
      </c>
      <c r="H311" s="652" t="s">
        <v>38</v>
      </c>
      <c r="I311" s="653" t="s">
        <v>600</v>
      </c>
      <c r="J311" s="10"/>
      <c r="K311" s="26">
        <f t="shared" si="48"/>
        <v>98.8</v>
      </c>
      <c r="L311" s="26">
        <f t="shared" si="48"/>
        <v>0</v>
      </c>
      <c r="M311" s="26">
        <f t="shared" si="48"/>
        <v>98.8</v>
      </c>
    </row>
    <row r="312" spans="1:13" s="148" customFormat="1" ht="56.25" customHeight="1" x14ac:dyDescent="0.35">
      <c r="A312" s="11"/>
      <c r="B312" s="24" t="s">
        <v>56</v>
      </c>
      <c r="C312" s="25" t="s">
        <v>304</v>
      </c>
      <c r="D312" s="10" t="s">
        <v>225</v>
      </c>
      <c r="E312" s="10" t="s">
        <v>66</v>
      </c>
      <c r="F312" s="32" t="s">
        <v>225</v>
      </c>
      <c r="G312" s="33" t="s">
        <v>46</v>
      </c>
      <c r="H312" s="652" t="s">
        <v>38</v>
      </c>
      <c r="I312" s="653" t="s">
        <v>600</v>
      </c>
      <c r="J312" s="10" t="s">
        <v>57</v>
      </c>
      <c r="K312" s="26">
        <v>98.8</v>
      </c>
      <c r="L312" s="26">
        <f>M312-K312</f>
        <v>0</v>
      </c>
      <c r="M312" s="26">
        <v>98.8</v>
      </c>
    </row>
    <row r="313" spans="1:13" s="148" customFormat="1" ht="56.25" customHeight="1" x14ac:dyDescent="0.35">
      <c r="A313" s="11"/>
      <c r="B313" s="24" t="s">
        <v>201</v>
      </c>
      <c r="C313" s="25" t="s">
        <v>304</v>
      </c>
      <c r="D313" s="10" t="s">
        <v>89</v>
      </c>
      <c r="E313" s="10"/>
      <c r="F313" s="32"/>
      <c r="G313" s="33"/>
      <c r="H313" s="652"/>
      <c r="I313" s="653"/>
      <c r="J313" s="10"/>
      <c r="K313" s="26">
        <f>K314+K320</f>
        <v>8285</v>
      </c>
      <c r="L313" s="26">
        <f>L314+L320</f>
        <v>0</v>
      </c>
      <c r="M313" s="26">
        <f>M314+M320</f>
        <v>8285</v>
      </c>
    </row>
    <row r="314" spans="1:13" s="148" customFormat="1" ht="56.25" customHeight="1" x14ac:dyDescent="0.35">
      <c r="A314" s="11"/>
      <c r="B314" s="30" t="s">
        <v>202</v>
      </c>
      <c r="C314" s="25" t="s">
        <v>304</v>
      </c>
      <c r="D314" s="10" t="s">
        <v>89</v>
      </c>
      <c r="E314" s="10" t="s">
        <v>38</v>
      </c>
      <c r="F314" s="32"/>
      <c r="G314" s="33"/>
      <c r="H314" s="652"/>
      <c r="I314" s="653"/>
      <c r="J314" s="10"/>
      <c r="K314" s="26">
        <f t="shared" ref="K314:M316" si="49">K315</f>
        <v>7000</v>
      </c>
      <c r="L314" s="26">
        <f t="shared" si="49"/>
        <v>0</v>
      </c>
      <c r="M314" s="26">
        <f t="shared" si="49"/>
        <v>7000</v>
      </c>
    </row>
    <row r="315" spans="1:13" s="148" customFormat="1" ht="55.2" customHeight="1" x14ac:dyDescent="0.35">
      <c r="A315" s="11"/>
      <c r="B315" s="24" t="s">
        <v>224</v>
      </c>
      <c r="C315" s="25" t="s">
        <v>304</v>
      </c>
      <c r="D315" s="10" t="s">
        <v>89</v>
      </c>
      <c r="E315" s="10" t="s">
        <v>38</v>
      </c>
      <c r="F315" s="32" t="s">
        <v>225</v>
      </c>
      <c r="G315" s="33" t="s">
        <v>43</v>
      </c>
      <c r="H315" s="652" t="s">
        <v>44</v>
      </c>
      <c r="I315" s="653" t="s">
        <v>45</v>
      </c>
      <c r="J315" s="10"/>
      <c r="K315" s="26">
        <f t="shared" si="49"/>
        <v>7000</v>
      </c>
      <c r="L315" s="26">
        <f t="shared" si="49"/>
        <v>0</v>
      </c>
      <c r="M315" s="26">
        <f t="shared" si="49"/>
        <v>7000</v>
      </c>
    </row>
    <row r="316" spans="1:13" s="148" customFormat="1" ht="37.5" customHeight="1" x14ac:dyDescent="0.35">
      <c r="A316" s="11"/>
      <c r="B316" s="24" t="s">
        <v>343</v>
      </c>
      <c r="C316" s="25" t="s">
        <v>304</v>
      </c>
      <c r="D316" s="10" t="s">
        <v>89</v>
      </c>
      <c r="E316" s="10" t="s">
        <v>38</v>
      </c>
      <c r="F316" s="32" t="s">
        <v>225</v>
      </c>
      <c r="G316" s="33" t="s">
        <v>46</v>
      </c>
      <c r="H316" s="652" t="s">
        <v>44</v>
      </c>
      <c r="I316" s="653" t="s">
        <v>45</v>
      </c>
      <c r="J316" s="10"/>
      <c r="K316" s="26">
        <f t="shared" si="49"/>
        <v>7000</v>
      </c>
      <c r="L316" s="26">
        <f t="shared" si="49"/>
        <v>0</v>
      </c>
      <c r="M316" s="26">
        <f t="shared" si="49"/>
        <v>7000</v>
      </c>
    </row>
    <row r="317" spans="1:13" s="148" customFormat="1" ht="37.5" customHeight="1" x14ac:dyDescent="0.35">
      <c r="A317" s="11"/>
      <c r="B317" s="24" t="s">
        <v>306</v>
      </c>
      <c r="C317" s="25" t="s">
        <v>304</v>
      </c>
      <c r="D317" s="10" t="s">
        <v>89</v>
      </c>
      <c r="E317" s="10" t="s">
        <v>38</v>
      </c>
      <c r="F317" s="32" t="s">
        <v>225</v>
      </c>
      <c r="G317" s="33" t="s">
        <v>46</v>
      </c>
      <c r="H317" s="652" t="s">
        <v>40</v>
      </c>
      <c r="I317" s="653" t="s">
        <v>45</v>
      </c>
      <c r="J317" s="10"/>
      <c r="K317" s="26">
        <f t="shared" ref="K317:M318" si="50">K318</f>
        <v>7000</v>
      </c>
      <c r="L317" s="26">
        <f t="shared" si="50"/>
        <v>0</v>
      </c>
      <c r="M317" s="26">
        <f t="shared" si="50"/>
        <v>7000</v>
      </c>
    </row>
    <row r="318" spans="1:13" s="148" customFormat="1" ht="37.5" customHeight="1" x14ac:dyDescent="0.35">
      <c r="A318" s="11"/>
      <c r="B318" s="24" t="s">
        <v>259</v>
      </c>
      <c r="C318" s="25" t="s">
        <v>304</v>
      </c>
      <c r="D318" s="10" t="s">
        <v>89</v>
      </c>
      <c r="E318" s="10" t="s">
        <v>38</v>
      </c>
      <c r="F318" s="32" t="s">
        <v>225</v>
      </c>
      <c r="G318" s="33" t="s">
        <v>46</v>
      </c>
      <c r="H318" s="652" t="s">
        <v>40</v>
      </c>
      <c r="I318" s="653" t="s">
        <v>425</v>
      </c>
      <c r="J318" s="10"/>
      <c r="K318" s="26">
        <f t="shared" si="50"/>
        <v>7000</v>
      </c>
      <c r="L318" s="26">
        <f t="shared" si="50"/>
        <v>0</v>
      </c>
      <c r="M318" s="26">
        <f t="shared" si="50"/>
        <v>7000</v>
      </c>
    </row>
    <row r="319" spans="1:13" s="148" customFormat="1" ht="18.75" customHeight="1" x14ac:dyDescent="0.35">
      <c r="A319" s="11"/>
      <c r="B319" s="24" t="s">
        <v>124</v>
      </c>
      <c r="C319" s="25" t="s">
        <v>304</v>
      </c>
      <c r="D319" s="10" t="s">
        <v>89</v>
      </c>
      <c r="E319" s="10" t="s">
        <v>38</v>
      </c>
      <c r="F319" s="32" t="s">
        <v>225</v>
      </c>
      <c r="G319" s="33" t="s">
        <v>46</v>
      </c>
      <c r="H319" s="652" t="s">
        <v>40</v>
      </c>
      <c r="I319" s="653" t="s">
        <v>425</v>
      </c>
      <c r="J319" s="10" t="s">
        <v>125</v>
      </c>
      <c r="K319" s="26">
        <v>7000</v>
      </c>
      <c r="L319" s="26">
        <f>M319-K319</f>
        <v>0</v>
      </c>
      <c r="M319" s="26">
        <v>7000</v>
      </c>
    </row>
    <row r="320" spans="1:13" s="148" customFormat="1" ht="36" x14ac:dyDescent="0.35">
      <c r="A320" s="11"/>
      <c r="B320" s="24" t="s">
        <v>649</v>
      </c>
      <c r="C320" s="25" t="s">
        <v>304</v>
      </c>
      <c r="D320" s="10" t="s">
        <v>89</v>
      </c>
      <c r="E320" s="10" t="s">
        <v>64</v>
      </c>
      <c r="F320" s="32"/>
      <c r="G320" s="33"/>
      <c r="H320" s="652"/>
      <c r="I320" s="653"/>
      <c r="J320" s="10"/>
      <c r="K320" s="26">
        <f>K321</f>
        <v>1285</v>
      </c>
      <c r="L320" s="26">
        <f t="shared" ref="K320:M323" si="51">L321</f>
        <v>0</v>
      </c>
      <c r="M320" s="26">
        <f>M321</f>
        <v>1285</v>
      </c>
    </row>
    <row r="321" spans="1:13" s="148" customFormat="1" ht="54" x14ac:dyDescent="0.35">
      <c r="A321" s="11"/>
      <c r="B321" s="24" t="s">
        <v>224</v>
      </c>
      <c r="C321" s="25" t="s">
        <v>304</v>
      </c>
      <c r="D321" s="10" t="s">
        <v>89</v>
      </c>
      <c r="E321" s="10" t="s">
        <v>64</v>
      </c>
      <c r="F321" s="32" t="s">
        <v>225</v>
      </c>
      <c r="G321" s="33" t="s">
        <v>43</v>
      </c>
      <c r="H321" s="652" t="s">
        <v>44</v>
      </c>
      <c r="I321" s="653" t="s">
        <v>45</v>
      </c>
      <c r="J321" s="10"/>
      <c r="K321" s="26">
        <f t="shared" si="51"/>
        <v>1285</v>
      </c>
      <c r="L321" s="26">
        <f t="shared" si="51"/>
        <v>0</v>
      </c>
      <c r="M321" s="26">
        <f t="shared" si="51"/>
        <v>1285</v>
      </c>
    </row>
    <row r="322" spans="1:13" s="148" customFormat="1" ht="36" x14ac:dyDescent="0.35">
      <c r="A322" s="11"/>
      <c r="B322" s="24" t="s">
        <v>343</v>
      </c>
      <c r="C322" s="25" t="s">
        <v>304</v>
      </c>
      <c r="D322" s="10" t="s">
        <v>89</v>
      </c>
      <c r="E322" s="10" t="s">
        <v>64</v>
      </c>
      <c r="F322" s="32" t="s">
        <v>225</v>
      </c>
      <c r="G322" s="33" t="s">
        <v>46</v>
      </c>
      <c r="H322" s="652" t="s">
        <v>44</v>
      </c>
      <c r="I322" s="653" t="s">
        <v>45</v>
      </c>
      <c r="J322" s="10"/>
      <c r="K322" s="26">
        <f t="shared" si="51"/>
        <v>1285</v>
      </c>
      <c r="L322" s="26">
        <f t="shared" si="51"/>
        <v>0</v>
      </c>
      <c r="M322" s="26">
        <f t="shared" si="51"/>
        <v>1285</v>
      </c>
    </row>
    <row r="323" spans="1:13" s="148" customFormat="1" ht="36" x14ac:dyDescent="0.35">
      <c r="A323" s="11"/>
      <c r="B323" s="24" t="s">
        <v>306</v>
      </c>
      <c r="C323" s="25" t="s">
        <v>304</v>
      </c>
      <c r="D323" s="10" t="s">
        <v>89</v>
      </c>
      <c r="E323" s="10" t="s">
        <v>64</v>
      </c>
      <c r="F323" s="32" t="s">
        <v>225</v>
      </c>
      <c r="G323" s="33" t="s">
        <v>46</v>
      </c>
      <c r="H323" s="652" t="s">
        <v>40</v>
      </c>
      <c r="I323" s="653" t="s">
        <v>45</v>
      </c>
      <c r="J323" s="10"/>
      <c r="K323" s="26">
        <f t="shared" si="51"/>
        <v>1285</v>
      </c>
      <c r="L323" s="26">
        <f t="shared" si="51"/>
        <v>0</v>
      </c>
      <c r="M323" s="26">
        <f t="shared" si="51"/>
        <v>1285</v>
      </c>
    </row>
    <row r="324" spans="1:13" s="148" customFormat="1" ht="54" x14ac:dyDescent="0.35">
      <c r="A324" s="11"/>
      <c r="B324" s="24" t="s">
        <v>671</v>
      </c>
      <c r="C324" s="25" t="s">
        <v>304</v>
      </c>
      <c r="D324" s="10" t="s">
        <v>89</v>
      </c>
      <c r="E324" s="10" t="s">
        <v>64</v>
      </c>
      <c r="F324" s="32" t="s">
        <v>225</v>
      </c>
      <c r="G324" s="33" t="s">
        <v>46</v>
      </c>
      <c r="H324" s="652" t="s">
        <v>40</v>
      </c>
      <c r="I324" s="653" t="s">
        <v>672</v>
      </c>
      <c r="J324" s="10"/>
      <c r="K324" s="26">
        <f>K325</f>
        <v>1285</v>
      </c>
      <c r="L324" s="26">
        <f>L325</f>
        <v>0</v>
      </c>
      <c r="M324" s="26">
        <f>M325</f>
        <v>1285</v>
      </c>
    </row>
    <row r="325" spans="1:13" s="148" customFormat="1" ht="18" x14ac:dyDescent="0.35">
      <c r="A325" s="11"/>
      <c r="B325" s="24" t="s">
        <v>124</v>
      </c>
      <c r="C325" s="25" t="s">
        <v>304</v>
      </c>
      <c r="D325" s="10" t="s">
        <v>89</v>
      </c>
      <c r="E325" s="10" t="s">
        <v>64</v>
      </c>
      <c r="F325" s="32" t="s">
        <v>225</v>
      </c>
      <c r="G325" s="33" t="s">
        <v>46</v>
      </c>
      <c r="H325" s="652" t="s">
        <v>40</v>
      </c>
      <c r="I325" s="653" t="s">
        <v>672</v>
      </c>
      <c r="J325" s="10" t="s">
        <v>125</v>
      </c>
      <c r="K325" s="26">
        <v>1285</v>
      </c>
      <c r="L325" s="26">
        <f>M325-K325</f>
        <v>0</v>
      </c>
      <c r="M325" s="26">
        <v>1285</v>
      </c>
    </row>
    <row r="326" spans="1:13" s="148" customFormat="1" ht="18.75" customHeight="1" x14ac:dyDescent="0.35">
      <c r="A326" s="11"/>
      <c r="B326" s="24"/>
      <c r="C326" s="25"/>
      <c r="D326" s="10"/>
      <c r="E326" s="10"/>
      <c r="F326" s="32"/>
      <c r="G326" s="33"/>
      <c r="H326" s="652"/>
      <c r="I326" s="653"/>
      <c r="J326" s="10"/>
      <c r="K326" s="26"/>
      <c r="L326" s="26"/>
      <c r="M326" s="26"/>
    </row>
    <row r="327" spans="1:13" s="149" customFormat="1" ht="56.25" customHeight="1" x14ac:dyDescent="0.3">
      <c r="A327" s="142">
        <v>3</v>
      </c>
      <c r="B327" s="18" t="s">
        <v>36</v>
      </c>
      <c r="C327" s="19" t="s">
        <v>129</v>
      </c>
      <c r="D327" s="20"/>
      <c r="E327" s="20"/>
      <c r="F327" s="21"/>
      <c r="G327" s="22"/>
      <c r="H327" s="22"/>
      <c r="I327" s="23"/>
      <c r="J327" s="20"/>
      <c r="K327" s="40">
        <f t="shared" ref="K327:M330" si="52">K328</f>
        <v>6007</v>
      </c>
      <c r="L327" s="40">
        <f t="shared" si="52"/>
        <v>0</v>
      </c>
      <c r="M327" s="40">
        <f t="shared" si="52"/>
        <v>6007</v>
      </c>
    </row>
    <row r="328" spans="1:13" s="149" customFormat="1" ht="18.75" customHeight="1" x14ac:dyDescent="0.35">
      <c r="A328" s="11"/>
      <c r="B328" s="24" t="s">
        <v>37</v>
      </c>
      <c r="C328" s="25" t="s">
        <v>129</v>
      </c>
      <c r="D328" s="10" t="s">
        <v>38</v>
      </c>
      <c r="E328" s="10"/>
      <c r="F328" s="651"/>
      <c r="G328" s="652"/>
      <c r="H328" s="652"/>
      <c r="I328" s="653"/>
      <c r="J328" s="10"/>
      <c r="K328" s="26">
        <f t="shared" si="52"/>
        <v>6007</v>
      </c>
      <c r="L328" s="26">
        <f t="shared" si="52"/>
        <v>0</v>
      </c>
      <c r="M328" s="26">
        <f t="shared" si="52"/>
        <v>6007</v>
      </c>
    </row>
    <row r="329" spans="1:13" s="149" customFormat="1" ht="75" customHeight="1" x14ac:dyDescent="0.35">
      <c r="A329" s="11"/>
      <c r="B329" s="24" t="s">
        <v>130</v>
      </c>
      <c r="C329" s="25" t="s">
        <v>129</v>
      </c>
      <c r="D329" s="10" t="s">
        <v>38</v>
      </c>
      <c r="E329" s="10" t="s">
        <v>82</v>
      </c>
      <c r="F329" s="651"/>
      <c r="G329" s="652"/>
      <c r="H329" s="652"/>
      <c r="I329" s="653"/>
      <c r="J329" s="10"/>
      <c r="K329" s="26">
        <f t="shared" si="52"/>
        <v>6007</v>
      </c>
      <c r="L329" s="26">
        <f t="shared" si="52"/>
        <v>0</v>
      </c>
      <c r="M329" s="26">
        <f t="shared" si="52"/>
        <v>6007</v>
      </c>
    </row>
    <row r="330" spans="1:13" s="149" customFormat="1" ht="39" customHeight="1" x14ac:dyDescent="0.35">
      <c r="A330" s="11"/>
      <c r="B330" s="27" t="s">
        <v>131</v>
      </c>
      <c r="C330" s="25" t="s">
        <v>129</v>
      </c>
      <c r="D330" s="10" t="s">
        <v>38</v>
      </c>
      <c r="E330" s="10" t="s">
        <v>82</v>
      </c>
      <c r="F330" s="651" t="s">
        <v>132</v>
      </c>
      <c r="G330" s="652" t="s">
        <v>43</v>
      </c>
      <c r="H330" s="652" t="s">
        <v>44</v>
      </c>
      <c r="I330" s="653" t="s">
        <v>45</v>
      </c>
      <c r="J330" s="10"/>
      <c r="K330" s="26">
        <f t="shared" si="52"/>
        <v>6007</v>
      </c>
      <c r="L330" s="26">
        <f t="shared" si="52"/>
        <v>0</v>
      </c>
      <c r="M330" s="26">
        <f t="shared" si="52"/>
        <v>6007</v>
      </c>
    </row>
    <row r="331" spans="1:13" s="149" customFormat="1" ht="41.25" customHeight="1" x14ac:dyDescent="0.35">
      <c r="A331" s="11"/>
      <c r="B331" s="27" t="s">
        <v>133</v>
      </c>
      <c r="C331" s="25" t="s">
        <v>129</v>
      </c>
      <c r="D331" s="10" t="s">
        <v>38</v>
      </c>
      <c r="E331" s="10" t="s">
        <v>82</v>
      </c>
      <c r="F331" s="651" t="s">
        <v>132</v>
      </c>
      <c r="G331" s="652" t="s">
        <v>46</v>
      </c>
      <c r="H331" s="652" t="s">
        <v>44</v>
      </c>
      <c r="I331" s="653" t="s">
        <v>45</v>
      </c>
      <c r="J331" s="10"/>
      <c r="K331" s="26">
        <f>K332+K336</f>
        <v>6007</v>
      </c>
      <c r="L331" s="26">
        <f>L332+L336</f>
        <v>0</v>
      </c>
      <c r="M331" s="26">
        <f>M332+M336</f>
        <v>6007</v>
      </c>
    </row>
    <row r="332" spans="1:13" s="149" customFormat="1" ht="37.5" customHeight="1" x14ac:dyDescent="0.35">
      <c r="A332" s="11"/>
      <c r="B332" s="24" t="s">
        <v>48</v>
      </c>
      <c r="C332" s="25" t="s">
        <v>129</v>
      </c>
      <c r="D332" s="10" t="s">
        <v>38</v>
      </c>
      <c r="E332" s="10" t="s">
        <v>82</v>
      </c>
      <c r="F332" s="651" t="s">
        <v>132</v>
      </c>
      <c r="G332" s="652" t="s">
        <v>46</v>
      </c>
      <c r="H332" s="652" t="s">
        <v>44</v>
      </c>
      <c r="I332" s="653" t="s">
        <v>49</v>
      </c>
      <c r="J332" s="10"/>
      <c r="K332" s="26">
        <f>K333+K334+K335</f>
        <v>4928.0999999999995</v>
      </c>
      <c r="L332" s="26">
        <f>L333+L334+L335</f>
        <v>0</v>
      </c>
      <c r="M332" s="26">
        <f>M333+M334+M335</f>
        <v>4928.0999999999995</v>
      </c>
    </row>
    <row r="333" spans="1:13" s="149" customFormat="1" ht="112.5" customHeight="1" x14ac:dyDescent="0.35">
      <c r="A333" s="11"/>
      <c r="B333" s="27" t="s">
        <v>50</v>
      </c>
      <c r="C333" s="25" t="s">
        <v>129</v>
      </c>
      <c r="D333" s="10" t="s">
        <v>38</v>
      </c>
      <c r="E333" s="10" t="s">
        <v>82</v>
      </c>
      <c r="F333" s="651" t="s">
        <v>132</v>
      </c>
      <c r="G333" s="652" t="s">
        <v>46</v>
      </c>
      <c r="H333" s="652" t="s">
        <v>44</v>
      </c>
      <c r="I333" s="653" t="s">
        <v>49</v>
      </c>
      <c r="J333" s="10" t="s">
        <v>51</v>
      </c>
      <c r="K333" s="26">
        <f>3104.9+1566.4-66.1</f>
        <v>4605.2</v>
      </c>
      <c r="L333" s="26">
        <f>M333-K333</f>
        <v>0</v>
      </c>
      <c r="M333" s="26">
        <f>3104.9+1566.4-66.1</f>
        <v>4605.2</v>
      </c>
    </row>
    <row r="334" spans="1:13" s="149" customFormat="1" ht="56.25" customHeight="1" x14ac:dyDescent="0.35">
      <c r="A334" s="11"/>
      <c r="B334" s="24" t="s">
        <v>56</v>
      </c>
      <c r="C334" s="25" t="s">
        <v>129</v>
      </c>
      <c r="D334" s="10" t="s">
        <v>38</v>
      </c>
      <c r="E334" s="10" t="s">
        <v>82</v>
      </c>
      <c r="F334" s="651" t="s">
        <v>132</v>
      </c>
      <c r="G334" s="652" t="s">
        <v>46</v>
      </c>
      <c r="H334" s="652" t="s">
        <v>44</v>
      </c>
      <c r="I334" s="653" t="s">
        <v>49</v>
      </c>
      <c r="J334" s="10" t="s">
        <v>57</v>
      </c>
      <c r="K334" s="26">
        <f>246.8+66.1</f>
        <v>312.89999999999998</v>
      </c>
      <c r="L334" s="26">
        <f>M334-K334</f>
        <v>0</v>
      </c>
      <c r="M334" s="26">
        <f>246.8+66.1</f>
        <v>312.89999999999998</v>
      </c>
    </row>
    <row r="335" spans="1:13" s="149" customFormat="1" ht="18.75" customHeight="1" x14ac:dyDescent="0.35">
      <c r="A335" s="11"/>
      <c r="B335" s="24" t="s">
        <v>58</v>
      </c>
      <c r="C335" s="25" t="s">
        <v>129</v>
      </c>
      <c r="D335" s="10" t="s">
        <v>38</v>
      </c>
      <c r="E335" s="10" t="s">
        <v>82</v>
      </c>
      <c r="F335" s="651" t="s">
        <v>132</v>
      </c>
      <c r="G335" s="652" t="s">
        <v>46</v>
      </c>
      <c r="H335" s="652" t="s">
        <v>44</v>
      </c>
      <c r="I335" s="653" t="s">
        <v>49</v>
      </c>
      <c r="J335" s="10" t="s">
        <v>59</v>
      </c>
      <c r="K335" s="26">
        <v>10</v>
      </c>
      <c r="L335" s="26">
        <f>M335-K335</f>
        <v>0</v>
      </c>
      <c r="M335" s="26">
        <v>10</v>
      </c>
    </row>
    <row r="336" spans="1:13" s="149" customFormat="1" ht="37.5" customHeight="1" x14ac:dyDescent="0.35">
      <c r="A336" s="11"/>
      <c r="B336" s="24" t="s">
        <v>237</v>
      </c>
      <c r="C336" s="25" t="s">
        <v>129</v>
      </c>
      <c r="D336" s="10" t="s">
        <v>38</v>
      </c>
      <c r="E336" s="10" t="s">
        <v>82</v>
      </c>
      <c r="F336" s="651" t="s">
        <v>132</v>
      </c>
      <c r="G336" s="652" t="s">
        <v>46</v>
      </c>
      <c r="H336" s="652" t="s">
        <v>44</v>
      </c>
      <c r="I336" s="653" t="s">
        <v>134</v>
      </c>
      <c r="J336" s="10"/>
      <c r="K336" s="26">
        <f>K337</f>
        <v>1078.9000000000001</v>
      </c>
      <c r="L336" s="26">
        <f>L337</f>
        <v>0</v>
      </c>
      <c r="M336" s="26">
        <f>M337</f>
        <v>1078.9000000000001</v>
      </c>
    </row>
    <row r="337" spans="1:13" s="149" customFormat="1" ht="112.5" customHeight="1" x14ac:dyDescent="0.35">
      <c r="A337" s="11"/>
      <c r="B337" s="24" t="s">
        <v>50</v>
      </c>
      <c r="C337" s="25" t="s">
        <v>129</v>
      </c>
      <c r="D337" s="10" t="s">
        <v>38</v>
      </c>
      <c r="E337" s="10" t="s">
        <v>82</v>
      </c>
      <c r="F337" s="651" t="s">
        <v>132</v>
      </c>
      <c r="G337" s="652" t="s">
        <v>46</v>
      </c>
      <c r="H337" s="652" t="s">
        <v>44</v>
      </c>
      <c r="I337" s="653" t="s">
        <v>134</v>
      </c>
      <c r="J337" s="10" t="s">
        <v>51</v>
      </c>
      <c r="K337" s="26">
        <v>1078.9000000000001</v>
      </c>
      <c r="L337" s="26">
        <f>M337-K337</f>
        <v>0</v>
      </c>
      <c r="M337" s="26">
        <v>1078.9000000000001</v>
      </c>
    </row>
    <row r="338" spans="1:13" s="164" customFormat="1" ht="18.75" customHeight="1" x14ac:dyDescent="0.35">
      <c r="A338" s="342"/>
      <c r="B338" s="345"/>
      <c r="C338" s="346"/>
      <c r="D338" s="347"/>
      <c r="E338" s="347"/>
      <c r="F338" s="348"/>
      <c r="G338" s="349"/>
      <c r="H338" s="349"/>
      <c r="I338" s="350"/>
      <c r="J338" s="347"/>
      <c r="K338" s="329"/>
      <c r="L338" s="329"/>
      <c r="M338" s="329"/>
    </row>
    <row r="339" spans="1:13" s="158" customFormat="1" ht="56.25" customHeight="1" x14ac:dyDescent="0.3">
      <c r="A339" s="150">
        <v>4</v>
      </c>
      <c r="B339" s="151" t="s">
        <v>6</v>
      </c>
      <c r="C339" s="152" t="s">
        <v>435</v>
      </c>
      <c r="D339" s="153"/>
      <c r="E339" s="153"/>
      <c r="F339" s="154"/>
      <c r="G339" s="155"/>
      <c r="H339" s="155"/>
      <c r="I339" s="156"/>
      <c r="J339" s="153"/>
      <c r="K339" s="157">
        <f>K340+K396+K403+K389+K424+K431</f>
        <v>232412.79999999999</v>
      </c>
      <c r="L339" s="157">
        <f>L340+L396+L403+L389+L424+L431</f>
        <v>8724.9999999999982</v>
      </c>
      <c r="M339" s="157">
        <f>M340+M396+M403+M389+M424+M431</f>
        <v>241137.79999999996</v>
      </c>
    </row>
    <row r="340" spans="1:13" s="164" customFormat="1" ht="18.75" customHeight="1" x14ac:dyDescent="0.35">
      <c r="A340" s="159"/>
      <c r="B340" s="133" t="s">
        <v>37</v>
      </c>
      <c r="C340" s="160" t="s">
        <v>435</v>
      </c>
      <c r="D340" s="161" t="s">
        <v>38</v>
      </c>
      <c r="E340" s="111"/>
      <c r="F340" s="162"/>
      <c r="G340" s="109"/>
      <c r="H340" s="109"/>
      <c r="I340" s="110"/>
      <c r="J340" s="111"/>
      <c r="K340" s="163">
        <f>K341</f>
        <v>44580.836600000002</v>
      </c>
      <c r="L340" s="163">
        <f>L341</f>
        <v>9753.0999999999985</v>
      </c>
      <c r="M340" s="163">
        <f>M341</f>
        <v>54333.936600000008</v>
      </c>
    </row>
    <row r="341" spans="1:13" s="158" customFormat="1" ht="18.75" customHeight="1" x14ac:dyDescent="0.35">
      <c r="A341" s="159"/>
      <c r="B341" s="133" t="s">
        <v>71</v>
      </c>
      <c r="C341" s="160" t="s">
        <v>435</v>
      </c>
      <c r="D341" s="161" t="s">
        <v>38</v>
      </c>
      <c r="E341" s="161" t="s">
        <v>72</v>
      </c>
      <c r="F341" s="162"/>
      <c r="G341" s="109"/>
      <c r="H341" s="109"/>
      <c r="I341" s="110"/>
      <c r="J341" s="111"/>
      <c r="K341" s="163">
        <f>K342+K383+K378</f>
        <v>44580.836600000002</v>
      </c>
      <c r="L341" s="163">
        <f>L342+L383+L378</f>
        <v>9753.0999999999985</v>
      </c>
      <c r="M341" s="163">
        <f>M342+M383+M378</f>
        <v>54333.936600000008</v>
      </c>
    </row>
    <row r="342" spans="1:13" s="164" customFormat="1" ht="57" customHeight="1" x14ac:dyDescent="0.35">
      <c r="A342" s="159"/>
      <c r="B342" s="133" t="s">
        <v>226</v>
      </c>
      <c r="C342" s="160" t="s">
        <v>435</v>
      </c>
      <c r="D342" s="161" t="s">
        <v>38</v>
      </c>
      <c r="E342" s="161" t="s">
        <v>72</v>
      </c>
      <c r="F342" s="121" t="s">
        <v>227</v>
      </c>
      <c r="G342" s="109" t="s">
        <v>43</v>
      </c>
      <c r="H342" s="109" t="s">
        <v>44</v>
      </c>
      <c r="I342" s="110" t="s">
        <v>45</v>
      </c>
      <c r="J342" s="111"/>
      <c r="K342" s="163">
        <f>K343+K350+K370</f>
        <v>39553.351999999999</v>
      </c>
      <c r="L342" s="163">
        <f>L343+L350+L370</f>
        <v>8745.2999999999993</v>
      </c>
      <c r="M342" s="163">
        <f>M343+M350+M370</f>
        <v>48298.652000000002</v>
      </c>
    </row>
    <row r="343" spans="1:13" s="164" customFormat="1" ht="37.950000000000003" customHeight="1" x14ac:dyDescent="0.35">
      <c r="A343" s="159"/>
      <c r="B343" s="133" t="s">
        <v>228</v>
      </c>
      <c r="C343" s="160" t="s">
        <v>435</v>
      </c>
      <c r="D343" s="161" t="s">
        <v>38</v>
      </c>
      <c r="E343" s="161" t="s">
        <v>72</v>
      </c>
      <c r="F343" s="165" t="s">
        <v>227</v>
      </c>
      <c r="G343" s="166" t="s">
        <v>46</v>
      </c>
      <c r="H343" s="166" t="s">
        <v>44</v>
      </c>
      <c r="I343" s="167" t="s">
        <v>45</v>
      </c>
      <c r="J343" s="111"/>
      <c r="K343" s="163">
        <f>K344+K347</f>
        <v>5462.652</v>
      </c>
      <c r="L343" s="163">
        <f>L344+L347</f>
        <v>2152.9000000000005</v>
      </c>
      <c r="M343" s="163">
        <f>M344+M347</f>
        <v>7615.5520000000006</v>
      </c>
    </row>
    <row r="344" spans="1:13" s="164" customFormat="1" ht="90.6" customHeight="1" x14ac:dyDescent="0.35">
      <c r="A344" s="159"/>
      <c r="B344" s="133" t="s">
        <v>299</v>
      </c>
      <c r="C344" s="160" t="s">
        <v>435</v>
      </c>
      <c r="D344" s="161" t="s">
        <v>38</v>
      </c>
      <c r="E344" s="161" t="s">
        <v>72</v>
      </c>
      <c r="F344" s="108" t="s">
        <v>227</v>
      </c>
      <c r="G344" s="109" t="s">
        <v>46</v>
      </c>
      <c r="H344" s="109" t="s">
        <v>38</v>
      </c>
      <c r="I344" s="110" t="s">
        <v>45</v>
      </c>
      <c r="J344" s="111"/>
      <c r="K344" s="163">
        <f t="shared" ref="K344:M345" si="53">K345</f>
        <v>491.2</v>
      </c>
      <c r="L344" s="163">
        <f t="shared" si="53"/>
        <v>17.800000000000011</v>
      </c>
      <c r="M344" s="163">
        <f t="shared" si="53"/>
        <v>509</v>
      </c>
    </row>
    <row r="345" spans="1:13" s="164" customFormat="1" ht="56.25" customHeight="1" x14ac:dyDescent="0.35">
      <c r="A345" s="159"/>
      <c r="B345" s="133" t="s">
        <v>229</v>
      </c>
      <c r="C345" s="160" t="s">
        <v>435</v>
      </c>
      <c r="D345" s="161" t="s">
        <v>38</v>
      </c>
      <c r="E345" s="161" t="s">
        <v>72</v>
      </c>
      <c r="F345" s="108" t="s">
        <v>227</v>
      </c>
      <c r="G345" s="109" t="s">
        <v>46</v>
      </c>
      <c r="H345" s="109" t="s">
        <v>38</v>
      </c>
      <c r="I345" s="110" t="s">
        <v>300</v>
      </c>
      <c r="J345" s="111"/>
      <c r="K345" s="163">
        <f t="shared" si="53"/>
        <v>491.2</v>
      </c>
      <c r="L345" s="163">
        <f t="shared" si="53"/>
        <v>17.800000000000011</v>
      </c>
      <c r="M345" s="163">
        <f t="shared" si="53"/>
        <v>509</v>
      </c>
    </row>
    <row r="346" spans="1:13" s="158" customFormat="1" ht="56.25" customHeight="1" x14ac:dyDescent="0.35">
      <c r="A346" s="159"/>
      <c r="B346" s="128" t="s">
        <v>56</v>
      </c>
      <c r="C346" s="160" t="s">
        <v>435</v>
      </c>
      <c r="D346" s="161" t="s">
        <v>38</v>
      </c>
      <c r="E346" s="161" t="s">
        <v>72</v>
      </c>
      <c r="F346" s="108" t="s">
        <v>227</v>
      </c>
      <c r="G346" s="109" t="s">
        <v>46</v>
      </c>
      <c r="H346" s="109" t="s">
        <v>38</v>
      </c>
      <c r="I346" s="110" t="s">
        <v>300</v>
      </c>
      <c r="J346" s="111" t="s">
        <v>57</v>
      </c>
      <c r="K346" s="163">
        <f>511-19.8</f>
        <v>491.2</v>
      </c>
      <c r="L346" s="26">
        <f>M346-K346</f>
        <v>17.800000000000011</v>
      </c>
      <c r="M346" s="163">
        <f>511-19.8+19.8-2</f>
        <v>509</v>
      </c>
    </row>
    <row r="347" spans="1:13" s="158" customFormat="1" ht="37.5" customHeight="1" x14ac:dyDescent="0.35">
      <c r="A347" s="159"/>
      <c r="B347" s="128" t="s">
        <v>342</v>
      </c>
      <c r="C347" s="160" t="s">
        <v>435</v>
      </c>
      <c r="D347" s="161" t="s">
        <v>38</v>
      </c>
      <c r="E347" s="161" t="s">
        <v>72</v>
      </c>
      <c r="F347" s="108" t="s">
        <v>227</v>
      </c>
      <c r="G347" s="109" t="s">
        <v>46</v>
      </c>
      <c r="H347" s="109" t="s">
        <v>40</v>
      </c>
      <c r="I347" s="110" t="s">
        <v>45</v>
      </c>
      <c r="J347" s="111"/>
      <c r="K347" s="163">
        <f>K348</f>
        <v>4971.4520000000002</v>
      </c>
      <c r="L347" s="163">
        <f>L348</f>
        <v>2135.1000000000004</v>
      </c>
      <c r="M347" s="163">
        <f>M348</f>
        <v>7106.5520000000006</v>
      </c>
    </row>
    <row r="348" spans="1:13" s="158" customFormat="1" ht="37.5" customHeight="1" x14ac:dyDescent="0.35">
      <c r="A348" s="159"/>
      <c r="B348" s="128" t="s">
        <v>341</v>
      </c>
      <c r="C348" s="160" t="s">
        <v>435</v>
      </c>
      <c r="D348" s="161" t="s">
        <v>38</v>
      </c>
      <c r="E348" s="161" t="s">
        <v>72</v>
      </c>
      <c r="F348" s="108" t="s">
        <v>227</v>
      </c>
      <c r="G348" s="109" t="s">
        <v>46</v>
      </c>
      <c r="H348" s="109" t="s">
        <v>40</v>
      </c>
      <c r="I348" s="110" t="s">
        <v>340</v>
      </c>
      <c r="J348" s="111"/>
      <c r="K348" s="163">
        <f>SUM(K349:K349)</f>
        <v>4971.4520000000002</v>
      </c>
      <c r="L348" s="163">
        <f>SUM(L349:L349)</f>
        <v>2135.1000000000004</v>
      </c>
      <c r="M348" s="163">
        <f>SUM(M349:M349)</f>
        <v>7106.5520000000006</v>
      </c>
    </row>
    <row r="349" spans="1:13" s="158" customFormat="1" ht="56.25" customHeight="1" x14ac:dyDescent="0.35">
      <c r="A349" s="159"/>
      <c r="B349" s="128" t="s">
        <v>56</v>
      </c>
      <c r="C349" s="160" t="s">
        <v>435</v>
      </c>
      <c r="D349" s="161" t="s">
        <v>38</v>
      </c>
      <c r="E349" s="161" t="s">
        <v>72</v>
      </c>
      <c r="F349" s="108" t="s">
        <v>227</v>
      </c>
      <c r="G349" s="109" t="s">
        <v>46</v>
      </c>
      <c r="H349" s="109" t="s">
        <v>40</v>
      </c>
      <c r="I349" s="110" t="s">
        <v>340</v>
      </c>
      <c r="J349" s="111" t="s">
        <v>57</v>
      </c>
      <c r="K349" s="163">
        <f>3197.2+586.2+36.2+283.6-112.3+145.3-148.548+781.6+122.2+80</f>
        <v>4971.4520000000002</v>
      </c>
      <c r="L349" s="26">
        <f>M349-K349</f>
        <v>2135.1000000000004</v>
      </c>
      <c r="M349" s="163">
        <f>3197.2+586.2+36.2+283.6-112.3+145.3-148.548+781.6+122.2+80+135.1+2000</f>
        <v>7106.5520000000006</v>
      </c>
    </row>
    <row r="350" spans="1:13" s="158" customFormat="1" ht="37.5" customHeight="1" x14ac:dyDescent="0.35">
      <c r="A350" s="159"/>
      <c r="B350" s="133" t="s">
        <v>230</v>
      </c>
      <c r="C350" s="160" t="s">
        <v>435</v>
      </c>
      <c r="D350" s="161" t="s">
        <v>38</v>
      </c>
      <c r="E350" s="161" t="s">
        <v>72</v>
      </c>
      <c r="F350" s="121" t="s">
        <v>227</v>
      </c>
      <c r="G350" s="109" t="s">
        <v>90</v>
      </c>
      <c r="H350" s="109" t="s">
        <v>44</v>
      </c>
      <c r="I350" s="110" t="s">
        <v>45</v>
      </c>
      <c r="J350" s="111"/>
      <c r="K350" s="163">
        <f>K351+K364+K367</f>
        <v>19130.786999999997</v>
      </c>
      <c r="L350" s="163">
        <f>L351+L364+L367</f>
        <v>6307.9</v>
      </c>
      <c r="M350" s="163">
        <f>M351+M364+M367</f>
        <v>25438.686999999998</v>
      </c>
    </row>
    <row r="351" spans="1:13" s="164" customFormat="1" ht="71.400000000000006" customHeight="1" x14ac:dyDescent="0.35">
      <c r="A351" s="159"/>
      <c r="B351" s="133" t="s">
        <v>303</v>
      </c>
      <c r="C351" s="160" t="s">
        <v>435</v>
      </c>
      <c r="D351" s="161" t="s">
        <v>38</v>
      </c>
      <c r="E351" s="161" t="s">
        <v>72</v>
      </c>
      <c r="F351" s="121" t="s">
        <v>227</v>
      </c>
      <c r="G351" s="109" t="s">
        <v>90</v>
      </c>
      <c r="H351" s="109" t="s">
        <v>38</v>
      </c>
      <c r="I351" s="110" t="s">
        <v>45</v>
      </c>
      <c r="J351" s="111"/>
      <c r="K351" s="163">
        <f>K352+K356+K360</f>
        <v>18401.386999999999</v>
      </c>
      <c r="L351" s="163">
        <f>L352+L356+L360+L362</f>
        <v>6305.9</v>
      </c>
      <c r="M351" s="163">
        <f>M352+M356+M360+M362</f>
        <v>24707.287</v>
      </c>
    </row>
    <row r="352" spans="1:13" s="158" customFormat="1" ht="37.5" customHeight="1" x14ac:dyDescent="0.35">
      <c r="A352" s="159"/>
      <c r="B352" s="133" t="s">
        <v>48</v>
      </c>
      <c r="C352" s="160" t="s">
        <v>435</v>
      </c>
      <c r="D352" s="161" t="s">
        <v>38</v>
      </c>
      <c r="E352" s="161" t="s">
        <v>72</v>
      </c>
      <c r="F352" s="168" t="s">
        <v>227</v>
      </c>
      <c r="G352" s="166" t="s">
        <v>90</v>
      </c>
      <c r="H352" s="166" t="s">
        <v>38</v>
      </c>
      <c r="I352" s="167" t="s">
        <v>49</v>
      </c>
      <c r="J352" s="111"/>
      <c r="K352" s="163">
        <f>K353+K354+K355</f>
        <v>10208.199999999999</v>
      </c>
      <c r="L352" s="163">
        <f>L353+L354+L355</f>
        <v>4900</v>
      </c>
      <c r="M352" s="163">
        <f>M353+M354+M355</f>
        <v>15108.199999999999</v>
      </c>
    </row>
    <row r="353" spans="1:14" s="164" customFormat="1" ht="103.95" customHeight="1" x14ac:dyDescent="0.35">
      <c r="A353" s="159"/>
      <c r="B353" s="133" t="s">
        <v>50</v>
      </c>
      <c r="C353" s="160" t="s">
        <v>435</v>
      </c>
      <c r="D353" s="161" t="s">
        <v>38</v>
      </c>
      <c r="E353" s="161" t="s">
        <v>72</v>
      </c>
      <c r="F353" s="121" t="s">
        <v>227</v>
      </c>
      <c r="G353" s="109" t="s">
        <v>90</v>
      </c>
      <c r="H353" s="109" t="s">
        <v>38</v>
      </c>
      <c r="I353" s="110" t="s">
        <v>49</v>
      </c>
      <c r="J353" s="111" t="s">
        <v>51</v>
      </c>
      <c r="K353" s="163">
        <f>12567.3+2152.9-4900</f>
        <v>9820.1999999999989</v>
      </c>
      <c r="L353" s="26">
        <f>M353-K353</f>
        <v>4900</v>
      </c>
      <c r="M353" s="163">
        <f>12567.3+2152.9-4900+4900</f>
        <v>14720.199999999999</v>
      </c>
    </row>
    <row r="354" spans="1:14" s="164" customFormat="1" ht="56.25" customHeight="1" x14ac:dyDescent="0.35">
      <c r="A354" s="159"/>
      <c r="B354" s="128" t="s">
        <v>56</v>
      </c>
      <c r="C354" s="160" t="s">
        <v>435</v>
      </c>
      <c r="D354" s="161" t="s">
        <v>38</v>
      </c>
      <c r="E354" s="161" t="s">
        <v>72</v>
      </c>
      <c r="F354" s="121" t="s">
        <v>227</v>
      </c>
      <c r="G354" s="109" t="s">
        <v>90</v>
      </c>
      <c r="H354" s="109" t="s">
        <v>38</v>
      </c>
      <c r="I354" s="110" t="s">
        <v>49</v>
      </c>
      <c r="J354" s="111" t="s">
        <v>57</v>
      </c>
      <c r="K354" s="163">
        <f>364.5-10+19.8+12.5</f>
        <v>386.8</v>
      </c>
      <c r="L354" s="26">
        <f>M354-K354</f>
        <v>0</v>
      </c>
      <c r="M354" s="163">
        <f>364.5-10+19.8+12.5</f>
        <v>386.8</v>
      </c>
      <c r="N354" s="198"/>
    </row>
    <row r="355" spans="1:14" s="164" customFormat="1" ht="18.75" customHeight="1" x14ac:dyDescent="0.35">
      <c r="A355" s="159"/>
      <c r="B355" s="133" t="s">
        <v>58</v>
      </c>
      <c r="C355" s="160" t="s">
        <v>435</v>
      </c>
      <c r="D355" s="161" t="s">
        <v>38</v>
      </c>
      <c r="E355" s="161" t="s">
        <v>72</v>
      </c>
      <c r="F355" s="121" t="s">
        <v>227</v>
      </c>
      <c r="G355" s="109" t="s">
        <v>90</v>
      </c>
      <c r="H355" s="109" t="s">
        <v>38</v>
      </c>
      <c r="I355" s="110" t="s">
        <v>49</v>
      </c>
      <c r="J355" s="111" t="s">
        <v>59</v>
      </c>
      <c r="K355" s="163">
        <v>1.2</v>
      </c>
      <c r="L355" s="26">
        <f>M355-K355</f>
        <v>0</v>
      </c>
      <c r="M355" s="163">
        <v>1.2</v>
      </c>
    </row>
    <row r="356" spans="1:14" s="164" customFormat="1" ht="36" customHeight="1" x14ac:dyDescent="0.35">
      <c r="A356" s="159"/>
      <c r="B356" s="27" t="s">
        <v>490</v>
      </c>
      <c r="C356" s="160" t="s">
        <v>435</v>
      </c>
      <c r="D356" s="161" t="s">
        <v>38</v>
      </c>
      <c r="E356" s="161" t="s">
        <v>72</v>
      </c>
      <c r="F356" s="121" t="s">
        <v>227</v>
      </c>
      <c r="G356" s="109" t="s">
        <v>90</v>
      </c>
      <c r="H356" s="109" t="s">
        <v>38</v>
      </c>
      <c r="I356" s="110" t="s">
        <v>92</v>
      </c>
      <c r="J356" s="111"/>
      <c r="K356" s="163">
        <f>K357+K358+K359</f>
        <v>7807.2869999999984</v>
      </c>
      <c r="L356" s="163">
        <f>L357+L358+L359</f>
        <v>1075.5999999999992</v>
      </c>
      <c r="M356" s="163">
        <f>M357+M358+M359</f>
        <v>8882.8869999999988</v>
      </c>
      <c r="N356" s="198"/>
    </row>
    <row r="357" spans="1:14" s="164" customFormat="1" ht="112.5" customHeight="1" x14ac:dyDescent="0.35">
      <c r="A357" s="159"/>
      <c r="B357" s="133" t="s">
        <v>50</v>
      </c>
      <c r="C357" s="160" t="s">
        <v>435</v>
      </c>
      <c r="D357" s="161" t="s">
        <v>38</v>
      </c>
      <c r="E357" s="161" t="s">
        <v>72</v>
      </c>
      <c r="F357" s="121" t="s">
        <v>227</v>
      </c>
      <c r="G357" s="109" t="s">
        <v>90</v>
      </c>
      <c r="H357" s="109" t="s">
        <v>38</v>
      </c>
      <c r="I357" s="110" t="s">
        <v>92</v>
      </c>
      <c r="J357" s="111" t="s">
        <v>51</v>
      </c>
      <c r="K357" s="163">
        <f>8124.7+14.4+326-1000</f>
        <v>7465.0999999999985</v>
      </c>
      <c r="L357" s="26">
        <f>M357-K357</f>
        <v>1003.7999999999993</v>
      </c>
      <c r="M357" s="163">
        <f>8124.7+14.4+326-1000+3.8+1000</f>
        <v>8468.8999999999978</v>
      </c>
      <c r="N357" s="198"/>
    </row>
    <row r="358" spans="1:14" s="164" customFormat="1" ht="56.25" customHeight="1" x14ac:dyDescent="0.35">
      <c r="A358" s="159"/>
      <c r="B358" s="128" t="s">
        <v>56</v>
      </c>
      <c r="C358" s="160" t="s">
        <v>435</v>
      </c>
      <c r="D358" s="161" t="s">
        <v>38</v>
      </c>
      <c r="E358" s="161" t="s">
        <v>72</v>
      </c>
      <c r="F358" s="168" t="s">
        <v>227</v>
      </c>
      <c r="G358" s="166" t="s">
        <v>90</v>
      </c>
      <c r="H358" s="166" t="s">
        <v>38</v>
      </c>
      <c r="I358" s="167" t="s">
        <v>92</v>
      </c>
      <c r="J358" s="111" t="s">
        <v>57</v>
      </c>
      <c r="K358" s="163">
        <v>318.3</v>
      </c>
      <c r="L358" s="26">
        <f>M358-K358</f>
        <v>71.800000000000011</v>
      </c>
      <c r="M358" s="163">
        <f>318.3-6.3+78.1</f>
        <v>390.1</v>
      </c>
    </row>
    <row r="359" spans="1:14" s="164" customFormat="1" ht="18.75" customHeight="1" x14ac:dyDescent="0.35">
      <c r="A359" s="159"/>
      <c r="B359" s="133" t="s">
        <v>58</v>
      </c>
      <c r="C359" s="160" t="s">
        <v>435</v>
      </c>
      <c r="D359" s="161" t="s">
        <v>38</v>
      </c>
      <c r="E359" s="161" t="s">
        <v>72</v>
      </c>
      <c r="F359" s="121" t="s">
        <v>227</v>
      </c>
      <c r="G359" s="109" t="s">
        <v>90</v>
      </c>
      <c r="H359" s="109" t="s">
        <v>38</v>
      </c>
      <c r="I359" s="110" t="s">
        <v>92</v>
      </c>
      <c r="J359" s="111" t="s">
        <v>59</v>
      </c>
      <c r="K359" s="163">
        <f>20.3+3.587</f>
        <v>23.887</v>
      </c>
      <c r="L359" s="26">
        <f>M359-K359</f>
        <v>0</v>
      </c>
      <c r="M359" s="163">
        <f>20.3+3.587</f>
        <v>23.887</v>
      </c>
      <c r="N359" s="198"/>
    </row>
    <row r="360" spans="1:14" s="164" customFormat="1" ht="56.25" customHeight="1" x14ac:dyDescent="0.35">
      <c r="A360" s="159"/>
      <c r="B360" s="128" t="s">
        <v>361</v>
      </c>
      <c r="C360" s="215" t="s">
        <v>435</v>
      </c>
      <c r="D360" s="344" t="s">
        <v>38</v>
      </c>
      <c r="E360" s="344" t="s">
        <v>72</v>
      </c>
      <c r="F360" s="121" t="s">
        <v>227</v>
      </c>
      <c r="G360" s="109" t="s">
        <v>90</v>
      </c>
      <c r="H360" s="109" t="s">
        <v>38</v>
      </c>
      <c r="I360" s="110" t="s">
        <v>360</v>
      </c>
      <c r="J360" s="111"/>
      <c r="K360" s="163">
        <f>K361</f>
        <v>385.9</v>
      </c>
      <c r="L360" s="163">
        <f>L361</f>
        <v>308.5</v>
      </c>
      <c r="M360" s="163">
        <f>M361</f>
        <v>694.4</v>
      </c>
      <c r="N360" s="198"/>
    </row>
    <row r="361" spans="1:14" s="164" customFormat="1" ht="56.25" customHeight="1" x14ac:dyDescent="0.35">
      <c r="A361" s="159"/>
      <c r="B361" s="422" t="s">
        <v>56</v>
      </c>
      <c r="C361" s="423" t="s">
        <v>435</v>
      </c>
      <c r="D361" s="424" t="s">
        <v>38</v>
      </c>
      <c r="E361" s="424" t="s">
        <v>72</v>
      </c>
      <c r="F361" s="170" t="s">
        <v>227</v>
      </c>
      <c r="G361" s="109" t="s">
        <v>90</v>
      </c>
      <c r="H361" s="109" t="s">
        <v>38</v>
      </c>
      <c r="I361" s="343" t="s">
        <v>360</v>
      </c>
      <c r="J361" s="111" t="s">
        <v>57</v>
      </c>
      <c r="K361" s="163">
        <f>69+316.9</f>
        <v>385.9</v>
      </c>
      <c r="L361" s="26">
        <f>M361-K361</f>
        <v>308.5</v>
      </c>
      <c r="M361" s="163">
        <f>69+316.9+308.5</f>
        <v>694.4</v>
      </c>
      <c r="N361" s="198"/>
    </row>
    <row r="362" spans="1:14" s="164" customFormat="1" ht="56.25" customHeight="1" x14ac:dyDescent="0.35">
      <c r="A362" s="342"/>
      <c r="B362" s="627" t="s">
        <v>393</v>
      </c>
      <c r="C362" s="215" t="s">
        <v>435</v>
      </c>
      <c r="D362" s="344" t="s">
        <v>38</v>
      </c>
      <c r="E362" s="344" t="s">
        <v>72</v>
      </c>
      <c r="F362" s="121" t="s">
        <v>227</v>
      </c>
      <c r="G362" s="109" t="s">
        <v>90</v>
      </c>
      <c r="H362" s="109" t="s">
        <v>38</v>
      </c>
      <c r="I362" s="660" t="s">
        <v>392</v>
      </c>
      <c r="J362" s="661"/>
      <c r="K362" s="595"/>
      <c r="L362" s="26">
        <f>L363</f>
        <v>21.8</v>
      </c>
      <c r="M362" s="608">
        <f>M363</f>
        <v>21.8</v>
      </c>
      <c r="N362" s="198"/>
    </row>
    <row r="363" spans="1:14" s="164" customFormat="1" ht="56.25" customHeight="1" x14ac:dyDescent="0.35">
      <c r="A363" s="342"/>
      <c r="B363" s="627" t="s">
        <v>56</v>
      </c>
      <c r="C363" s="662" t="s">
        <v>435</v>
      </c>
      <c r="D363" s="663" t="s">
        <v>38</v>
      </c>
      <c r="E363" s="663" t="s">
        <v>72</v>
      </c>
      <c r="F363" s="121" t="s">
        <v>227</v>
      </c>
      <c r="G363" s="109" t="s">
        <v>90</v>
      </c>
      <c r="H363" s="109" t="s">
        <v>38</v>
      </c>
      <c r="I363" s="660" t="s">
        <v>392</v>
      </c>
      <c r="J363" s="661" t="s">
        <v>57</v>
      </c>
      <c r="K363" s="595"/>
      <c r="L363" s="26">
        <f>M363-K363</f>
        <v>21.8</v>
      </c>
      <c r="M363" s="608">
        <v>21.8</v>
      </c>
      <c r="N363" s="198"/>
    </row>
    <row r="364" spans="1:14" s="206" customFormat="1" ht="37.5" customHeight="1" x14ac:dyDescent="0.35">
      <c r="A364" s="200"/>
      <c r="B364" s="201" t="s">
        <v>358</v>
      </c>
      <c r="C364" s="202" t="s">
        <v>435</v>
      </c>
      <c r="D364" s="203" t="s">
        <v>38</v>
      </c>
      <c r="E364" s="203" t="s">
        <v>72</v>
      </c>
      <c r="F364" s="121" t="s">
        <v>227</v>
      </c>
      <c r="G364" s="122" t="s">
        <v>90</v>
      </c>
      <c r="H364" s="122" t="s">
        <v>40</v>
      </c>
      <c r="I364" s="123" t="s">
        <v>45</v>
      </c>
      <c r="J364" s="124"/>
      <c r="K364" s="204">
        <f t="shared" ref="K364:M365" si="54">K365</f>
        <v>714.6</v>
      </c>
      <c r="L364" s="204">
        <f t="shared" si="54"/>
        <v>0</v>
      </c>
      <c r="M364" s="204">
        <f t="shared" si="54"/>
        <v>714.6</v>
      </c>
      <c r="N364" s="205"/>
    </row>
    <row r="365" spans="1:14" s="206" customFormat="1" ht="60.75" customHeight="1" x14ac:dyDescent="0.35">
      <c r="A365" s="207"/>
      <c r="B365" s="208" t="s">
        <v>359</v>
      </c>
      <c r="C365" s="160" t="s">
        <v>435</v>
      </c>
      <c r="D365" s="161" t="s">
        <v>38</v>
      </c>
      <c r="E365" s="161" t="s">
        <v>72</v>
      </c>
      <c r="F365" s="170" t="s">
        <v>227</v>
      </c>
      <c r="G365" s="122" t="s">
        <v>90</v>
      </c>
      <c r="H365" s="122" t="s">
        <v>40</v>
      </c>
      <c r="I365" s="123" t="s">
        <v>106</v>
      </c>
      <c r="J365" s="125"/>
      <c r="K365" s="209">
        <f t="shared" si="54"/>
        <v>714.6</v>
      </c>
      <c r="L365" s="209">
        <f t="shared" si="54"/>
        <v>0</v>
      </c>
      <c r="M365" s="209">
        <f t="shared" si="54"/>
        <v>714.6</v>
      </c>
      <c r="N365" s="205"/>
    </row>
    <row r="366" spans="1:14" s="206" customFormat="1" ht="56.25" customHeight="1" x14ac:dyDescent="0.35">
      <c r="A366" s="207"/>
      <c r="B366" s="210" t="s">
        <v>56</v>
      </c>
      <c r="C366" s="160" t="s">
        <v>435</v>
      </c>
      <c r="D366" s="161" t="s">
        <v>38</v>
      </c>
      <c r="E366" s="161" t="s">
        <v>72</v>
      </c>
      <c r="F366" s="170" t="s">
        <v>227</v>
      </c>
      <c r="G366" s="127" t="s">
        <v>90</v>
      </c>
      <c r="H366" s="127" t="s">
        <v>40</v>
      </c>
      <c r="I366" s="211" t="s">
        <v>106</v>
      </c>
      <c r="J366" s="212" t="s">
        <v>57</v>
      </c>
      <c r="K366" s="322">
        <f>669.1+45.5</f>
        <v>714.6</v>
      </c>
      <c r="L366" s="26">
        <f>M366-K366</f>
        <v>0</v>
      </c>
      <c r="M366" s="322">
        <f>669.1+45.5</f>
        <v>714.6</v>
      </c>
      <c r="N366" s="205"/>
    </row>
    <row r="367" spans="1:14" s="206" customFormat="1" ht="37.5" customHeight="1" x14ac:dyDescent="0.35">
      <c r="A367" s="207"/>
      <c r="B367" s="213" t="s">
        <v>381</v>
      </c>
      <c r="C367" s="160" t="s">
        <v>435</v>
      </c>
      <c r="D367" s="161" t="s">
        <v>38</v>
      </c>
      <c r="E367" s="161" t="s">
        <v>72</v>
      </c>
      <c r="F367" s="170" t="s">
        <v>227</v>
      </c>
      <c r="G367" s="122" t="s">
        <v>90</v>
      </c>
      <c r="H367" s="122" t="s">
        <v>64</v>
      </c>
      <c r="I367" s="123" t="s">
        <v>45</v>
      </c>
      <c r="J367" s="125"/>
      <c r="K367" s="209">
        <f t="shared" ref="K367:M368" si="55">K368</f>
        <v>14.8</v>
      </c>
      <c r="L367" s="209">
        <f t="shared" si="55"/>
        <v>2</v>
      </c>
      <c r="M367" s="209">
        <f t="shared" si="55"/>
        <v>16.8</v>
      </c>
      <c r="N367" s="205"/>
    </row>
    <row r="368" spans="1:14" s="206" customFormat="1" ht="37.5" customHeight="1" x14ac:dyDescent="0.35">
      <c r="A368" s="207"/>
      <c r="B368" s="213" t="s">
        <v>341</v>
      </c>
      <c r="C368" s="160" t="s">
        <v>435</v>
      </c>
      <c r="D368" s="161" t="s">
        <v>38</v>
      </c>
      <c r="E368" s="161" t="s">
        <v>72</v>
      </c>
      <c r="F368" s="126" t="s">
        <v>227</v>
      </c>
      <c r="G368" s="127" t="s">
        <v>90</v>
      </c>
      <c r="H368" s="127" t="s">
        <v>64</v>
      </c>
      <c r="I368" s="211" t="s">
        <v>340</v>
      </c>
      <c r="J368" s="125"/>
      <c r="K368" s="209">
        <f t="shared" si="55"/>
        <v>14.8</v>
      </c>
      <c r="L368" s="209">
        <f t="shared" si="55"/>
        <v>2</v>
      </c>
      <c r="M368" s="209">
        <f t="shared" si="55"/>
        <v>16.8</v>
      </c>
      <c r="N368" s="205"/>
    </row>
    <row r="369" spans="1:14" s="206" customFormat="1" ht="18.75" customHeight="1" x14ac:dyDescent="0.35">
      <c r="A369" s="214"/>
      <c r="B369" s="133" t="s">
        <v>58</v>
      </c>
      <c r="C369" s="215" t="s">
        <v>435</v>
      </c>
      <c r="D369" s="161" t="s">
        <v>38</v>
      </c>
      <c r="E369" s="161" t="s">
        <v>72</v>
      </c>
      <c r="F369" s="121" t="s">
        <v>227</v>
      </c>
      <c r="G369" s="122" t="s">
        <v>90</v>
      </c>
      <c r="H369" s="122" t="s">
        <v>64</v>
      </c>
      <c r="I369" s="123" t="s">
        <v>340</v>
      </c>
      <c r="J369" s="125" t="s">
        <v>59</v>
      </c>
      <c r="K369" s="322">
        <v>14.8</v>
      </c>
      <c r="L369" s="26">
        <f>M369-K369</f>
        <v>2</v>
      </c>
      <c r="M369" s="322">
        <f>14.8+2</f>
        <v>16.8</v>
      </c>
      <c r="N369" s="205"/>
    </row>
    <row r="370" spans="1:14" s="206" customFormat="1" ht="37.5" customHeight="1" x14ac:dyDescent="0.35">
      <c r="A370" s="214"/>
      <c r="B370" s="169" t="s">
        <v>343</v>
      </c>
      <c r="C370" s="215" t="s">
        <v>435</v>
      </c>
      <c r="D370" s="161" t="s">
        <v>38</v>
      </c>
      <c r="E370" s="161" t="s">
        <v>72</v>
      </c>
      <c r="F370" s="121" t="s">
        <v>227</v>
      </c>
      <c r="G370" s="122" t="s">
        <v>31</v>
      </c>
      <c r="H370" s="122" t="s">
        <v>44</v>
      </c>
      <c r="I370" s="123" t="s">
        <v>45</v>
      </c>
      <c r="J370" s="125"/>
      <c r="K370" s="580">
        <f>K371+K374</f>
        <v>14959.913</v>
      </c>
      <c r="L370" s="580">
        <f>L371+L374</f>
        <v>284.50000000000011</v>
      </c>
      <c r="M370" s="580">
        <f>M371+M374</f>
        <v>15244.413</v>
      </c>
      <c r="N370" s="205"/>
    </row>
    <row r="371" spans="1:14" s="206" customFormat="1" ht="18" x14ac:dyDescent="0.35">
      <c r="A371" s="214"/>
      <c r="B371" s="169" t="s">
        <v>593</v>
      </c>
      <c r="C371" s="215" t="s">
        <v>435</v>
      </c>
      <c r="D371" s="161" t="s">
        <v>38</v>
      </c>
      <c r="E371" s="161" t="s">
        <v>72</v>
      </c>
      <c r="F371" s="121" t="s">
        <v>227</v>
      </c>
      <c r="G371" s="122" t="s">
        <v>31</v>
      </c>
      <c r="H371" s="122" t="s">
        <v>53</v>
      </c>
      <c r="I371" s="123" t="s">
        <v>45</v>
      </c>
      <c r="J371" s="125"/>
      <c r="K371" s="580">
        <f t="shared" ref="K371:M372" si="56">K372</f>
        <v>13927</v>
      </c>
      <c r="L371" s="580">
        <f t="shared" si="56"/>
        <v>0</v>
      </c>
      <c r="M371" s="580">
        <f t="shared" si="56"/>
        <v>13927</v>
      </c>
      <c r="N371" s="205"/>
    </row>
    <row r="372" spans="1:14" s="206" customFormat="1" ht="37.5" customHeight="1" x14ac:dyDescent="0.35">
      <c r="A372" s="214"/>
      <c r="B372" s="169" t="s">
        <v>594</v>
      </c>
      <c r="C372" s="215" t="s">
        <v>435</v>
      </c>
      <c r="D372" s="161" t="s">
        <v>38</v>
      </c>
      <c r="E372" s="161" t="s">
        <v>72</v>
      </c>
      <c r="F372" s="121" t="s">
        <v>227</v>
      </c>
      <c r="G372" s="122" t="s">
        <v>31</v>
      </c>
      <c r="H372" s="122" t="s">
        <v>53</v>
      </c>
      <c r="I372" s="123" t="s">
        <v>592</v>
      </c>
      <c r="J372" s="125"/>
      <c r="K372" s="580">
        <f>K373</f>
        <v>13927</v>
      </c>
      <c r="L372" s="580">
        <f t="shared" si="56"/>
        <v>0</v>
      </c>
      <c r="M372" s="580">
        <f>M373</f>
        <v>13927</v>
      </c>
      <c r="N372" s="205"/>
    </row>
    <row r="373" spans="1:14" s="206" customFormat="1" ht="18" x14ac:dyDescent="0.35">
      <c r="A373" s="214"/>
      <c r="B373" s="133" t="s">
        <v>58</v>
      </c>
      <c r="C373" s="215" t="s">
        <v>435</v>
      </c>
      <c r="D373" s="161" t="s">
        <v>38</v>
      </c>
      <c r="E373" s="161" t="s">
        <v>72</v>
      </c>
      <c r="F373" s="121" t="s">
        <v>227</v>
      </c>
      <c r="G373" s="122" t="s">
        <v>31</v>
      </c>
      <c r="H373" s="122" t="s">
        <v>53</v>
      </c>
      <c r="I373" s="123" t="s">
        <v>592</v>
      </c>
      <c r="J373" s="125" t="s">
        <v>59</v>
      </c>
      <c r="K373" s="580">
        <f>3500+427+10000</f>
        <v>13927</v>
      </c>
      <c r="L373" s="26">
        <f>M373-K373</f>
        <v>0</v>
      </c>
      <c r="M373" s="580">
        <f>3500+427+10000</f>
        <v>13927</v>
      </c>
      <c r="N373" s="205"/>
    </row>
    <row r="374" spans="1:14" s="206" customFormat="1" ht="36" x14ac:dyDescent="0.35">
      <c r="A374" s="214"/>
      <c r="B374" s="169" t="s">
        <v>381</v>
      </c>
      <c r="C374" s="215" t="s">
        <v>435</v>
      </c>
      <c r="D374" s="161" t="s">
        <v>38</v>
      </c>
      <c r="E374" s="161" t="s">
        <v>72</v>
      </c>
      <c r="F374" s="121" t="s">
        <v>227</v>
      </c>
      <c r="G374" s="122" t="s">
        <v>31</v>
      </c>
      <c r="H374" s="122" t="s">
        <v>227</v>
      </c>
      <c r="I374" s="123" t="s">
        <v>45</v>
      </c>
      <c r="J374" s="602"/>
      <c r="K374" s="580">
        <f>K375</f>
        <v>1032.9129999999998</v>
      </c>
      <c r="L374" s="26">
        <f>L375</f>
        <v>284.50000000000011</v>
      </c>
      <c r="M374" s="580">
        <f>M375</f>
        <v>1317.413</v>
      </c>
      <c r="N374" s="205"/>
    </row>
    <row r="375" spans="1:14" s="206" customFormat="1" ht="36" x14ac:dyDescent="0.35">
      <c r="A375" s="214"/>
      <c r="B375" s="213" t="s">
        <v>341</v>
      </c>
      <c r="C375" s="215" t="s">
        <v>435</v>
      </c>
      <c r="D375" s="161" t="s">
        <v>38</v>
      </c>
      <c r="E375" s="161" t="s">
        <v>72</v>
      </c>
      <c r="F375" s="121" t="s">
        <v>227</v>
      </c>
      <c r="G375" s="122" t="s">
        <v>31</v>
      </c>
      <c r="H375" s="122" t="s">
        <v>227</v>
      </c>
      <c r="I375" s="123" t="s">
        <v>340</v>
      </c>
      <c r="J375" s="602"/>
      <c r="K375" s="26">
        <f>K376+K377</f>
        <v>1032.9129999999998</v>
      </c>
      <c r="L375" s="26">
        <f>L376+L377</f>
        <v>284.50000000000011</v>
      </c>
      <c r="M375" s="26">
        <f>M376+M377</f>
        <v>1317.413</v>
      </c>
      <c r="N375" s="205"/>
    </row>
    <row r="376" spans="1:14" s="206" customFormat="1" ht="54" x14ac:dyDescent="0.35">
      <c r="A376" s="214"/>
      <c r="B376" s="128" t="s">
        <v>56</v>
      </c>
      <c r="C376" s="215" t="s">
        <v>435</v>
      </c>
      <c r="D376" s="161" t="s">
        <v>38</v>
      </c>
      <c r="E376" s="161" t="s">
        <v>72</v>
      </c>
      <c r="F376" s="121" t="s">
        <v>227</v>
      </c>
      <c r="G376" s="122" t="s">
        <v>31</v>
      </c>
      <c r="H376" s="122" t="s">
        <v>227</v>
      </c>
      <c r="I376" s="123" t="s">
        <v>340</v>
      </c>
      <c r="J376" s="602" t="s">
        <v>57</v>
      </c>
      <c r="K376" s="580">
        <f>46.9+516.8+112.3+50+275+19.8</f>
        <v>1020.7999999999998</v>
      </c>
      <c r="L376" s="26">
        <f>M376-K376</f>
        <v>281.2600000000001</v>
      </c>
      <c r="M376" s="580">
        <f>46.9+516.8+112.3+50+275+19.8+3.06-21.8+300</f>
        <v>1302.06</v>
      </c>
      <c r="N376" s="205"/>
    </row>
    <row r="377" spans="1:14" s="206" customFormat="1" ht="18" x14ac:dyDescent="0.35">
      <c r="A377" s="214"/>
      <c r="B377" s="133" t="s">
        <v>58</v>
      </c>
      <c r="C377" s="215" t="s">
        <v>435</v>
      </c>
      <c r="D377" s="161" t="s">
        <v>38</v>
      </c>
      <c r="E377" s="161" t="s">
        <v>72</v>
      </c>
      <c r="F377" s="121" t="s">
        <v>227</v>
      </c>
      <c r="G377" s="122" t="s">
        <v>31</v>
      </c>
      <c r="H377" s="122" t="s">
        <v>227</v>
      </c>
      <c r="I377" s="123" t="s">
        <v>340</v>
      </c>
      <c r="J377" s="602" t="s">
        <v>59</v>
      </c>
      <c r="K377" s="580">
        <v>12.113</v>
      </c>
      <c r="L377" s="26">
        <f>M377-K377</f>
        <v>3.24</v>
      </c>
      <c r="M377" s="580">
        <f>12.113+3.24</f>
        <v>15.353</v>
      </c>
      <c r="N377" s="205"/>
    </row>
    <row r="378" spans="1:14" s="206" customFormat="1" ht="54" x14ac:dyDescent="0.35">
      <c r="A378" s="214"/>
      <c r="B378" s="176" t="s">
        <v>231</v>
      </c>
      <c r="C378" s="174" t="s">
        <v>435</v>
      </c>
      <c r="D378" s="161" t="s">
        <v>38</v>
      </c>
      <c r="E378" s="161" t="s">
        <v>72</v>
      </c>
      <c r="F378" s="129" t="s">
        <v>80</v>
      </c>
      <c r="G378" s="130" t="s">
        <v>43</v>
      </c>
      <c r="H378" s="130" t="s">
        <v>44</v>
      </c>
      <c r="I378" s="131" t="s">
        <v>45</v>
      </c>
      <c r="J378" s="132"/>
      <c r="K378" s="580">
        <f t="shared" ref="K378:M381" si="57">K379</f>
        <v>62.4846</v>
      </c>
      <c r="L378" s="26">
        <f t="shared" si="57"/>
        <v>0</v>
      </c>
      <c r="M378" s="580">
        <f t="shared" si="57"/>
        <v>62.4846</v>
      </c>
      <c r="N378" s="205"/>
    </row>
    <row r="379" spans="1:14" s="206" customFormat="1" ht="36" x14ac:dyDescent="0.35">
      <c r="A379" s="214"/>
      <c r="B379" s="128" t="s">
        <v>343</v>
      </c>
      <c r="C379" s="174" t="s">
        <v>435</v>
      </c>
      <c r="D379" s="161" t="s">
        <v>38</v>
      </c>
      <c r="E379" s="161" t="s">
        <v>72</v>
      </c>
      <c r="F379" s="129" t="s">
        <v>80</v>
      </c>
      <c r="G379" s="130" t="s">
        <v>46</v>
      </c>
      <c r="H379" s="130" t="s">
        <v>44</v>
      </c>
      <c r="I379" s="131" t="s">
        <v>45</v>
      </c>
      <c r="J379" s="132"/>
      <c r="K379" s="580">
        <f t="shared" si="57"/>
        <v>62.4846</v>
      </c>
      <c r="L379" s="26">
        <f t="shared" si="57"/>
        <v>0</v>
      </c>
      <c r="M379" s="580">
        <f t="shared" si="57"/>
        <v>62.4846</v>
      </c>
      <c r="N379" s="205"/>
    </row>
    <row r="380" spans="1:14" s="206" customFormat="1" ht="90" x14ac:dyDescent="0.35">
      <c r="A380" s="214"/>
      <c r="B380" s="128" t="s">
        <v>302</v>
      </c>
      <c r="C380" s="174" t="s">
        <v>435</v>
      </c>
      <c r="D380" s="161" t="s">
        <v>38</v>
      </c>
      <c r="E380" s="161" t="s">
        <v>72</v>
      </c>
      <c r="F380" s="129" t="s">
        <v>80</v>
      </c>
      <c r="G380" s="130" t="s">
        <v>46</v>
      </c>
      <c r="H380" s="130" t="s">
        <v>40</v>
      </c>
      <c r="I380" s="131" t="s">
        <v>45</v>
      </c>
      <c r="J380" s="132"/>
      <c r="K380" s="580">
        <f t="shared" si="57"/>
        <v>62.4846</v>
      </c>
      <c r="L380" s="26">
        <f t="shared" si="57"/>
        <v>0</v>
      </c>
      <c r="M380" s="580">
        <f t="shared" si="57"/>
        <v>62.4846</v>
      </c>
      <c r="N380" s="205"/>
    </row>
    <row r="381" spans="1:14" s="206" customFormat="1" ht="108" x14ac:dyDescent="0.35">
      <c r="A381" s="214"/>
      <c r="B381" s="133" t="s">
        <v>437</v>
      </c>
      <c r="C381" s="160" t="s">
        <v>435</v>
      </c>
      <c r="D381" s="161" t="s">
        <v>38</v>
      </c>
      <c r="E381" s="161" t="s">
        <v>72</v>
      </c>
      <c r="F381" s="108" t="s">
        <v>80</v>
      </c>
      <c r="G381" s="109" t="s">
        <v>46</v>
      </c>
      <c r="H381" s="109" t="s">
        <v>40</v>
      </c>
      <c r="I381" s="134" t="s">
        <v>438</v>
      </c>
      <c r="J381" s="111"/>
      <c r="K381" s="580">
        <f t="shared" si="57"/>
        <v>62.4846</v>
      </c>
      <c r="L381" s="26">
        <f t="shared" si="57"/>
        <v>0</v>
      </c>
      <c r="M381" s="580">
        <f t="shared" si="57"/>
        <v>62.4846</v>
      </c>
      <c r="N381" s="205"/>
    </row>
    <row r="382" spans="1:14" s="206" customFormat="1" ht="54" x14ac:dyDescent="0.35">
      <c r="A382" s="214"/>
      <c r="B382" s="128" t="s">
        <v>56</v>
      </c>
      <c r="C382" s="160" t="s">
        <v>435</v>
      </c>
      <c r="D382" s="161" t="s">
        <v>38</v>
      </c>
      <c r="E382" s="161" t="s">
        <v>72</v>
      </c>
      <c r="F382" s="108" t="s">
        <v>80</v>
      </c>
      <c r="G382" s="109" t="s">
        <v>46</v>
      </c>
      <c r="H382" s="109" t="s">
        <v>40</v>
      </c>
      <c r="I382" s="134" t="s">
        <v>438</v>
      </c>
      <c r="J382" s="602" t="s">
        <v>57</v>
      </c>
      <c r="K382" s="580">
        <v>62.4846</v>
      </c>
      <c r="L382" s="26">
        <f>M382-K382</f>
        <v>0</v>
      </c>
      <c r="M382" s="580">
        <v>62.4846</v>
      </c>
      <c r="N382" s="205"/>
    </row>
    <row r="383" spans="1:14" s="164" customFormat="1" ht="61.5" customHeight="1" x14ac:dyDescent="0.35">
      <c r="A383" s="159"/>
      <c r="B383" s="169" t="s">
        <v>41</v>
      </c>
      <c r="C383" s="160" t="s">
        <v>435</v>
      </c>
      <c r="D383" s="161" t="s">
        <v>38</v>
      </c>
      <c r="E383" s="161" t="s">
        <v>72</v>
      </c>
      <c r="F383" s="170" t="s">
        <v>42</v>
      </c>
      <c r="G383" s="109" t="s">
        <v>43</v>
      </c>
      <c r="H383" s="109" t="s">
        <v>44</v>
      </c>
      <c r="I383" s="110" t="s">
        <v>45</v>
      </c>
      <c r="J383" s="111"/>
      <c r="K383" s="329">
        <f t="shared" ref="K383:M385" si="58">K384</f>
        <v>4965.0000000000009</v>
      </c>
      <c r="L383" s="329">
        <f t="shared" si="58"/>
        <v>1007.8000000000002</v>
      </c>
      <c r="M383" s="329">
        <f t="shared" si="58"/>
        <v>5972.8000000000011</v>
      </c>
      <c r="N383" s="198"/>
    </row>
    <row r="384" spans="1:14" s="164" customFormat="1" ht="37.5" customHeight="1" x14ac:dyDescent="0.35">
      <c r="A384" s="159"/>
      <c r="B384" s="128" t="s">
        <v>343</v>
      </c>
      <c r="C384" s="160" t="s">
        <v>435</v>
      </c>
      <c r="D384" s="161" t="s">
        <v>38</v>
      </c>
      <c r="E384" s="161" t="s">
        <v>72</v>
      </c>
      <c r="F384" s="121" t="s">
        <v>42</v>
      </c>
      <c r="G384" s="109" t="s">
        <v>46</v>
      </c>
      <c r="H384" s="109" t="s">
        <v>44</v>
      </c>
      <c r="I384" s="110" t="s">
        <v>45</v>
      </c>
      <c r="J384" s="111"/>
      <c r="K384" s="163">
        <f t="shared" si="58"/>
        <v>4965.0000000000009</v>
      </c>
      <c r="L384" s="163">
        <f t="shared" si="58"/>
        <v>1007.8000000000002</v>
      </c>
      <c r="M384" s="163">
        <f t="shared" si="58"/>
        <v>5972.8000000000011</v>
      </c>
      <c r="N384" s="198"/>
    </row>
    <row r="385" spans="1:14" s="164" customFormat="1" ht="75" customHeight="1" x14ac:dyDescent="0.35">
      <c r="A385" s="159"/>
      <c r="B385" s="133" t="s">
        <v>301</v>
      </c>
      <c r="C385" s="160" t="s">
        <v>435</v>
      </c>
      <c r="D385" s="161" t="s">
        <v>38</v>
      </c>
      <c r="E385" s="161" t="s">
        <v>72</v>
      </c>
      <c r="F385" s="121" t="s">
        <v>42</v>
      </c>
      <c r="G385" s="109" t="s">
        <v>46</v>
      </c>
      <c r="H385" s="109" t="s">
        <v>82</v>
      </c>
      <c r="I385" s="110" t="s">
        <v>45</v>
      </c>
      <c r="J385" s="111"/>
      <c r="K385" s="163">
        <f t="shared" si="58"/>
        <v>4965.0000000000009</v>
      </c>
      <c r="L385" s="163">
        <f t="shared" si="58"/>
        <v>1007.8000000000002</v>
      </c>
      <c r="M385" s="163">
        <f t="shared" si="58"/>
        <v>5972.8000000000011</v>
      </c>
      <c r="N385" s="198"/>
    </row>
    <row r="386" spans="1:14" s="164" customFormat="1" ht="37.5" customHeight="1" x14ac:dyDescent="0.35">
      <c r="A386" s="159"/>
      <c r="B386" s="27" t="s">
        <v>490</v>
      </c>
      <c r="C386" s="160" t="s">
        <v>435</v>
      </c>
      <c r="D386" s="161" t="s">
        <v>38</v>
      </c>
      <c r="E386" s="161" t="s">
        <v>72</v>
      </c>
      <c r="F386" s="121" t="s">
        <v>42</v>
      </c>
      <c r="G386" s="109" t="s">
        <v>46</v>
      </c>
      <c r="H386" s="109" t="s">
        <v>82</v>
      </c>
      <c r="I386" s="110" t="s">
        <v>92</v>
      </c>
      <c r="J386" s="111"/>
      <c r="K386" s="352">
        <f>K387+K388</f>
        <v>4965.0000000000009</v>
      </c>
      <c r="L386" s="352">
        <f>L387+L388</f>
        <v>1007.8000000000002</v>
      </c>
      <c r="M386" s="352">
        <f>M387+M388</f>
        <v>5972.8000000000011</v>
      </c>
      <c r="N386" s="198"/>
    </row>
    <row r="387" spans="1:14" s="164" customFormat="1" ht="112.5" customHeight="1" x14ac:dyDescent="0.35">
      <c r="A387" s="159"/>
      <c r="B387" s="133" t="s">
        <v>50</v>
      </c>
      <c r="C387" s="160" t="s">
        <v>435</v>
      </c>
      <c r="D387" s="161" t="s">
        <v>38</v>
      </c>
      <c r="E387" s="161" t="s">
        <v>72</v>
      </c>
      <c r="F387" s="121" t="s">
        <v>42</v>
      </c>
      <c r="G387" s="109" t="s">
        <v>46</v>
      </c>
      <c r="H387" s="109" t="s">
        <v>82</v>
      </c>
      <c r="I387" s="110" t="s">
        <v>92</v>
      </c>
      <c r="J387" s="111" t="s">
        <v>51</v>
      </c>
      <c r="K387" s="323">
        <f>4593.1+184+717.3-1000</f>
        <v>4494.4000000000005</v>
      </c>
      <c r="L387" s="26">
        <f>M387-K387</f>
        <v>1007.8000000000002</v>
      </c>
      <c r="M387" s="323">
        <f>4593.1+184+717.3-1000+7.8+1000</f>
        <v>5502.2000000000007</v>
      </c>
      <c r="N387" s="198"/>
    </row>
    <row r="388" spans="1:14" s="164" customFormat="1" ht="56.25" customHeight="1" x14ac:dyDescent="0.35">
      <c r="A388" s="159"/>
      <c r="B388" s="128" t="s">
        <v>56</v>
      </c>
      <c r="C388" s="160" t="s">
        <v>435</v>
      </c>
      <c r="D388" s="161" t="s">
        <v>38</v>
      </c>
      <c r="E388" s="161" t="s">
        <v>72</v>
      </c>
      <c r="F388" s="121" t="s">
        <v>42</v>
      </c>
      <c r="G388" s="109" t="s">
        <v>46</v>
      </c>
      <c r="H388" s="109" t="s">
        <v>82</v>
      </c>
      <c r="I388" s="110" t="s">
        <v>92</v>
      </c>
      <c r="J388" s="111" t="s">
        <v>57</v>
      </c>
      <c r="K388" s="323">
        <v>470.6</v>
      </c>
      <c r="L388" s="26">
        <f>M388-K388</f>
        <v>0</v>
      </c>
      <c r="M388" s="323">
        <v>470.6</v>
      </c>
      <c r="N388" s="198"/>
    </row>
    <row r="389" spans="1:14" s="164" customFormat="1" ht="18.75" customHeight="1" x14ac:dyDescent="0.35">
      <c r="A389" s="159"/>
      <c r="B389" s="128" t="s">
        <v>93</v>
      </c>
      <c r="C389" s="160" t="s">
        <v>435</v>
      </c>
      <c r="D389" s="161" t="s">
        <v>53</v>
      </c>
      <c r="E389" s="161"/>
      <c r="F389" s="121"/>
      <c r="G389" s="109"/>
      <c r="H389" s="109"/>
      <c r="I389" s="110"/>
      <c r="J389" s="111"/>
      <c r="K389" s="329">
        <f t="shared" ref="K389:M394" si="59">K390</f>
        <v>2356.2479999999996</v>
      </c>
      <c r="L389" s="329">
        <f t="shared" si="59"/>
        <v>0</v>
      </c>
      <c r="M389" s="329">
        <f t="shared" si="59"/>
        <v>2356.2479999999996</v>
      </c>
      <c r="N389" s="198"/>
    </row>
    <row r="390" spans="1:14" s="164" customFormat="1" ht="37.5" customHeight="1" x14ac:dyDescent="0.35">
      <c r="A390" s="159"/>
      <c r="B390" s="216" t="s">
        <v>107</v>
      </c>
      <c r="C390" s="160" t="s">
        <v>435</v>
      </c>
      <c r="D390" s="161" t="s">
        <v>53</v>
      </c>
      <c r="E390" s="161" t="s">
        <v>101</v>
      </c>
      <c r="F390" s="121"/>
      <c r="G390" s="109"/>
      <c r="H390" s="109"/>
      <c r="I390" s="110"/>
      <c r="J390" s="111"/>
      <c r="K390" s="163">
        <f t="shared" si="59"/>
        <v>2356.2479999999996</v>
      </c>
      <c r="L390" s="163">
        <f t="shared" si="59"/>
        <v>0</v>
      </c>
      <c r="M390" s="163">
        <f t="shared" si="59"/>
        <v>2356.2479999999996</v>
      </c>
      <c r="N390" s="198"/>
    </row>
    <row r="391" spans="1:14" s="164" customFormat="1" ht="56.25" customHeight="1" x14ac:dyDescent="0.35">
      <c r="A391" s="159"/>
      <c r="B391" s="133" t="s">
        <v>226</v>
      </c>
      <c r="C391" s="160" t="s">
        <v>435</v>
      </c>
      <c r="D391" s="161" t="s">
        <v>53</v>
      </c>
      <c r="E391" s="161" t="s">
        <v>101</v>
      </c>
      <c r="F391" s="121" t="s">
        <v>227</v>
      </c>
      <c r="G391" s="109" t="s">
        <v>43</v>
      </c>
      <c r="H391" s="109" t="s">
        <v>44</v>
      </c>
      <c r="I391" s="110" t="s">
        <v>45</v>
      </c>
      <c r="J391" s="111"/>
      <c r="K391" s="163">
        <f t="shared" si="59"/>
        <v>2356.2479999999996</v>
      </c>
      <c r="L391" s="163">
        <f t="shared" si="59"/>
        <v>0</v>
      </c>
      <c r="M391" s="163">
        <f t="shared" si="59"/>
        <v>2356.2479999999996</v>
      </c>
      <c r="N391" s="198"/>
    </row>
    <row r="392" spans="1:14" s="164" customFormat="1" ht="41.25" customHeight="1" x14ac:dyDescent="0.35">
      <c r="A392" s="159"/>
      <c r="B392" s="133" t="s">
        <v>228</v>
      </c>
      <c r="C392" s="160" t="s">
        <v>435</v>
      </c>
      <c r="D392" s="161" t="s">
        <v>53</v>
      </c>
      <c r="E392" s="161" t="s">
        <v>101</v>
      </c>
      <c r="F392" s="121" t="s">
        <v>227</v>
      </c>
      <c r="G392" s="109" t="s">
        <v>46</v>
      </c>
      <c r="H392" s="109" t="s">
        <v>44</v>
      </c>
      <c r="I392" s="110" t="s">
        <v>45</v>
      </c>
      <c r="J392" s="111"/>
      <c r="K392" s="163">
        <f t="shared" si="59"/>
        <v>2356.2479999999996</v>
      </c>
      <c r="L392" s="163">
        <f t="shared" si="59"/>
        <v>0</v>
      </c>
      <c r="M392" s="163">
        <f t="shared" si="59"/>
        <v>2356.2479999999996</v>
      </c>
      <c r="N392" s="198"/>
    </row>
    <row r="393" spans="1:14" s="164" customFormat="1" ht="96.75" customHeight="1" x14ac:dyDescent="0.35">
      <c r="A393" s="159"/>
      <c r="B393" s="133" t="s">
        <v>299</v>
      </c>
      <c r="C393" s="160" t="s">
        <v>435</v>
      </c>
      <c r="D393" s="161" t="s">
        <v>53</v>
      </c>
      <c r="E393" s="161" t="s">
        <v>101</v>
      </c>
      <c r="F393" s="121" t="s">
        <v>227</v>
      </c>
      <c r="G393" s="109" t="s">
        <v>46</v>
      </c>
      <c r="H393" s="109" t="s">
        <v>38</v>
      </c>
      <c r="I393" s="110" t="s">
        <v>45</v>
      </c>
      <c r="J393" s="111"/>
      <c r="K393" s="163">
        <f t="shared" si="59"/>
        <v>2356.2479999999996</v>
      </c>
      <c r="L393" s="163">
        <f t="shared" si="59"/>
        <v>0</v>
      </c>
      <c r="M393" s="163">
        <f t="shared" si="59"/>
        <v>2356.2479999999996</v>
      </c>
      <c r="N393" s="198"/>
    </row>
    <row r="394" spans="1:14" s="164" customFormat="1" ht="37.5" customHeight="1" x14ac:dyDescent="0.35">
      <c r="A394" s="159"/>
      <c r="B394" s="133" t="s">
        <v>379</v>
      </c>
      <c r="C394" s="160" t="s">
        <v>435</v>
      </c>
      <c r="D394" s="161" t="s">
        <v>53</v>
      </c>
      <c r="E394" s="161" t="s">
        <v>101</v>
      </c>
      <c r="F394" s="121" t="s">
        <v>227</v>
      </c>
      <c r="G394" s="109" t="s">
        <v>46</v>
      </c>
      <c r="H394" s="109" t="s">
        <v>38</v>
      </c>
      <c r="I394" s="110" t="s">
        <v>378</v>
      </c>
      <c r="J394" s="111"/>
      <c r="K394" s="163">
        <f t="shared" si="59"/>
        <v>2356.2479999999996</v>
      </c>
      <c r="L394" s="163">
        <f t="shared" si="59"/>
        <v>0</v>
      </c>
      <c r="M394" s="163">
        <f t="shared" si="59"/>
        <v>2356.2479999999996</v>
      </c>
      <c r="N394" s="198"/>
    </row>
    <row r="395" spans="1:14" s="164" customFormat="1" ht="56.25" customHeight="1" x14ac:dyDescent="0.35">
      <c r="A395" s="159"/>
      <c r="B395" s="128" t="s">
        <v>56</v>
      </c>
      <c r="C395" s="160" t="s">
        <v>435</v>
      </c>
      <c r="D395" s="161" t="s">
        <v>53</v>
      </c>
      <c r="E395" s="161" t="s">
        <v>101</v>
      </c>
      <c r="F395" s="121" t="s">
        <v>227</v>
      </c>
      <c r="G395" s="109" t="s">
        <v>46</v>
      </c>
      <c r="H395" s="109" t="s">
        <v>38</v>
      </c>
      <c r="I395" s="110" t="s">
        <v>378</v>
      </c>
      <c r="J395" s="111" t="s">
        <v>57</v>
      </c>
      <c r="K395" s="163">
        <f>2118.7+148.548+89-80+80</f>
        <v>2356.2479999999996</v>
      </c>
      <c r="L395" s="26">
        <f>M395-K395</f>
        <v>0</v>
      </c>
      <c r="M395" s="163">
        <f>2118.7+148.548+89-80+80</f>
        <v>2356.2479999999996</v>
      </c>
      <c r="N395" s="198"/>
    </row>
    <row r="396" spans="1:14" s="164" customFormat="1" ht="18.75" customHeight="1" x14ac:dyDescent="0.35">
      <c r="A396" s="159"/>
      <c r="B396" s="133" t="s">
        <v>178</v>
      </c>
      <c r="C396" s="160" t="s">
        <v>435</v>
      </c>
      <c r="D396" s="161" t="s">
        <v>66</v>
      </c>
      <c r="E396" s="161"/>
      <c r="F396" s="108"/>
      <c r="G396" s="109"/>
      <c r="H396" s="109"/>
      <c r="I396" s="134"/>
      <c r="J396" s="111"/>
      <c r="K396" s="163">
        <f t="shared" ref="K396:M399" si="60">K397</f>
        <v>43223.3</v>
      </c>
      <c r="L396" s="163">
        <f t="shared" si="60"/>
        <v>0</v>
      </c>
      <c r="M396" s="163">
        <f t="shared" si="60"/>
        <v>43223.3</v>
      </c>
      <c r="N396" s="198"/>
    </row>
    <row r="397" spans="1:14" s="164" customFormat="1" ht="18.75" customHeight="1" x14ac:dyDescent="0.35">
      <c r="A397" s="159"/>
      <c r="B397" s="133" t="s">
        <v>337</v>
      </c>
      <c r="C397" s="160" t="s">
        <v>435</v>
      </c>
      <c r="D397" s="161" t="s">
        <v>66</v>
      </c>
      <c r="E397" s="161" t="s">
        <v>40</v>
      </c>
      <c r="F397" s="108"/>
      <c r="G397" s="109"/>
      <c r="H397" s="109"/>
      <c r="I397" s="134"/>
      <c r="J397" s="111"/>
      <c r="K397" s="163">
        <f t="shared" ref="K397:M398" si="61">K398</f>
        <v>43223.3</v>
      </c>
      <c r="L397" s="163">
        <f t="shared" si="61"/>
        <v>0</v>
      </c>
      <c r="M397" s="163">
        <f t="shared" si="61"/>
        <v>43223.3</v>
      </c>
      <c r="N397" s="198"/>
    </row>
    <row r="398" spans="1:14" s="164" customFormat="1" ht="78.75" customHeight="1" x14ac:dyDescent="0.35">
      <c r="A398" s="159"/>
      <c r="B398" s="171" t="s">
        <v>336</v>
      </c>
      <c r="C398" s="160" t="s">
        <v>435</v>
      </c>
      <c r="D398" s="161" t="s">
        <v>66</v>
      </c>
      <c r="E398" s="161" t="s">
        <v>40</v>
      </c>
      <c r="F398" s="108" t="s">
        <v>105</v>
      </c>
      <c r="G398" s="109" t="s">
        <v>43</v>
      </c>
      <c r="H398" s="109" t="s">
        <v>44</v>
      </c>
      <c r="I398" s="134" t="s">
        <v>45</v>
      </c>
      <c r="J398" s="111"/>
      <c r="K398" s="163">
        <f t="shared" si="61"/>
        <v>43223.3</v>
      </c>
      <c r="L398" s="163">
        <f t="shared" si="61"/>
        <v>0</v>
      </c>
      <c r="M398" s="163">
        <f t="shared" si="61"/>
        <v>43223.3</v>
      </c>
      <c r="N398" s="198"/>
    </row>
    <row r="399" spans="1:14" s="164" customFormat="1" ht="56.25" customHeight="1" x14ac:dyDescent="0.35">
      <c r="A399" s="159"/>
      <c r="B399" s="128" t="s">
        <v>338</v>
      </c>
      <c r="C399" s="160" t="s">
        <v>435</v>
      </c>
      <c r="D399" s="161" t="s">
        <v>66</v>
      </c>
      <c r="E399" s="161" t="s">
        <v>40</v>
      </c>
      <c r="F399" s="108" t="s">
        <v>105</v>
      </c>
      <c r="G399" s="109" t="s">
        <v>46</v>
      </c>
      <c r="H399" s="109" t="s">
        <v>44</v>
      </c>
      <c r="I399" s="134" t="s">
        <v>45</v>
      </c>
      <c r="J399" s="111"/>
      <c r="K399" s="163">
        <f t="shared" si="60"/>
        <v>43223.3</v>
      </c>
      <c r="L399" s="163">
        <f t="shared" si="60"/>
        <v>0</v>
      </c>
      <c r="M399" s="163">
        <f t="shared" si="60"/>
        <v>43223.3</v>
      </c>
      <c r="N399" s="198"/>
    </row>
    <row r="400" spans="1:14" s="164" customFormat="1" ht="56.25" customHeight="1" x14ac:dyDescent="0.35">
      <c r="A400" s="159"/>
      <c r="B400" s="128" t="s">
        <v>380</v>
      </c>
      <c r="C400" s="160" t="s">
        <v>435</v>
      </c>
      <c r="D400" s="161" t="s">
        <v>66</v>
      </c>
      <c r="E400" s="161" t="s">
        <v>40</v>
      </c>
      <c r="F400" s="108" t="s">
        <v>105</v>
      </c>
      <c r="G400" s="109" t="s">
        <v>46</v>
      </c>
      <c r="H400" s="109" t="s">
        <v>38</v>
      </c>
      <c r="I400" s="134" t="s">
        <v>45</v>
      </c>
      <c r="J400" s="111"/>
      <c r="K400" s="163">
        <f t="shared" ref="K400:M401" si="62">K401</f>
        <v>43223.3</v>
      </c>
      <c r="L400" s="163">
        <f t="shared" si="62"/>
        <v>0</v>
      </c>
      <c r="M400" s="163">
        <f t="shared" si="62"/>
        <v>43223.3</v>
      </c>
      <c r="N400" s="198"/>
    </row>
    <row r="401" spans="1:14" s="164" customFormat="1" ht="75" customHeight="1" x14ac:dyDescent="0.35">
      <c r="A401" s="159"/>
      <c r="B401" s="128" t="s">
        <v>546</v>
      </c>
      <c r="C401" s="160" t="s">
        <v>435</v>
      </c>
      <c r="D401" s="161" t="s">
        <v>66</v>
      </c>
      <c r="E401" s="161" t="s">
        <v>40</v>
      </c>
      <c r="F401" s="108" t="s">
        <v>105</v>
      </c>
      <c r="G401" s="109" t="s">
        <v>46</v>
      </c>
      <c r="H401" s="109" t="s">
        <v>38</v>
      </c>
      <c r="I401" s="134" t="s">
        <v>436</v>
      </c>
      <c r="J401" s="111"/>
      <c r="K401" s="163">
        <f t="shared" si="62"/>
        <v>43223.3</v>
      </c>
      <c r="L401" s="163">
        <f t="shared" si="62"/>
        <v>0</v>
      </c>
      <c r="M401" s="163">
        <f t="shared" si="62"/>
        <v>43223.3</v>
      </c>
      <c r="N401" s="198"/>
    </row>
    <row r="402" spans="1:14" s="164" customFormat="1" ht="56.25" customHeight="1" x14ac:dyDescent="0.35">
      <c r="A402" s="159"/>
      <c r="B402" s="128" t="s">
        <v>204</v>
      </c>
      <c r="C402" s="160" t="s">
        <v>435</v>
      </c>
      <c r="D402" s="161" t="s">
        <v>66</v>
      </c>
      <c r="E402" s="161" t="s">
        <v>40</v>
      </c>
      <c r="F402" s="108" t="s">
        <v>105</v>
      </c>
      <c r="G402" s="109" t="s">
        <v>46</v>
      </c>
      <c r="H402" s="109" t="s">
        <v>38</v>
      </c>
      <c r="I402" s="134" t="s">
        <v>436</v>
      </c>
      <c r="J402" s="111" t="s">
        <v>205</v>
      </c>
      <c r="K402" s="163">
        <f>12354.9+1028.6+19543.3+9266.8+1029.7</f>
        <v>43223.3</v>
      </c>
      <c r="L402" s="26">
        <f>M402-K402</f>
        <v>0</v>
      </c>
      <c r="M402" s="163">
        <f>12354.9+1028.6+19543.3+9266.8+1029.7</f>
        <v>43223.3</v>
      </c>
      <c r="N402" s="198"/>
    </row>
    <row r="403" spans="1:14" s="164" customFormat="1" ht="18.75" customHeight="1" x14ac:dyDescent="0.35">
      <c r="A403" s="159"/>
      <c r="B403" s="107" t="s">
        <v>180</v>
      </c>
      <c r="C403" s="160" t="s">
        <v>435</v>
      </c>
      <c r="D403" s="161" t="s">
        <v>225</v>
      </c>
      <c r="E403" s="161"/>
      <c r="F403" s="108"/>
      <c r="G403" s="109"/>
      <c r="H403" s="109"/>
      <c r="I403" s="134"/>
      <c r="J403" s="111"/>
      <c r="K403" s="163">
        <f>K412+K404+K418</f>
        <v>76648</v>
      </c>
      <c r="L403" s="163">
        <f>L412+L404+L418</f>
        <v>-1709.8999999999996</v>
      </c>
      <c r="M403" s="163">
        <f>M412+M404+M418</f>
        <v>74938.099999999991</v>
      </c>
      <c r="N403" s="198"/>
    </row>
    <row r="404" spans="1:14" s="164" customFormat="1" ht="18.75" customHeight="1" x14ac:dyDescent="0.35">
      <c r="A404" s="159"/>
      <c r="B404" s="107" t="s">
        <v>182</v>
      </c>
      <c r="C404" s="160" t="s">
        <v>435</v>
      </c>
      <c r="D404" s="161" t="s">
        <v>225</v>
      </c>
      <c r="E404" s="161" t="s">
        <v>38</v>
      </c>
      <c r="F404" s="108"/>
      <c r="G404" s="109"/>
      <c r="H404" s="109"/>
      <c r="I404" s="110"/>
      <c r="J404" s="111"/>
      <c r="K404" s="163">
        <f t="shared" ref="K404:M408" si="63">K405</f>
        <v>67378.599999999991</v>
      </c>
      <c r="L404" s="163">
        <f t="shared" si="63"/>
        <v>0</v>
      </c>
      <c r="M404" s="163">
        <f t="shared" si="63"/>
        <v>67378.599999999991</v>
      </c>
      <c r="N404" s="198"/>
    </row>
    <row r="405" spans="1:14" s="164" customFormat="1" ht="56.25" customHeight="1" x14ac:dyDescent="0.35">
      <c r="A405" s="159"/>
      <c r="B405" s="107" t="s">
        <v>461</v>
      </c>
      <c r="C405" s="160" t="s">
        <v>435</v>
      </c>
      <c r="D405" s="161" t="s">
        <v>225</v>
      </c>
      <c r="E405" s="161" t="s">
        <v>38</v>
      </c>
      <c r="F405" s="108" t="s">
        <v>40</v>
      </c>
      <c r="G405" s="109" t="s">
        <v>43</v>
      </c>
      <c r="H405" s="109" t="s">
        <v>44</v>
      </c>
      <c r="I405" s="110" t="s">
        <v>45</v>
      </c>
      <c r="J405" s="111"/>
      <c r="K405" s="163">
        <f t="shared" si="63"/>
        <v>67378.599999999991</v>
      </c>
      <c r="L405" s="163">
        <f t="shared" si="63"/>
        <v>0</v>
      </c>
      <c r="M405" s="163">
        <f t="shared" si="63"/>
        <v>67378.599999999991</v>
      </c>
      <c r="N405" s="198"/>
    </row>
    <row r="406" spans="1:14" s="164" customFormat="1" ht="36.6" customHeight="1" x14ac:dyDescent="0.35">
      <c r="A406" s="159"/>
      <c r="B406" s="107" t="s">
        <v>207</v>
      </c>
      <c r="C406" s="160" t="s">
        <v>435</v>
      </c>
      <c r="D406" s="161" t="s">
        <v>225</v>
      </c>
      <c r="E406" s="161" t="s">
        <v>38</v>
      </c>
      <c r="F406" s="108" t="s">
        <v>40</v>
      </c>
      <c r="G406" s="109" t="s">
        <v>46</v>
      </c>
      <c r="H406" s="109" t="s">
        <v>44</v>
      </c>
      <c r="I406" s="110" t="s">
        <v>45</v>
      </c>
      <c r="J406" s="111"/>
      <c r="K406" s="163">
        <f t="shared" si="63"/>
        <v>67378.599999999991</v>
      </c>
      <c r="L406" s="163">
        <f t="shared" si="63"/>
        <v>0</v>
      </c>
      <c r="M406" s="163">
        <f t="shared" si="63"/>
        <v>67378.599999999991</v>
      </c>
      <c r="N406" s="198"/>
    </row>
    <row r="407" spans="1:14" s="164" customFormat="1" ht="37.5" customHeight="1" x14ac:dyDescent="0.35">
      <c r="A407" s="159"/>
      <c r="B407" s="107" t="s">
        <v>268</v>
      </c>
      <c r="C407" s="160" t="s">
        <v>435</v>
      </c>
      <c r="D407" s="161" t="s">
        <v>225</v>
      </c>
      <c r="E407" s="161" t="s">
        <v>38</v>
      </c>
      <c r="F407" s="108" t="s">
        <v>40</v>
      </c>
      <c r="G407" s="109" t="s">
        <v>46</v>
      </c>
      <c r="H407" s="109" t="s">
        <v>38</v>
      </c>
      <c r="I407" s="134" t="s">
        <v>45</v>
      </c>
      <c r="J407" s="111"/>
      <c r="K407" s="163">
        <f>K408+K410</f>
        <v>67378.599999999991</v>
      </c>
      <c r="L407" s="163">
        <f>L408+L410</f>
        <v>0</v>
      </c>
      <c r="M407" s="163">
        <f>M408+M410</f>
        <v>67378.599999999991</v>
      </c>
      <c r="N407" s="198"/>
    </row>
    <row r="408" spans="1:14" s="164" customFormat="1" ht="37.5" customHeight="1" x14ac:dyDescent="0.35">
      <c r="A408" s="159"/>
      <c r="B408" s="24" t="s">
        <v>209</v>
      </c>
      <c r="C408" s="160" t="s">
        <v>435</v>
      </c>
      <c r="D408" s="161" t="s">
        <v>225</v>
      </c>
      <c r="E408" s="161" t="s">
        <v>38</v>
      </c>
      <c r="F408" s="108" t="s">
        <v>40</v>
      </c>
      <c r="G408" s="109" t="s">
        <v>46</v>
      </c>
      <c r="H408" s="109" t="s">
        <v>38</v>
      </c>
      <c r="I408" s="134" t="s">
        <v>275</v>
      </c>
      <c r="J408" s="111"/>
      <c r="K408" s="163">
        <f t="shared" si="63"/>
        <v>2663.6</v>
      </c>
      <c r="L408" s="163">
        <f t="shared" si="63"/>
        <v>0</v>
      </c>
      <c r="M408" s="163">
        <f t="shared" si="63"/>
        <v>2663.6</v>
      </c>
      <c r="N408" s="198"/>
    </row>
    <row r="409" spans="1:14" s="164" customFormat="1" ht="56.25" customHeight="1" x14ac:dyDescent="0.35">
      <c r="A409" s="159"/>
      <c r="B409" s="107" t="s">
        <v>204</v>
      </c>
      <c r="C409" s="160" t="s">
        <v>435</v>
      </c>
      <c r="D409" s="161" t="s">
        <v>225</v>
      </c>
      <c r="E409" s="161" t="s">
        <v>38</v>
      </c>
      <c r="F409" s="108" t="s">
        <v>40</v>
      </c>
      <c r="G409" s="109" t="s">
        <v>46</v>
      </c>
      <c r="H409" s="109" t="s">
        <v>38</v>
      </c>
      <c r="I409" s="134" t="s">
        <v>275</v>
      </c>
      <c r="J409" s="111" t="s">
        <v>205</v>
      </c>
      <c r="K409" s="163">
        <f>2543.4+129.4+178.4-129.4-178.4+611.6+737.6-2086+857</f>
        <v>2663.6</v>
      </c>
      <c r="L409" s="26">
        <f>M409-K409</f>
        <v>0</v>
      </c>
      <c r="M409" s="163">
        <f>2543.4+129.4+178.4-129.4-178.4+611.6+737.6-2086+857</f>
        <v>2663.6</v>
      </c>
      <c r="N409" s="198"/>
    </row>
    <row r="410" spans="1:14" s="164" customFormat="1" ht="108" x14ac:dyDescent="0.35">
      <c r="A410" s="159"/>
      <c r="B410" s="107" t="s">
        <v>550</v>
      </c>
      <c r="C410" s="160" t="s">
        <v>435</v>
      </c>
      <c r="D410" s="161" t="s">
        <v>225</v>
      </c>
      <c r="E410" s="161" t="s">
        <v>38</v>
      </c>
      <c r="F410" s="108" t="s">
        <v>40</v>
      </c>
      <c r="G410" s="109" t="s">
        <v>46</v>
      </c>
      <c r="H410" s="109" t="s">
        <v>38</v>
      </c>
      <c r="I410" s="134" t="s">
        <v>549</v>
      </c>
      <c r="J410" s="111"/>
      <c r="K410" s="340">
        <f>K411</f>
        <v>64714.999999999993</v>
      </c>
      <c r="L410" s="340">
        <f>L411</f>
        <v>0</v>
      </c>
      <c r="M410" s="340">
        <f>M411</f>
        <v>64714.999999999993</v>
      </c>
      <c r="N410" s="198"/>
    </row>
    <row r="411" spans="1:14" s="164" customFormat="1" ht="54" x14ac:dyDescent="0.35">
      <c r="A411" s="159"/>
      <c r="B411" s="107" t="s">
        <v>204</v>
      </c>
      <c r="C411" s="160" t="s">
        <v>435</v>
      </c>
      <c r="D411" s="161" t="s">
        <v>225</v>
      </c>
      <c r="E411" s="161" t="s">
        <v>38</v>
      </c>
      <c r="F411" s="108" t="s">
        <v>40</v>
      </c>
      <c r="G411" s="109" t="s">
        <v>46</v>
      </c>
      <c r="H411" s="109" t="s">
        <v>38</v>
      </c>
      <c r="I411" s="134" t="s">
        <v>549</v>
      </c>
      <c r="J411" s="111" t="s">
        <v>205</v>
      </c>
      <c r="K411" s="340">
        <f>98157.2+28442+880-60780.7-1028.6-954.9</f>
        <v>64714.999999999993</v>
      </c>
      <c r="L411" s="26">
        <f>M411-K411</f>
        <v>0</v>
      </c>
      <c r="M411" s="340">
        <f>98157.2+28442+880-60780.7-1028.6-954.9</f>
        <v>64714.999999999993</v>
      </c>
      <c r="N411" s="198"/>
    </row>
    <row r="412" spans="1:14" s="164" customFormat="1" ht="18.75" customHeight="1" x14ac:dyDescent="0.35">
      <c r="A412" s="159"/>
      <c r="B412" s="107" t="s">
        <v>184</v>
      </c>
      <c r="C412" s="160" t="s">
        <v>435</v>
      </c>
      <c r="D412" s="161" t="s">
        <v>225</v>
      </c>
      <c r="E412" s="161" t="s">
        <v>40</v>
      </c>
      <c r="F412" s="108"/>
      <c r="G412" s="109"/>
      <c r="H412" s="109"/>
      <c r="I412" s="134"/>
      <c r="J412" s="111"/>
      <c r="K412" s="163">
        <f t="shared" ref="K412:M416" si="64">K413</f>
        <v>9259.4000000000015</v>
      </c>
      <c r="L412" s="163">
        <f t="shared" si="64"/>
        <v>-1709.8999999999996</v>
      </c>
      <c r="M412" s="163">
        <f t="shared" si="64"/>
        <v>7549.5000000000018</v>
      </c>
      <c r="N412" s="198"/>
    </row>
    <row r="413" spans="1:14" s="164" customFormat="1" ht="56.25" customHeight="1" x14ac:dyDescent="0.35">
      <c r="A413" s="159"/>
      <c r="B413" s="107" t="s">
        <v>206</v>
      </c>
      <c r="C413" s="160" t="s">
        <v>435</v>
      </c>
      <c r="D413" s="161" t="s">
        <v>225</v>
      </c>
      <c r="E413" s="161" t="s">
        <v>40</v>
      </c>
      <c r="F413" s="108" t="s">
        <v>40</v>
      </c>
      <c r="G413" s="109" t="s">
        <v>43</v>
      </c>
      <c r="H413" s="109" t="s">
        <v>44</v>
      </c>
      <c r="I413" s="110" t="s">
        <v>45</v>
      </c>
      <c r="J413" s="111"/>
      <c r="K413" s="163">
        <f t="shared" si="64"/>
        <v>9259.4000000000015</v>
      </c>
      <c r="L413" s="163">
        <f t="shared" si="64"/>
        <v>-1709.8999999999996</v>
      </c>
      <c r="M413" s="163">
        <f t="shared" si="64"/>
        <v>7549.5000000000018</v>
      </c>
      <c r="N413" s="198"/>
    </row>
    <row r="414" spans="1:14" s="164" customFormat="1" ht="37.5" customHeight="1" x14ac:dyDescent="0.35">
      <c r="A414" s="159"/>
      <c r="B414" s="107" t="s">
        <v>207</v>
      </c>
      <c r="C414" s="160" t="s">
        <v>435</v>
      </c>
      <c r="D414" s="161" t="s">
        <v>225</v>
      </c>
      <c r="E414" s="161" t="s">
        <v>40</v>
      </c>
      <c r="F414" s="108" t="s">
        <v>40</v>
      </c>
      <c r="G414" s="109" t="s">
        <v>46</v>
      </c>
      <c r="H414" s="109" t="s">
        <v>44</v>
      </c>
      <c r="I414" s="110" t="s">
        <v>45</v>
      </c>
      <c r="J414" s="111"/>
      <c r="K414" s="163">
        <f t="shared" si="64"/>
        <v>9259.4000000000015</v>
      </c>
      <c r="L414" s="163">
        <f t="shared" si="64"/>
        <v>-1709.8999999999996</v>
      </c>
      <c r="M414" s="163">
        <f t="shared" si="64"/>
        <v>7549.5000000000018</v>
      </c>
      <c r="N414" s="198"/>
    </row>
    <row r="415" spans="1:14" s="164" customFormat="1" ht="18.75" customHeight="1" x14ac:dyDescent="0.35">
      <c r="A415" s="159"/>
      <c r="B415" s="107" t="s">
        <v>273</v>
      </c>
      <c r="C415" s="160" t="s">
        <v>435</v>
      </c>
      <c r="D415" s="161" t="s">
        <v>225</v>
      </c>
      <c r="E415" s="161" t="s">
        <v>40</v>
      </c>
      <c r="F415" s="108" t="s">
        <v>40</v>
      </c>
      <c r="G415" s="109" t="s">
        <v>46</v>
      </c>
      <c r="H415" s="109" t="s">
        <v>40</v>
      </c>
      <c r="I415" s="110" t="s">
        <v>45</v>
      </c>
      <c r="J415" s="111"/>
      <c r="K415" s="163">
        <f t="shared" si="64"/>
        <v>9259.4000000000015</v>
      </c>
      <c r="L415" s="163">
        <f t="shared" si="64"/>
        <v>-1709.8999999999996</v>
      </c>
      <c r="M415" s="163">
        <f t="shared" si="64"/>
        <v>7549.5000000000018</v>
      </c>
      <c r="N415" s="198"/>
    </row>
    <row r="416" spans="1:14" s="164" customFormat="1" ht="37.5" customHeight="1" x14ac:dyDescent="0.35">
      <c r="A416" s="159"/>
      <c r="B416" s="107" t="s">
        <v>209</v>
      </c>
      <c r="C416" s="160" t="s">
        <v>435</v>
      </c>
      <c r="D416" s="161" t="s">
        <v>225</v>
      </c>
      <c r="E416" s="161" t="s">
        <v>40</v>
      </c>
      <c r="F416" s="108" t="s">
        <v>40</v>
      </c>
      <c r="G416" s="109" t="s">
        <v>46</v>
      </c>
      <c r="H416" s="109" t="s">
        <v>40</v>
      </c>
      <c r="I416" s="110" t="s">
        <v>275</v>
      </c>
      <c r="J416" s="111"/>
      <c r="K416" s="163">
        <f t="shared" si="64"/>
        <v>9259.4000000000015</v>
      </c>
      <c r="L416" s="163">
        <f t="shared" si="64"/>
        <v>-1709.8999999999996</v>
      </c>
      <c r="M416" s="163">
        <f t="shared" si="64"/>
        <v>7549.5000000000018</v>
      </c>
      <c r="N416" s="198"/>
    </row>
    <row r="417" spans="1:14" s="164" customFormat="1" ht="56.25" customHeight="1" x14ac:dyDescent="0.35">
      <c r="A417" s="159"/>
      <c r="B417" s="107" t="s">
        <v>204</v>
      </c>
      <c r="C417" s="160" t="s">
        <v>435</v>
      </c>
      <c r="D417" s="161" t="s">
        <v>225</v>
      </c>
      <c r="E417" s="161" t="s">
        <v>40</v>
      </c>
      <c r="F417" s="108" t="s">
        <v>40</v>
      </c>
      <c r="G417" s="109" t="s">
        <v>46</v>
      </c>
      <c r="H417" s="109" t="s">
        <v>40</v>
      </c>
      <c r="I417" s="110" t="s">
        <v>275</v>
      </c>
      <c r="J417" s="111" t="s">
        <v>205</v>
      </c>
      <c r="K417" s="240">
        <f>127.3+82.8+197.4+168.1+179.8-82.8-168.1+698.2+6945+1111.7</f>
        <v>9259.4000000000015</v>
      </c>
      <c r="L417" s="26">
        <f>M417-K417</f>
        <v>-1709.8999999999996</v>
      </c>
      <c r="M417" s="240">
        <f>127.3+82.8+197.4+168.1+179.8-82.8-168.1+698.2+6945+1111.7-78.1-681.8-950</f>
        <v>7549.5000000000018</v>
      </c>
      <c r="N417" s="198"/>
    </row>
    <row r="418" spans="1:14" s="164" customFormat="1" ht="36" x14ac:dyDescent="0.35">
      <c r="A418" s="159"/>
      <c r="B418" s="24" t="s">
        <v>599</v>
      </c>
      <c r="C418" s="160" t="s">
        <v>435</v>
      </c>
      <c r="D418" s="10" t="s">
        <v>225</v>
      </c>
      <c r="E418" s="10" t="s">
        <v>66</v>
      </c>
      <c r="F418" s="108"/>
      <c r="G418" s="109"/>
      <c r="H418" s="109"/>
      <c r="I418" s="110"/>
      <c r="J418" s="111"/>
      <c r="K418" s="323">
        <f t="shared" ref="K418:M422" si="65">K419</f>
        <v>10</v>
      </c>
      <c r="L418" s="323">
        <f t="shared" si="65"/>
        <v>0</v>
      </c>
      <c r="M418" s="323">
        <f t="shared" si="65"/>
        <v>10</v>
      </c>
      <c r="N418" s="198"/>
    </row>
    <row r="419" spans="1:14" s="164" customFormat="1" ht="56.25" customHeight="1" x14ac:dyDescent="0.35">
      <c r="A419" s="159"/>
      <c r="B419" s="133" t="s">
        <v>226</v>
      </c>
      <c r="C419" s="160" t="s">
        <v>435</v>
      </c>
      <c r="D419" s="10" t="s">
        <v>225</v>
      </c>
      <c r="E419" s="10" t="s">
        <v>66</v>
      </c>
      <c r="F419" s="121" t="s">
        <v>227</v>
      </c>
      <c r="G419" s="109" t="s">
        <v>43</v>
      </c>
      <c r="H419" s="109" t="s">
        <v>44</v>
      </c>
      <c r="I419" s="110" t="s">
        <v>45</v>
      </c>
      <c r="J419" s="111"/>
      <c r="K419" s="323">
        <f t="shared" si="65"/>
        <v>10</v>
      </c>
      <c r="L419" s="323">
        <f t="shared" si="65"/>
        <v>0</v>
      </c>
      <c r="M419" s="323">
        <f t="shared" si="65"/>
        <v>10</v>
      </c>
      <c r="N419" s="198"/>
    </row>
    <row r="420" spans="1:14" s="164" customFormat="1" ht="36" x14ac:dyDescent="0.35">
      <c r="A420" s="159"/>
      <c r="B420" s="107" t="s">
        <v>230</v>
      </c>
      <c r="C420" s="160" t="s">
        <v>435</v>
      </c>
      <c r="D420" s="10" t="s">
        <v>225</v>
      </c>
      <c r="E420" s="10" t="s">
        <v>66</v>
      </c>
      <c r="F420" s="121" t="s">
        <v>227</v>
      </c>
      <c r="G420" s="109" t="s">
        <v>90</v>
      </c>
      <c r="H420" s="109" t="s">
        <v>44</v>
      </c>
      <c r="I420" s="110" t="s">
        <v>45</v>
      </c>
      <c r="J420" s="111"/>
      <c r="K420" s="323">
        <f t="shared" si="65"/>
        <v>10</v>
      </c>
      <c r="L420" s="323">
        <f t="shared" si="65"/>
        <v>0</v>
      </c>
      <c r="M420" s="323">
        <f t="shared" si="65"/>
        <v>10</v>
      </c>
      <c r="N420" s="198"/>
    </row>
    <row r="421" spans="1:14" s="164" customFormat="1" ht="56.25" customHeight="1" x14ac:dyDescent="0.35">
      <c r="A421" s="159"/>
      <c r="B421" s="107" t="s">
        <v>303</v>
      </c>
      <c r="C421" s="160" t="s">
        <v>435</v>
      </c>
      <c r="D421" s="10" t="s">
        <v>225</v>
      </c>
      <c r="E421" s="10" t="s">
        <v>66</v>
      </c>
      <c r="F421" s="121" t="s">
        <v>227</v>
      </c>
      <c r="G421" s="109" t="s">
        <v>90</v>
      </c>
      <c r="H421" s="109" t="s">
        <v>38</v>
      </c>
      <c r="I421" s="110" t="s">
        <v>45</v>
      </c>
      <c r="J421" s="111"/>
      <c r="K421" s="323">
        <f t="shared" si="65"/>
        <v>10</v>
      </c>
      <c r="L421" s="323">
        <f t="shared" si="65"/>
        <v>0</v>
      </c>
      <c r="M421" s="323">
        <f t="shared" si="65"/>
        <v>10</v>
      </c>
      <c r="N421" s="198"/>
    </row>
    <row r="422" spans="1:14" s="164" customFormat="1" ht="36" x14ac:dyDescent="0.35">
      <c r="A422" s="159"/>
      <c r="B422" s="24" t="s">
        <v>601</v>
      </c>
      <c r="C422" s="160" t="s">
        <v>435</v>
      </c>
      <c r="D422" s="10" t="s">
        <v>225</v>
      </c>
      <c r="E422" s="10" t="s">
        <v>66</v>
      </c>
      <c r="F422" s="121" t="s">
        <v>227</v>
      </c>
      <c r="G422" s="109" t="s">
        <v>90</v>
      </c>
      <c r="H422" s="109" t="s">
        <v>38</v>
      </c>
      <c r="I422" s="110" t="s">
        <v>600</v>
      </c>
      <c r="J422" s="111"/>
      <c r="K422" s="323">
        <f t="shared" si="65"/>
        <v>10</v>
      </c>
      <c r="L422" s="323">
        <f t="shared" si="65"/>
        <v>0</v>
      </c>
      <c r="M422" s="323">
        <f t="shared" si="65"/>
        <v>10</v>
      </c>
      <c r="N422" s="198"/>
    </row>
    <row r="423" spans="1:14" s="164" customFormat="1" ht="56.25" customHeight="1" x14ac:dyDescent="0.35">
      <c r="A423" s="159"/>
      <c r="B423" s="24" t="s">
        <v>56</v>
      </c>
      <c r="C423" s="160" t="s">
        <v>435</v>
      </c>
      <c r="D423" s="10" t="s">
        <v>225</v>
      </c>
      <c r="E423" s="10" t="s">
        <v>66</v>
      </c>
      <c r="F423" s="121" t="s">
        <v>227</v>
      </c>
      <c r="G423" s="109" t="s">
        <v>90</v>
      </c>
      <c r="H423" s="109" t="s">
        <v>38</v>
      </c>
      <c r="I423" s="110" t="s">
        <v>600</v>
      </c>
      <c r="J423" s="111" t="s">
        <v>57</v>
      </c>
      <c r="K423" s="597">
        <v>10</v>
      </c>
      <c r="L423" s="26">
        <f>M423-K423</f>
        <v>0</v>
      </c>
      <c r="M423" s="597">
        <v>10</v>
      </c>
      <c r="N423" s="198"/>
    </row>
    <row r="424" spans="1:14" s="175" customFormat="1" ht="18.75" customHeight="1" x14ac:dyDescent="0.35">
      <c r="A424" s="172"/>
      <c r="B424" s="173" t="s">
        <v>120</v>
      </c>
      <c r="C424" s="174" t="s">
        <v>435</v>
      </c>
      <c r="D424" s="132" t="s">
        <v>105</v>
      </c>
      <c r="E424" s="161"/>
      <c r="F424" s="129"/>
      <c r="G424" s="130"/>
      <c r="H424" s="130"/>
      <c r="I424" s="131"/>
      <c r="J424" s="132"/>
      <c r="K424" s="217">
        <f t="shared" ref="K424:M427" si="66">K425</f>
        <v>64616.915399999998</v>
      </c>
      <c r="L424" s="217">
        <f t="shared" si="66"/>
        <v>0</v>
      </c>
      <c r="M424" s="217">
        <f t="shared" si="66"/>
        <v>64616.915399999998</v>
      </c>
    </row>
    <row r="425" spans="1:14" s="175" customFormat="1" ht="18.75" customHeight="1" x14ac:dyDescent="0.35">
      <c r="A425" s="172"/>
      <c r="B425" s="128" t="s">
        <v>194</v>
      </c>
      <c r="C425" s="174" t="s">
        <v>435</v>
      </c>
      <c r="D425" s="132" t="s">
        <v>105</v>
      </c>
      <c r="E425" s="132" t="s">
        <v>53</v>
      </c>
      <c r="F425" s="129"/>
      <c r="G425" s="130"/>
      <c r="H425" s="130"/>
      <c r="I425" s="131"/>
      <c r="J425" s="132"/>
      <c r="K425" s="217">
        <f t="shared" si="66"/>
        <v>64616.915399999998</v>
      </c>
      <c r="L425" s="217">
        <f t="shared" si="66"/>
        <v>0</v>
      </c>
      <c r="M425" s="217">
        <f t="shared" si="66"/>
        <v>64616.915399999998</v>
      </c>
    </row>
    <row r="426" spans="1:14" s="175" customFormat="1" ht="56.25" customHeight="1" x14ac:dyDescent="0.35">
      <c r="A426" s="172"/>
      <c r="B426" s="176" t="s">
        <v>231</v>
      </c>
      <c r="C426" s="174" t="s">
        <v>435</v>
      </c>
      <c r="D426" s="132" t="s">
        <v>105</v>
      </c>
      <c r="E426" s="132" t="s">
        <v>53</v>
      </c>
      <c r="F426" s="129" t="s">
        <v>80</v>
      </c>
      <c r="G426" s="130" t="s">
        <v>43</v>
      </c>
      <c r="H426" s="130" t="s">
        <v>44</v>
      </c>
      <c r="I426" s="131" t="s">
        <v>45</v>
      </c>
      <c r="J426" s="132"/>
      <c r="K426" s="217">
        <f t="shared" si="66"/>
        <v>64616.915399999998</v>
      </c>
      <c r="L426" s="217">
        <f t="shared" si="66"/>
        <v>0</v>
      </c>
      <c r="M426" s="217">
        <f t="shared" si="66"/>
        <v>64616.915399999998</v>
      </c>
    </row>
    <row r="427" spans="1:14" s="175" customFormat="1" ht="37.5" customHeight="1" x14ac:dyDescent="0.35">
      <c r="A427" s="172"/>
      <c r="B427" s="128" t="s">
        <v>343</v>
      </c>
      <c r="C427" s="174" t="s">
        <v>435</v>
      </c>
      <c r="D427" s="132" t="s">
        <v>105</v>
      </c>
      <c r="E427" s="132" t="s">
        <v>53</v>
      </c>
      <c r="F427" s="129" t="s">
        <v>80</v>
      </c>
      <c r="G427" s="130" t="s">
        <v>46</v>
      </c>
      <c r="H427" s="130" t="s">
        <v>44</v>
      </c>
      <c r="I427" s="131" t="s">
        <v>45</v>
      </c>
      <c r="J427" s="132"/>
      <c r="K427" s="217">
        <f t="shared" si="66"/>
        <v>64616.915399999998</v>
      </c>
      <c r="L427" s="217">
        <f t="shared" si="66"/>
        <v>0</v>
      </c>
      <c r="M427" s="217">
        <f t="shared" si="66"/>
        <v>64616.915399999998</v>
      </c>
    </row>
    <row r="428" spans="1:14" s="177" customFormat="1" ht="93.75" customHeight="1" x14ac:dyDescent="0.35">
      <c r="A428" s="172"/>
      <c r="B428" s="128" t="s">
        <v>302</v>
      </c>
      <c r="C428" s="174" t="s">
        <v>435</v>
      </c>
      <c r="D428" s="132" t="s">
        <v>105</v>
      </c>
      <c r="E428" s="132" t="s">
        <v>53</v>
      </c>
      <c r="F428" s="129" t="s">
        <v>80</v>
      </c>
      <c r="G428" s="130" t="s">
        <v>46</v>
      </c>
      <c r="H428" s="130" t="s">
        <v>40</v>
      </c>
      <c r="I428" s="131" t="s">
        <v>45</v>
      </c>
      <c r="J428" s="132"/>
      <c r="K428" s="217">
        <f t="shared" ref="K428:M429" si="67">K429</f>
        <v>64616.915399999998</v>
      </c>
      <c r="L428" s="217">
        <f t="shared" si="67"/>
        <v>0</v>
      </c>
      <c r="M428" s="217">
        <f t="shared" si="67"/>
        <v>64616.915399999998</v>
      </c>
    </row>
    <row r="429" spans="1:14" s="164" customFormat="1" ht="110.25" customHeight="1" x14ac:dyDescent="0.35">
      <c r="A429" s="159"/>
      <c r="B429" s="133" t="s">
        <v>437</v>
      </c>
      <c r="C429" s="160" t="s">
        <v>435</v>
      </c>
      <c r="D429" s="161" t="s">
        <v>105</v>
      </c>
      <c r="E429" s="161" t="s">
        <v>53</v>
      </c>
      <c r="F429" s="108" t="s">
        <v>80</v>
      </c>
      <c r="G429" s="109" t="s">
        <v>46</v>
      </c>
      <c r="H429" s="109" t="s">
        <v>40</v>
      </c>
      <c r="I429" s="134" t="s">
        <v>438</v>
      </c>
      <c r="J429" s="111"/>
      <c r="K429" s="163">
        <f t="shared" si="67"/>
        <v>64616.915399999998</v>
      </c>
      <c r="L429" s="163">
        <f t="shared" si="67"/>
        <v>0</v>
      </c>
      <c r="M429" s="163">
        <f t="shared" si="67"/>
        <v>64616.915399999998</v>
      </c>
      <c r="N429" s="198"/>
    </row>
    <row r="430" spans="1:14" s="164" customFormat="1" ht="56.25" customHeight="1" x14ac:dyDescent="0.35">
      <c r="A430" s="159"/>
      <c r="B430" s="133" t="s">
        <v>204</v>
      </c>
      <c r="C430" s="160" t="s">
        <v>435</v>
      </c>
      <c r="D430" s="161" t="s">
        <v>105</v>
      </c>
      <c r="E430" s="161" t="s">
        <v>53</v>
      </c>
      <c r="F430" s="108" t="s">
        <v>80</v>
      </c>
      <c r="G430" s="109" t="s">
        <v>46</v>
      </c>
      <c r="H430" s="109" t="s">
        <v>40</v>
      </c>
      <c r="I430" s="134" t="s">
        <v>438</v>
      </c>
      <c r="J430" s="111" t="s">
        <v>205</v>
      </c>
      <c r="K430" s="163">
        <f>48897.8-8141.8+23923.4-62.4846</f>
        <v>64616.915399999998</v>
      </c>
      <c r="L430" s="26">
        <f>M430-K430</f>
        <v>0</v>
      </c>
      <c r="M430" s="163">
        <f>48897.8-8141.8+23923.4-62.4846</f>
        <v>64616.915399999998</v>
      </c>
      <c r="N430" s="198"/>
    </row>
    <row r="431" spans="1:14" s="164" customFormat="1" ht="18" x14ac:dyDescent="0.35">
      <c r="A431" s="159"/>
      <c r="B431" s="267" t="s">
        <v>325</v>
      </c>
      <c r="C431" s="160" t="s">
        <v>435</v>
      </c>
      <c r="D431" s="35" t="s">
        <v>68</v>
      </c>
      <c r="E431" s="35"/>
      <c r="F431" s="251"/>
      <c r="G431" s="252"/>
      <c r="H431" s="252"/>
      <c r="I431" s="253"/>
      <c r="J431" s="111"/>
      <c r="K431" s="340">
        <f t="shared" ref="K431:M436" si="68">K432</f>
        <v>987.5</v>
      </c>
      <c r="L431" s="26">
        <f t="shared" si="68"/>
        <v>681.8</v>
      </c>
      <c r="M431" s="340">
        <f t="shared" si="68"/>
        <v>1669.3</v>
      </c>
      <c r="N431" s="198"/>
    </row>
    <row r="432" spans="1:14" s="164" customFormat="1" ht="18" x14ac:dyDescent="0.35">
      <c r="A432" s="159"/>
      <c r="B432" s="30" t="s">
        <v>367</v>
      </c>
      <c r="C432" s="160" t="s">
        <v>435</v>
      </c>
      <c r="D432" s="10" t="s">
        <v>68</v>
      </c>
      <c r="E432" s="10" t="s">
        <v>38</v>
      </c>
      <c r="F432" s="651"/>
      <c r="G432" s="652"/>
      <c r="H432" s="652"/>
      <c r="I432" s="653"/>
      <c r="J432" s="111"/>
      <c r="K432" s="340">
        <f t="shared" si="68"/>
        <v>987.5</v>
      </c>
      <c r="L432" s="26">
        <f t="shared" si="68"/>
        <v>681.8</v>
      </c>
      <c r="M432" s="340">
        <f t="shared" si="68"/>
        <v>1669.3</v>
      </c>
      <c r="N432" s="198"/>
    </row>
    <row r="433" spans="1:15" s="164" customFormat="1" ht="54" x14ac:dyDescent="0.35">
      <c r="A433" s="159"/>
      <c r="B433" s="24" t="s">
        <v>218</v>
      </c>
      <c r="C433" s="160" t="s">
        <v>435</v>
      </c>
      <c r="D433" s="10" t="s">
        <v>68</v>
      </c>
      <c r="E433" s="10" t="s">
        <v>38</v>
      </c>
      <c r="F433" s="651" t="s">
        <v>53</v>
      </c>
      <c r="G433" s="652" t="s">
        <v>43</v>
      </c>
      <c r="H433" s="652" t="s">
        <v>44</v>
      </c>
      <c r="I433" s="653" t="s">
        <v>45</v>
      </c>
      <c r="J433" s="111"/>
      <c r="K433" s="340">
        <f t="shared" si="68"/>
        <v>987.5</v>
      </c>
      <c r="L433" s="26">
        <f t="shared" si="68"/>
        <v>681.8</v>
      </c>
      <c r="M433" s="340">
        <f t="shared" si="68"/>
        <v>1669.3</v>
      </c>
      <c r="N433" s="198"/>
    </row>
    <row r="434" spans="1:15" s="164" customFormat="1" ht="36" x14ac:dyDescent="0.35">
      <c r="A434" s="159"/>
      <c r="B434" s="30" t="s">
        <v>343</v>
      </c>
      <c r="C434" s="160" t="s">
        <v>435</v>
      </c>
      <c r="D434" s="10" t="s">
        <v>68</v>
      </c>
      <c r="E434" s="10" t="s">
        <v>38</v>
      </c>
      <c r="F434" s="651" t="s">
        <v>53</v>
      </c>
      <c r="G434" s="652" t="s">
        <v>32</v>
      </c>
      <c r="H434" s="652" t="s">
        <v>44</v>
      </c>
      <c r="I434" s="653" t="s">
        <v>45</v>
      </c>
      <c r="J434" s="111"/>
      <c r="K434" s="340">
        <f t="shared" si="68"/>
        <v>987.5</v>
      </c>
      <c r="L434" s="26">
        <f t="shared" si="68"/>
        <v>681.8</v>
      </c>
      <c r="M434" s="340">
        <f t="shared" si="68"/>
        <v>1669.3</v>
      </c>
      <c r="N434" s="198"/>
    </row>
    <row r="435" spans="1:15" s="164" customFormat="1" ht="72" x14ac:dyDescent="0.35">
      <c r="A435" s="159"/>
      <c r="B435" s="24" t="s">
        <v>431</v>
      </c>
      <c r="C435" s="160" t="s">
        <v>435</v>
      </c>
      <c r="D435" s="10" t="s">
        <v>68</v>
      </c>
      <c r="E435" s="10" t="s">
        <v>38</v>
      </c>
      <c r="F435" s="651" t="s">
        <v>53</v>
      </c>
      <c r="G435" s="652" t="s">
        <v>32</v>
      </c>
      <c r="H435" s="652" t="s">
        <v>64</v>
      </c>
      <c r="I435" s="653" t="s">
        <v>45</v>
      </c>
      <c r="J435" s="111"/>
      <c r="K435" s="340">
        <f t="shared" si="68"/>
        <v>987.5</v>
      </c>
      <c r="L435" s="26">
        <f t="shared" si="68"/>
        <v>681.8</v>
      </c>
      <c r="M435" s="340">
        <f t="shared" si="68"/>
        <v>1669.3</v>
      </c>
      <c r="N435" s="198"/>
    </row>
    <row r="436" spans="1:15" s="164" customFormat="1" ht="54" x14ac:dyDescent="0.35">
      <c r="A436" s="159"/>
      <c r="B436" s="24" t="s">
        <v>220</v>
      </c>
      <c r="C436" s="160" t="s">
        <v>435</v>
      </c>
      <c r="D436" s="10" t="s">
        <v>68</v>
      </c>
      <c r="E436" s="10" t="s">
        <v>38</v>
      </c>
      <c r="F436" s="651" t="s">
        <v>53</v>
      </c>
      <c r="G436" s="652" t="s">
        <v>32</v>
      </c>
      <c r="H436" s="652" t="s">
        <v>64</v>
      </c>
      <c r="I436" s="653" t="s">
        <v>280</v>
      </c>
      <c r="J436" s="111"/>
      <c r="K436" s="340">
        <f t="shared" si="68"/>
        <v>987.5</v>
      </c>
      <c r="L436" s="26">
        <f t="shared" si="68"/>
        <v>681.8</v>
      </c>
      <c r="M436" s="340">
        <f t="shared" si="68"/>
        <v>1669.3</v>
      </c>
      <c r="N436" s="198"/>
    </row>
    <row r="437" spans="1:15" s="164" customFormat="1" ht="54" x14ac:dyDescent="0.35">
      <c r="A437" s="159"/>
      <c r="B437" s="133" t="s">
        <v>204</v>
      </c>
      <c r="C437" s="160" t="s">
        <v>435</v>
      </c>
      <c r="D437" s="10" t="s">
        <v>68</v>
      </c>
      <c r="E437" s="10" t="s">
        <v>38</v>
      </c>
      <c r="F437" s="651" t="s">
        <v>53</v>
      </c>
      <c r="G437" s="652" t="s">
        <v>32</v>
      </c>
      <c r="H437" s="652" t="s">
        <v>64</v>
      </c>
      <c r="I437" s="653" t="s">
        <v>294</v>
      </c>
      <c r="J437" s="111" t="s">
        <v>205</v>
      </c>
      <c r="K437" s="163">
        <v>987.5</v>
      </c>
      <c r="L437" s="26">
        <f>M437-K437</f>
        <v>681.8</v>
      </c>
      <c r="M437" s="163">
        <f>987.5+681.8</f>
        <v>1669.3</v>
      </c>
      <c r="N437" s="198"/>
    </row>
    <row r="438" spans="1:15" s="164" customFormat="1" ht="18" customHeight="1" x14ac:dyDescent="0.35">
      <c r="A438" s="159"/>
      <c r="B438" s="133"/>
      <c r="C438" s="193"/>
      <c r="D438" s="194"/>
      <c r="E438" s="194"/>
      <c r="F438" s="195"/>
      <c r="G438" s="196"/>
      <c r="H438" s="196"/>
      <c r="I438" s="197"/>
      <c r="J438" s="194"/>
      <c r="K438" s="163"/>
      <c r="L438" s="163"/>
      <c r="M438" s="163"/>
    </row>
    <row r="439" spans="1:15" s="147" customFormat="1" ht="52.2" customHeight="1" x14ac:dyDescent="0.3">
      <c r="A439" s="142">
        <v>5</v>
      </c>
      <c r="B439" s="18" t="s">
        <v>7</v>
      </c>
      <c r="C439" s="19" t="s">
        <v>448</v>
      </c>
      <c r="D439" s="20"/>
      <c r="E439" s="20"/>
      <c r="F439" s="21"/>
      <c r="G439" s="22"/>
      <c r="H439" s="22"/>
      <c r="I439" s="23"/>
      <c r="J439" s="20"/>
      <c r="K439" s="40">
        <f>K453+K603+K440</f>
        <v>1151903.4610000001</v>
      </c>
      <c r="L439" s="40">
        <f>L453+L603+L440</f>
        <v>36353.900000000009</v>
      </c>
      <c r="M439" s="40">
        <f>M453+M603+M440</f>
        <v>1188257.361</v>
      </c>
      <c r="N439" s="178"/>
      <c r="O439" s="178"/>
    </row>
    <row r="440" spans="1:15" s="147" customFormat="1" ht="24.75" customHeight="1" x14ac:dyDescent="0.35">
      <c r="A440" s="142"/>
      <c r="B440" s="290" t="s">
        <v>37</v>
      </c>
      <c r="C440" s="298" t="s">
        <v>448</v>
      </c>
      <c r="D440" s="291" t="s">
        <v>38</v>
      </c>
      <c r="E440" s="104"/>
      <c r="F440" s="299"/>
      <c r="G440" s="114"/>
      <c r="H440" s="114"/>
      <c r="I440" s="115"/>
      <c r="J440" s="104"/>
      <c r="K440" s="254">
        <f t="shared" ref="K440:M441" si="69">K441</f>
        <v>303.7</v>
      </c>
      <c r="L440" s="254">
        <f t="shared" si="69"/>
        <v>0</v>
      </c>
      <c r="M440" s="254">
        <f t="shared" si="69"/>
        <v>303.7</v>
      </c>
      <c r="N440" s="178"/>
      <c r="O440" s="178"/>
    </row>
    <row r="441" spans="1:15" s="147" customFormat="1" ht="27" customHeight="1" x14ac:dyDescent="0.35">
      <c r="A441" s="142"/>
      <c r="B441" s="290" t="s">
        <v>71</v>
      </c>
      <c r="C441" s="300" t="s">
        <v>448</v>
      </c>
      <c r="D441" s="291" t="s">
        <v>38</v>
      </c>
      <c r="E441" s="291" t="s">
        <v>72</v>
      </c>
      <c r="F441" s="299"/>
      <c r="G441" s="114"/>
      <c r="H441" s="114"/>
      <c r="I441" s="115"/>
      <c r="J441" s="104"/>
      <c r="K441" s="254">
        <f t="shared" si="69"/>
        <v>303.7</v>
      </c>
      <c r="L441" s="254">
        <f t="shared" si="69"/>
        <v>0</v>
      </c>
      <c r="M441" s="254">
        <f t="shared" si="69"/>
        <v>303.7</v>
      </c>
      <c r="N441" s="178"/>
      <c r="O441" s="178"/>
    </row>
    <row r="442" spans="1:15" s="147" customFormat="1" ht="52.2" customHeight="1" x14ac:dyDescent="0.35">
      <c r="A442" s="142"/>
      <c r="B442" s="290" t="s">
        <v>206</v>
      </c>
      <c r="C442" s="298" t="s">
        <v>448</v>
      </c>
      <c r="D442" s="291" t="s">
        <v>38</v>
      </c>
      <c r="E442" s="291" t="s">
        <v>72</v>
      </c>
      <c r="F442" s="647" t="s">
        <v>40</v>
      </c>
      <c r="G442" s="648" t="s">
        <v>43</v>
      </c>
      <c r="H442" s="648" t="s">
        <v>44</v>
      </c>
      <c r="I442" s="649" t="s">
        <v>45</v>
      </c>
      <c r="J442" s="291"/>
      <c r="K442" s="254">
        <f>K443</f>
        <v>303.7</v>
      </c>
      <c r="L442" s="254">
        <f>L443</f>
        <v>0</v>
      </c>
      <c r="M442" s="254">
        <f>M443</f>
        <v>303.7</v>
      </c>
      <c r="N442" s="178"/>
      <c r="O442" s="178"/>
    </row>
    <row r="443" spans="1:15" s="147" customFormat="1" ht="52.2" customHeight="1" x14ac:dyDescent="0.35">
      <c r="A443" s="142"/>
      <c r="B443" s="269" t="s">
        <v>213</v>
      </c>
      <c r="C443" s="298" t="s">
        <v>448</v>
      </c>
      <c r="D443" s="291" t="s">
        <v>38</v>
      </c>
      <c r="E443" s="291" t="s">
        <v>72</v>
      </c>
      <c r="F443" s="647" t="s">
        <v>40</v>
      </c>
      <c r="G443" s="648" t="s">
        <v>31</v>
      </c>
      <c r="H443" s="648" t="s">
        <v>44</v>
      </c>
      <c r="I443" s="649" t="s">
        <v>45</v>
      </c>
      <c r="J443" s="291"/>
      <c r="K443" s="254">
        <f>K444+K447+K450</f>
        <v>303.7</v>
      </c>
      <c r="L443" s="254">
        <f>L444+L447+L450</f>
        <v>0</v>
      </c>
      <c r="M443" s="254">
        <f>M444+M447+M450</f>
        <v>303.7</v>
      </c>
      <c r="N443" s="178"/>
      <c r="O443" s="178"/>
    </row>
    <row r="444" spans="1:15" s="147" customFormat="1" ht="36" customHeight="1" x14ac:dyDescent="0.35">
      <c r="A444" s="142"/>
      <c r="B444" s="290" t="s">
        <v>358</v>
      </c>
      <c r="C444" s="298" t="s">
        <v>448</v>
      </c>
      <c r="D444" s="291" t="s">
        <v>38</v>
      </c>
      <c r="E444" s="291" t="s">
        <v>72</v>
      </c>
      <c r="F444" s="647" t="s">
        <v>40</v>
      </c>
      <c r="G444" s="648" t="s">
        <v>31</v>
      </c>
      <c r="H444" s="648" t="s">
        <v>64</v>
      </c>
      <c r="I444" s="649" t="s">
        <v>45</v>
      </c>
      <c r="J444" s="291"/>
      <c r="K444" s="254">
        <f t="shared" ref="K444:M445" si="70">K445</f>
        <v>173.9</v>
      </c>
      <c r="L444" s="254">
        <f t="shared" si="70"/>
        <v>0</v>
      </c>
      <c r="M444" s="254">
        <f t="shared" si="70"/>
        <v>173.9</v>
      </c>
      <c r="N444" s="178"/>
      <c r="O444" s="178"/>
    </row>
    <row r="445" spans="1:15" s="147" customFormat="1" ht="52.2" customHeight="1" x14ac:dyDescent="0.35">
      <c r="A445" s="142"/>
      <c r="B445" s="269" t="s">
        <v>505</v>
      </c>
      <c r="C445" s="300" t="s">
        <v>448</v>
      </c>
      <c r="D445" s="291" t="s">
        <v>38</v>
      </c>
      <c r="E445" s="291" t="s">
        <v>72</v>
      </c>
      <c r="F445" s="647" t="s">
        <v>40</v>
      </c>
      <c r="G445" s="648" t="s">
        <v>31</v>
      </c>
      <c r="H445" s="648" t="s">
        <v>64</v>
      </c>
      <c r="I445" s="649" t="s">
        <v>106</v>
      </c>
      <c r="J445" s="291"/>
      <c r="K445" s="254">
        <f t="shared" si="70"/>
        <v>173.9</v>
      </c>
      <c r="L445" s="254">
        <f t="shared" si="70"/>
        <v>0</v>
      </c>
      <c r="M445" s="254">
        <f t="shared" si="70"/>
        <v>173.9</v>
      </c>
      <c r="N445" s="178"/>
      <c r="O445" s="178"/>
    </row>
    <row r="446" spans="1:15" s="147" customFormat="1" ht="52.2" customHeight="1" x14ac:dyDescent="0.35">
      <c r="A446" s="142"/>
      <c r="B446" s="269" t="s">
        <v>56</v>
      </c>
      <c r="C446" s="300" t="s">
        <v>448</v>
      </c>
      <c r="D446" s="291" t="s">
        <v>38</v>
      </c>
      <c r="E446" s="291" t="s">
        <v>72</v>
      </c>
      <c r="F446" s="647" t="s">
        <v>40</v>
      </c>
      <c r="G446" s="648" t="s">
        <v>31</v>
      </c>
      <c r="H446" s="648" t="s">
        <v>64</v>
      </c>
      <c r="I446" s="649" t="s">
        <v>106</v>
      </c>
      <c r="J446" s="291" t="s">
        <v>57</v>
      </c>
      <c r="K446" s="254">
        <v>173.9</v>
      </c>
      <c r="L446" s="26">
        <f>M446-K446</f>
        <v>0</v>
      </c>
      <c r="M446" s="254">
        <v>173.9</v>
      </c>
      <c r="N446" s="178"/>
      <c r="O446" s="178"/>
    </row>
    <row r="447" spans="1:15" s="147" customFormat="1" ht="33.75" customHeight="1" x14ac:dyDescent="0.35">
      <c r="A447" s="142"/>
      <c r="B447" s="269" t="s">
        <v>494</v>
      </c>
      <c r="C447" s="298" t="s">
        <v>448</v>
      </c>
      <c r="D447" s="291" t="s">
        <v>38</v>
      </c>
      <c r="E447" s="291" t="s">
        <v>72</v>
      </c>
      <c r="F447" s="647" t="s">
        <v>40</v>
      </c>
      <c r="G447" s="648" t="s">
        <v>31</v>
      </c>
      <c r="H447" s="648" t="s">
        <v>53</v>
      </c>
      <c r="I447" s="649" t="s">
        <v>45</v>
      </c>
      <c r="J447" s="291"/>
      <c r="K447" s="254">
        <f t="shared" ref="K447:M448" si="71">K448</f>
        <v>24</v>
      </c>
      <c r="L447" s="254">
        <f t="shared" si="71"/>
        <v>0</v>
      </c>
      <c r="M447" s="254">
        <f t="shared" si="71"/>
        <v>24</v>
      </c>
      <c r="N447" s="178"/>
      <c r="O447" s="178"/>
    </row>
    <row r="448" spans="1:15" s="147" customFormat="1" ht="18.600000000000001" customHeight="1" x14ac:dyDescent="0.35">
      <c r="A448" s="142"/>
      <c r="B448" s="269" t="s">
        <v>506</v>
      </c>
      <c r="C448" s="300" t="s">
        <v>448</v>
      </c>
      <c r="D448" s="291" t="s">
        <v>38</v>
      </c>
      <c r="E448" s="291" t="s">
        <v>72</v>
      </c>
      <c r="F448" s="647" t="s">
        <v>40</v>
      </c>
      <c r="G448" s="648" t="s">
        <v>31</v>
      </c>
      <c r="H448" s="648" t="s">
        <v>53</v>
      </c>
      <c r="I448" s="649" t="s">
        <v>493</v>
      </c>
      <c r="J448" s="291"/>
      <c r="K448" s="254">
        <f t="shared" si="71"/>
        <v>24</v>
      </c>
      <c r="L448" s="254">
        <f t="shared" si="71"/>
        <v>0</v>
      </c>
      <c r="M448" s="254">
        <f t="shared" si="71"/>
        <v>24</v>
      </c>
      <c r="N448" s="178"/>
      <c r="O448" s="178"/>
    </row>
    <row r="449" spans="1:15" s="147" customFormat="1" ht="52.2" customHeight="1" x14ac:dyDescent="0.35">
      <c r="A449" s="142"/>
      <c r="B449" s="269" t="s">
        <v>56</v>
      </c>
      <c r="C449" s="300" t="s">
        <v>448</v>
      </c>
      <c r="D449" s="291" t="s">
        <v>38</v>
      </c>
      <c r="E449" s="291" t="s">
        <v>72</v>
      </c>
      <c r="F449" s="647" t="s">
        <v>40</v>
      </c>
      <c r="G449" s="648" t="s">
        <v>31</v>
      </c>
      <c r="H449" s="648" t="s">
        <v>53</v>
      </c>
      <c r="I449" s="649" t="s">
        <v>493</v>
      </c>
      <c r="J449" s="291" t="s">
        <v>57</v>
      </c>
      <c r="K449" s="254">
        <v>24</v>
      </c>
      <c r="L449" s="26">
        <f>M449-K449</f>
        <v>0</v>
      </c>
      <c r="M449" s="254">
        <v>24</v>
      </c>
      <c r="N449" s="178"/>
      <c r="O449" s="178"/>
    </row>
    <row r="450" spans="1:15" s="147" customFormat="1" ht="37.5" customHeight="1" x14ac:dyDescent="0.35">
      <c r="A450" s="142"/>
      <c r="B450" s="269" t="s">
        <v>504</v>
      </c>
      <c r="C450" s="300" t="s">
        <v>448</v>
      </c>
      <c r="D450" s="291" t="s">
        <v>38</v>
      </c>
      <c r="E450" s="291" t="s">
        <v>72</v>
      </c>
      <c r="F450" s="647" t="s">
        <v>40</v>
      </c>
      <c r="G450" s="648" t="s">
        <v>31</v>
      </c>
      <c r="H450" s="648" t="s">
        <v>66</v>
      </c>
      <c r="I450" s="537" t="s">
        <v>45</v>
      </c>
      <c r="J450" s="102"/>
      <c r="K450" s="254">
        <f t="shared" ref="K450:M451" si="72">K451</f>
        <v>105.8</v>
      </c>
      <c r="L450" s="254">
        <f t="shared" si="72"/>
        <v>0</v>
      </c>
      <c r="M450" s="254">
        <f t="shared" si="72"/>
        <v>105.8</v>
      </c>
      <c r="N450" s="178"/>
      <c r="O450" s="178"/>
    </row>
    <row r="451" spans="1:15" s="147" customFormat="1" ht="34.950000000000003" customHeight="1" x14ac:dyDescent="0.35">
      <c r="A451" s="142"/>
      <c r="B451" s="269" t="s">
        <v>128</v>
      </c>
      <c r="C451" s="300" t="s">
        <v>448</v>
      </c>
      <c r="D451" s="291" t="s">
        <v>38</v>
      </c>
      <c r="E451" s="291" t="s">
        <v>72</v>
      </c>
      <c r="F451" s="647" t="s">
        <v>40</v>
      </c>
      <c r="G451" s="648" t="s">
        <v>31</v>
      </c>
      <c r="H451" s="648" t="s">
        <v>66</v>
      </c>
      <c r="I451" s="537" t="s">
        <v>91</v>
      </c>
      <c r="J451" s="102"/>
      <c r="K451" s="254">
        <f t="shared" si="72"/>
        <v>105.8</v>
      </c>
      <c r="L451" s="254">
        <f t="shared" si="72"/>
        <v>0</v>
      </c>
      <c r="M451" s="254">
        <f t="shared" si="72"/>
        <v>105.8</v>
      </c>
      <c r="N451" s="178"/>
      <c r="O451" s="178"/>
    </row>
    <row r="452" spans="1:15" s="147" customFormat="1" ht="52.2" customHeight="1" x14ac:dyDescent="0.35">
      <c r="A452" s="142"/>
      <c r="B452" s="269" t="s">
        <v>56</v>
      </c>
      <c r="C452" s="300" t="s">
        <v>448</v>
      </c>
      <c r="D452" s="291" t="s">
        <v>38</v>
      </c>
      <c r="E452" s="291" t="s">
        <v>72</v>
      </c>
      <c r="F452" s="647" t="s">
        <v>40</v>
      </c>
      <c r="G452" s="648" t="s">
        <v>31</v>
      </c>
      <c r="H452" s="648" t="s">
        <v>66</v>
      </c>
      <c r="I452" s="537" t="s">
        <v>91</v>
      </c>
      <c r="J452" s="102" t="s">
        <v>57</v>
      </c>
      <c r="K452" s="254">
        <v>105.8</v>
      </c>
      <c r="L452" s="26">
        <f>M452-K452</f>
        <v>0</v>
      </c>
      <c r="M452" s="254">
        <v>105.8</v>
      </c>
      <c r="N452" s="178"/>
      <c r="O452" s="178"/>
    </row>
    <row r="453" spans="1:15" s="148" customFormat="1" ht="18" customHeight="1" x14ac:dyDescent="0.35">
      <c r="A453" s="11"/>
      <c r="B453" s="24" t="s">
        <v>180</v>
      </c>
      <c r="C453" s="25" t="s">
        <v>448</v>
      </c>
      <c r="D453" s="10" t="s">
        <v>225</v>
      </c>
      <c r="E453" s="10"/>
      <c r="F453" s="651"/>
      <c r="G453" s="652"/>
      <c r="H453" s="652"/>
      <c r="I453" s="653"/>
      <c r="J453" s="10"/>
      <c r="K453" s="26">
        <f>K454+K482+K577+K544+K569</f>
        <v>1146147.2610000002</v>
      </c>
      <c r="L453" s="26">
        <f>L454+L482+L577+L544+L569</f>
        <v>35091.400000000009</v>
      </c>
      <c r="M453" s="26">
        <f>M454+M482+M577+M544+M569</f>
        <v>1181238.6610000001</v>
      </c>
      <c r="N453" s="179"/>
      <c r="O453" s="179"/>
    </row>
    <row r="454" spans="1:15" s="147" customFormat="1" ht="18" customHeight="1" x14ac:dyDescent="0.35">
      <c r="A454" s="11"/>
      <c r="B454" s="24" t="s">
        <v>182</v>
      </c>
      <c r="C454" s="25" t="s">
        <v>448</v>
      </c>
      <c r="D454" s="10" t="s">
        <v>225</v>
      </c>
      <c r="E454" s="10" t="s">
        <v>38</v>
      </c>
      <c r="F454" s="651"/>
      <c r="G454" s="652"/>
      <c r="H454" s="652"/>
      <c r="I454" s="653"/>
      <c r="J454" s="10"/>
      <c r="K454" s="26">
        <f>K455+K470+K477</f>
        <v>339884.4</v>
      </c>
      <c r="L454" s="26">
        <f>L455+L470+L477</f>
        <v>12507.200000000004</v>
      </c>
      <c r="M454" s="26">
        <f>M455+M470+M477</f>
        <v>352391.60000000003</v>
      </c>
    </row>
    <row r="455" spans="1:15" s="147" customFormat="1" ht="54" customHeight="1" x14ac:dyDescent="0.35">
      <c r="A455" s="11"/>
      <c r="B455" s="24" t="s">
        <v>206</v>
      </c>
      <c r="C455" s="25" t="s">
        <v>448</v>
      </c>
      <c r="D455" s="10" t="s">
        <v>225</v>
      </c>
      <c r="E455" s="10" t="s">
        <v>38</v>
      </c>
      <c r="F455" s="651" t="s">
        <v>40</v>
      </c>
      <c r="G455" s="652" t="s">
        <v>43</v>
      </c>
      <c r="H455" s="652" t="s">
        <v>44</v>
      </c>
      <c r="I455" s="653" t="s">
        <v>45</v>
      </c>
      <c r="J455" s="10"/>
      <c r="K455" s="26">
        <f t="shared" ref="K455:M456" si="73">K456</f>
        <v>338102.3</v>
      </c>
      <c r="L455" s="26">
        <f t="shared" si="73"/>
        <v>12507.200000000004</v>
      </c>
      <c r="M455" s="26">
        <f t="shared" si="73"/>
        <v>350609.5</v>
      </c>
    </row>
    <row r="456" spans="1:15" s="147" customFormat="1" ht="36" customHeight="1" x14ac:dyDescent="0.35">
      <c r="A456" s="11"/>
      <c r="B456" s="24" t="s">
        <v>207</v>
      </c>
      <c r="C456" s="25" t="s">
        <v>448</v>
      </c>
      <c r="D456" s="10" t="s">
        <v>225</v>
      </c>
      <c r="E456" s="10" t="s">
        <v>38</v>
      </c>
      <c r="F456" s="651" t="s">
        <v>40</v>
      </c>
      <c r="G456" s="652" t="s">
        <v>46</v>
      </c>
      <c r="H456" s="652" t="s">
        <v>44</v>
      </c>
      <c r="I456" s="653" t="s">
        <v>45</v>
      </c>
      <c r="J456" s="10"/>
      <c r="K456" s="26">
        <f t="shared" si="73"/>
        <v>338102.3</v>
      </c>
      <c r="L456" s="26">
        <f t="shared" si="73"/>
        <v>12507.200000000004</v>
      </c>
      <c r="M456" s="26">
        <f t="shared" si="73"/>
        <v>350609.5</v>
      </c>
    </row>
    <row r="457" spans="1:15" s="147" customFormat="1" ht="36" customHeight="1" x14ac:dyDescent="0.35">
      <c r="A457" s="11"/>
      <c r="B457" s="24" t="s">
        <v>268</v>
      </c>
      <c r="C457" s="25" t="s">
        <v>448</v>
      </c>
      <c r="D457" s="10" t="s">
        <v>225</v>
      </c>
      <c r="E457" s="10" t="s">
        <v>38</v>
      </c>
      <c r="F457" s="651" t="s">
        <v>40</v>
      </c>
      <c r="G457" s="652" t="s">
        <v>46</v>
      </c>
      <c r="H457" s="652" t="s">
        <v>38</v>
      </c>
      <c r="I457" s="653" t="s">
        <v>45</v>
      </c>
      <c r="J457" s="10"/>
      <c r="K457" s="26">
        <f>K466+K468+K458+K462+K460+K464</f>
        <v>338102.3</v>
      </c>
      <c r="L457" s="26">
        <f>L466+L468+L458+L462+L460+L464</f>
        <v>12507.200000000004</v>
      </c>
      <c r="M457" s="26">
        <f>M466+M468+M458+M462+M460+M464</f>
        <v>350609.5</v>
      </c>
      <c r="N457" s="218"/>
    </row>
    <row r="458" spans="1:15" s="143" customFormat="1" ht="37.5" customHeight="1" x14ac:dyDescent="0.35">
      <c r="A458" s="11"/>
      <c r="B458" s="27" t="s">
        <v>490</v>
      </c>
      <c r="C458" s="25" t="s">
        <v>448</v>
      </c>
      <c r="D458" s="10" t="s">
        <v>225</v>
      </c>
      <c r="E458" s="10" t="s">
        <v>38</v>
      </c>
      <c r="F458" s="651" t="s">
        <v>40</v>
      </c>
      <c r="G458" s="652" t="s">
        <v>46</v>
      </c>
      <c r="H458" s="652" t="s">
        <v>38</v>
      </c>
      <c r="I458" s="653" t="s">
        <v>92</v>
      </c>
      <c r="J458" s="10"/>
      <c r="K458" s="26">
        <f>K459</f>
        <v>91006.099999999991</v>
      </c>
      <c r="L458" s="26">
        <f>L459</f>
        <v>5310.3000000000029</v>
      </c>
      <c r="M458" s="26">
        <f>M459</f>
        <v>96316.4</v>
      </c>
      <c r="N458" s="219"/>
    </row>
    <row r="459" spans="1:15" s="143" customFormat="1" ht="54" customHeight="1" x14ac:dyDescent="0.35">
      <c r="A459" s="11"/>
      <c r="B459" s="24" t="s">
        <v>77</v>
      </c>
      <c r="C459" s="25" t="s">
        <v>448</v>
      </c>
      <c r="D459" s="10" t="s">
        <v>225</v>
      </c>
      <c r="E459" s="10" t="s">
        <v>38</v>
      </c>
      <c r="F459" s="651" t="s">
        <v>40</v>
      </c>
      <c r="G459" s="652" t="s">
        <v>46</v>
      </c>
      <c r="H459" s="652" t="s">
        <v>38</v>
      </c>
      <c r="I459" s="653" t="s">
        <v>92</v>
      </c>
      <c r="J459" s="10" t="s">
        <v>78</v>
      </c>
      <c r="K459" s="26">
        <f>88539.9+546.3+1208+180+531.9</f>
        <v>91006.099999999991</v>
      </c>
      <c r="L459" s="26">
        <f>M459-K459</f>
        <v>5310.3000000000029</v>
      </c>
      <c r="M459" s="26">
        <f>88539.9+546.3+1208+180+531.9+1848.8+1142.8+774.9+1057+10+476.8</f>
        <v>96316.4</v>
      </c>
      <c r="N459" s="219"/>
    </row>
    <row r="460" spans="1:15" s="143" customFormat="1" ht="19.2" customHeight="1" x14ac:dyDescent="0.35">
      <c r="A460" s="11"/>
      <c r="B460" s="24" t="s">
        <v>491</v>
      </c>
      <c r="C460" s="25" t="s">
        <v>448</v>
      </c>
      <c r="D460" s="10" t="s">
        <v>225</v>
      </c>
      <c r="E460" s="10" t="s">
        <v>38</v>
      </c>
      <c r="F460" s="651" t="s">
        <v>40</v>
      </c>
      <c r="G460" s="652" t="s">
        <v>46</v>
      </c>
      <c r="H460" s="652" t="s">
        <v>38</v>
      </c>
      <c r="I460" s="653" t="s">
        <v>394</v>
      </c>
      <c r="J460" s="10"/>
      <c r="K460" s="26">
        <f>K461</f>
        <v>5101.8</v>
      </c>
      <c r="L460" s="26">
        <f>L461</f>
        <v>571.5</v>
      </c>
      <c r="M460" s="26">
        <f>M461</f>
        <v>5673.3</v>
      </c>
      <c r="N460" s="219"/>
    </row>
    <row r="461" spans="1:15" s="143" customFormat="1" ht="54" customHeight="1" x14ac:dyDescent="0.35">
      <c r="A461" s="11"/>
      <c r="B461" s="24" t="s">
        <v>77</v>
      </c>
      <c r="C461" s="25" t="s">
        <v>448</v>
      </c>
      <c r="D461" s="10" t="s">
        <v>225</v>
      </c>
      <c r="E461" s="10" t="s">
        <v>38</v>
      </c>
      <c r="F461" s="651" t="s">
        <v>40</v>
      </c>
      <c r="G461" s="652" t="s">
        <v>46</v>
      </c>
      <c r="H461" s="652" t="s">
        <v>38</v>
      </c>
      <c r="I461" s="653" t="s">
        <v>394</v>
      </c>
      <c r="J461" s="10" t="s">
        <v>78</v>
      </c>
      <c r="K461" s="26">
        <f>2122.9+874.2+473.9+113.8+682.2+296.9+10.108+47.55+2.955+70.487+310.4+96.4</f>
        <v>5101.8</v>
      </c>
      <c r="L461" s="26">
        <f>M461-K461</f>
        <v>571.5</v>
      </c>
      <c r="M461" s="26">
        <f>2122.9+874.2+473.9+113.8+682.2+296.9+10.108+47.55+2.955+70.487+310.4+96.4+571.5</f>
        <v>5673.3</v>
      </c>
      <c r="N461" s="219"/>
    </row>
    <row r="462" spans="1:15" s="147" customFormat="1" ht="54" customHeight="1" x14ac:dyDescent="0.35">
      <c r="A462" s="11"/>
      <c r="B462" s="24" t="s">
        <v>208</v>
      </c>
      <c r="C462" s="25" t="s">
        <v>448</v>
      </c>
      <c r="D462" s="10" t="s">
        <v>225</v>
      </c>
      <c r="E462" s="10" t="s">
        <v>38</v>
      </c>
      <c r="F462" s="651" t="s">
        <v>40</v>
      </c>
      <c r="G462" s="652" t="s">
        <v>46</v>
      </c>
      <c r="H462" s="652" t="s">
        <v>38</v>
      </c>
      <c r="I462" s="653" t="s">
        <v>274</v>
      </c>
      <c r="J462" s="10"/>
      <c r="K462" s="26">
        <f>K463</f>
        <v>27019.9</v>
      </c>
      <c r="L462" s="26">
        <f>L463</f>
        <v>6565.4000000000015</v>
      </c>
      <c r="M462" s="26">
        <f>M463</f>
        <v>33585.300000000003</v>
      </c>
      <c r="N462" s="218"/>
    </row>
    <row r="463" spans="1:15" s="147" customFormat="1" ht="54" customHeight="1" x14ac:dyDescent="0.35">
      <c r="A463" s="11"/>
      <c r="B463" s="24" t="s">
        <v>77</v>
      </c>
      <c r="C463" s="25" t="s">
        <v>448</v>
      </c>
      <c r="D463" s="10" t="s">
        <v>225</v>
      </c>
      <c r="E463" s="10" t="s">
        <v>38</v>
      </c>
      <c r="F463" s="651" t="s">
        <v>40</v>
      </c>
      <c r="G463" s="652" t="s">
        <v>46</v>
      </c>
      <c r="H463" s="652" t="s">
        <v>38</v>
      </c>
      <c r="I463" s="653" t="s">
        <v>274</v>
      </c>
      <c r="J463" s="10" t="s">
        <v>78</v>
      </c>
      <c r="K463" s="26">
        <f>26718.2+12+26.3+225.4+38</f>
        <v>27019.9</v>
      </c>
      <c r="L463" s="26">
        <f>M463-K463</f>
        <v>6565.4000000000015</v>
      </c>
      <c r="M463" s="26">
        <f>26718.2+12+26.3+225.4+38+1218+5009+338.4</f>
        <v>33585.300000000003</v>
      </c>
      <c r="N463" s="218"/>
    </row>
    <row r="464" spans="1:15" s="147" customFormat="1" ht="37.200000000000003" customHeight="1" x14ac:dyDescent="0.35">
      <c r="A464" s="11"/>
      <c r="B464" s="24" t="s">
        <v>209</v>
      </c>
      <c r="C464" s="25" t="s">
        <v>448</v>
      </c>
      <c r="D464" s="10" t="s">
        <v>225</v>
      </c>
      <c r="E464" s="10" t="s">
        <v>38</v>
      </c>
      <c r="F464" s="651" t="s">
        <v>40</v>
      </c>
      <c r="G464" s="652" t="s">
        <v>46</v>
      </c>
      <c r="H464" s="652" t="s">
        <v>38</v>
      </c>
      <c r="I464" s="653" t="s">
        <v>275</v>
      </c>
      <c r="J464" s="10"/>
      <c r="K464" s="26">
        <f>K465</f>
        <v>178.9</v>
      </c>
      <c r="L464" s="26">
        <f>L465</f>
        <v>60</v>
      </c>
      <c r="M464" s="26">
        <f>M465</f>
        <v>238.9</v>
      </c>
      <c r="N464" s="218"/>
    </row>
    <row r="465" spans="1:14" s="143" customFormat="1" ht="54" customHeight="1" x14ac:dyDescent="0.35">
      <c r="A465" s="11"/>
      <c r="B465" s="24" t="s">
        <v>77</v>
      </c>
      <c r="C465" s="25" t="s">
        <v>448</v>
      </c>
      <c r="D465" s="10" t="s">
        <v>225</v>
      </c>
      <c r="E465" s="10" t="s">
        <v>38</v>
      </c>
      <c r="F465" s="651" t="s">
        <v>40</v>
      </c>
      <c r="G465" s="652" t="s">
        <v>46</v>
      </c>
      <c r="H465" s="652" t="s">
        <v>38</v>
      </c>
      <c r="I465" s="653" t="s">
        <v>275</v>
      </c>
      <c r="J465" s="10" t="s">
        <v>78</v>
      </c>
      <c r="K465" s="26">
        <v>178.9</v>
      </c>
      <c r="L465" s="26">
        <f>M465-K465</f>
        <v>60</v>
      </c>
      <c r="M465" s="26">
        <f>178.9+60</f>
        <v>238.9</v>
      </c>
      <c r="N465" s="219"/>
    </row>
    <row r="466" spans="1:14" s="147" customFormat="1" ht="178.2" customHeight="1" x14ac:dyDescent="0.35">
      <c r="A466" s="11"/>
      <c r="B466" s="24" t="s">
        <v>269</v>
      </c>
      <c r="C466" s="25" t="s">
        <v>448</v>
      </c>
      <c r="D466" s="10" t="s">
        <v>225</v>
      </c>
      <c r="E466" s="10" t="s">
        <v>38</v>
      </c>
      <c r="F466" s="651" t="s">
        <v>40</v>
      </c>
      <c r="G466" s="652" t="s">
        <v>46</v>
      </c>
      <c r="H466" s="652" t="s">
        <v>38</v>
      </c>
      <c r="I466" s="653" t="s">
        <v>270</v>
      </c>
      <c r="J466" s="10"/>
      <c r="K466" s="26">
        <f>K467</f>
        <v>549.29999999999995</v>
      </c>
      <c r="L466" s="26">
        <f>L467</f>
        <v>0</v>
      </c>
      <c r="M466" s="26">
        <f>M467</f>
        <v>549.29999999999995</v>
      </c>
      <c r="N466" s="218"/>
    </row>
    <row r="467" spans="1:14" s="147" customFormat="1" ht="54" customHeight="1" x14ac:dyDescent="0.35">
      <c r="A467" s="11"/>
      <c r="B467" s="24" t="s">
        <v>77</v>
      </c>
      <c r="C467" s="25" t="s">
        <v>448</v>
      </c>
      <c r="D467" s="10" t="s">
        <v>225</v>
      </c>
      <c r="E467" s="10" t="s">
        <v>38</v>
      </c>
      <c r="F467" s="651" t="s">
        <v>40</v>
      </c>
      <c r="G467" s="652" t="s">
        <v>46</v>
      </c>
      <c r="H467" s="652" t="s">
        <v>38</v>
      </c>
      <c r="I467" s="653" t="s">
        <v>270</v>
      </c>
      <c r="J467" s="10" t="s">
        <v>78</v>
      </c>
      <c r="K467" s="26">
        <v>549.29999999999995</v>
      </c>
      <c r="L467" s="26">
        <f>M467-K467</f>
        <v>0</v>
      </c>
      <c r="M467" s="26">
        <v>549.29999999999995</v>
      </c>
    </row>
    <row r="468" spans="1:14" s="147" customFormat="1" ht="104.4" customHeight="1" x14ac:dyDescent="0.35">
      <c r="A468" s="11"/>
      <c r="B468" s="24" t="s">
        <v>352</v>
      </c>
      <c r="C468" s="25" t="s">
        <v>448</v>
      </c>
      <c r="D468" s="10" t="s">
        <v>225</v>
      </c>
      <c r="E468" s="10" t="s">
        <v>38</v>
      </c>
      <c r="F468" s="651" t="s">
        <v>40</v>
      </c>
      <c r="G468" s="652" t="s">
        <v>46</v>
      </c>
      <c r="H468" s="652" t="s">
        <v>38</v>
      </c>
      <c r="I468" s="653" t="s">
        <v>271</v>
      </c>
      <c r="J468" s="10"/>
      <c r="K468" s="26">
        <f>K469</f>
        <v>214246.3</v>
      </c>
      <c r="L468" s="26">
        <f>L469</f>
        <v>0</v>
      </c>
      <c r="M468" s="26">
        <f>M469</f>
        <v>214246.3</v>
      </c>
    </row>
    <row r="469" spans="1:14" s="147" customFormat="1" ht="54" customHeight="1" x14ac:dyDescent="0.35">
      <c r="A469" s="11"/>
      <c r="B469" s="24" t="s">
        <v>77</v>
      </c>
      <c r="C469" s="25" t="s">
        <v>448</v>
      </c>
      <c r="D469" s="10" t="s">
        <v>225</v>
      </c>
      <c r="E469" s="10" t="s">
        <v>38</v>
      </c>
      <c r="F469" s="651" t="s">
        <v>40</v>
      </c>
      <c r="G469" s="652" t="s">
        <v>46</v>
      </c>
      <c r="H469" s="652" t="s">
        <v>38</v>
      </c>
      <c r="I469" s="653" t="s">
        <v>271</v>
      </c>
      <c r="J469" s="10" t="s">
        <v>78</v>
      </c>
      <c r="K469" s="26">
        <v>214246.3</v>
      </c>
      <c r="L469" s="26">
        <f>M469-K469</f>
        <v>0</v>
      </c>
      <c r="M469" s="26">
        <v>214246.3</v>
      </c>
    </row>
    <row r="470" spans="1:14" s="143" customFormat="1" ht="54" customHeight="1" x14ac:dyDescent="0.35">
      <c r="A470" s="11"/>
      <c r="B470" s="24" t="s">
        <v>81</v>
      </c>
      <c r="C470" s="25" t="s">
        <v>448</v>
      </c>
      <c r="D470" s="10" t="s">
        <v>225</v>
      </c>
      <c r="E470" s="10" t="s">
        <v>38</v>
      </c>
      <c r="F470" s="651" t="s">
        <v>82</v>
      </c>
      <c r="G470" s="652" t="s">
        <v>43</v>
      </c>
      <c r="H470" s="652" t="s">
        <v>44</v>
      </c>
      <c r="I470" s="653" t="s">
        <v>45</v>
      </c>
      <c r="J470" s="10"/>
      <c r="K470" s="26">
        <f t="shared" ref="K470:M471" si="74">K471</f>
        <v>1728.7</v>
      </c>
      <c r="L470" s="26">
        <f t="shared" si="74"/>
        <v>0</v>
      </c>
      <c r="M470" s="26">
        <f t="shared" si="74"/>
        <v>1728.7</v>
      </c>
    </row>
    <row r="471" spans="1:14" s="147" customFormat="1" ht="38.25" customHeight="1" x14ac:dyDescent="0.35">
      <c r="A471" s="11"/>
      <c r="B471" s="24" t="s">
        <v>126</v>
      </c>
      <c r="C471" s="25" t="s">
        <v>448</v>
      </c>
      <c r="D471" s="10" t="s">
        <v>225</v>
      </c>
      <c r="E471" s="10" t="s">
        <v>38</v>
      </c>
      <c r="F471" s="651" t="s">
        <v>82</v>
      </c>
      <c r="G471" s="652" t="s">
        <v>90</v>
      </c>
      <c r="H471" s="652" t="s">
        <v>44</v>
      </c>
      <c r="I471" s="653" t="s">
        <v>45</v>
      </c>
      <c r="J471" s="10"/>
      <c r="K471" s="26">
        <f t="shared" si="74"/>
        <v>1728.7</v>
      </c>
      <c r="L471" s="26">
        <f t="shared" si="74"/>
        <v>0</v>
      </c>
      <c r="M471" s="26">
        <f t="shared" si="74"/>
        <v>1728.7</v>
      </c>
    </row>
    <row r="472" spans="1:14" s="147" customFormat="1" ht="38.25" customHeight="1" x14ac:dyDescent="0.35">
      <c r="A472" s="11"/>
      <c r="B472" s="24" t="s">
        <v>272</v>
      </c>
      <c r="C472" s="25" t="s">
        <v>448</v>
      </c>
      <c r="D472" s="10" t="s">
        <v>225</v>
      </c>
      <c r="E472" s="10" t="s">
        <v>38</v>
      </c>
      <c r="F472" s="651" t="s">
        <v>82</v>
      </c>
      <c r="G472" s="652" t="s">
        <v>90</v>
      </c>
      <c r="H472" s="652" t="s">
        <v>38</v>
      </c>
      <c r="I472" s="653" t="s">
        <v>45</v>
      </c>
      <c r="J472" s="10"/>
      <c r="K472" s="26">
        <f>K473+K475</f>
        <v>1728.7</v>
      </c>
      <c r="L472" s="26">
        <f>L473</f>
        <v>0</v>
      </c>
      <c r="M472" s="26">
        <f>M473+M475</f>
        <v>1728.7</v>
      </c>
    </row>
    <row r="473" spans="1:14" s="147" customFormat="1" ht="38.25" customHeight="1" x14ac:dyDescent="0.35">
      <c r="A473" s="11"/>
      <c r="B473" s="24" t="s">
        <v>491</v>
      </c>
      <c r="C473" s="25" t="s">
        <v>448</v>
      </c>
      <c r="D473" s="10" t="s">
        <v>225</v>
      </c>
      <c r="E473" s="10" t="s">
        <v>38</v>
      </c>
      <c r="F473" s="651" t="s">
        <v>82</v>
      </c>
      <c r="G473" s="652" t="s">
        <v>90</v>
      </c>
      <c r="H473" s="652" t="s">
        <v>38</v>
      </c>
      <c r="I473" s="653" t="s">
        <v>394</v>
      </c>
      <c r="J473" s="10"/>
      <c r="K473" s="26">
        <f>K474</f>
        <v>412.8</v>
      </c>
      <c r="L473" s="26">
        <f>L474</f>
        <v>0</v>
      </c>
      <c r="M473" s="26">
        <f>M474</f>
        <v>412.8</v>
      </c>
    </row>
    <row r="474" spans="1:14" s="147" customFormat="1" ht="54" x14ac:dyDescent="0.35">
      <c r="A474" s="11"/>
      <c r="B474" s="24" t="s">
        <v>77</v>
      </c>
      <c r="C474" s="25" t="s">
        <v>448</v>
      </c>
      <c r="D474" s="10" t="s">
        <v>225</v>
      </c>
      <c r="E474" s="10" t="s">
        <v>38</v>
      </c>
      <c r="F474" s="651" t="s">
        <v>82</v>
      </c>
      <c r="G474" s="652" t="s">
        <v>90</v>
      </c>
      <c r="H474" s="652" t="s">
        <v>38</v>
      </c>
      <c r="I474" s="653" t="s">
        <v>394</v>
      </c>
      <c r="J474" s="10" t="s">
        <v>78</v>
      </c>
      <c r="K474" s="26">
        <v>412.8</v>
      </c>
      <c r="L474" s="26">
        <f>M474-K474</f>
        <v>0</v>
      </c>
      <c r="M474" s="26">
        <v>412.8</v>
      </c>
    </row>
    <row r="475" spans="1:14" s="147" customFormat="1" ht="30.75" customHeight="1" x14ac:dyDescent="0.35">
      <c r="A475" s="11"/>
      <c r="B475" s="24" t="s">
        <v>452</v>
      </c>
      <c r="C475" s="25" t="s">
        <v>448</v>
      </c>
      <c r="D475" s="10" t="s">
        <v>225</v>
      </c>
      <c r="E475" s="10" t="s">
        <v>38</v>
      </c>
      <c r="F475" s="651" t="s">
        <v>82</v>
      </c>
      <c r="G475" s="652" t="s">
        <v>90</v>
      </c>
      <c r="H475" s="652" t="s">
        <v>38</v>
      </c>
      <c r="I475" s="653" t="s">
        <v>453</v>
      </c>
      <c r="J475" s="10"/>
      <c r="K475" s="26">
        <f>K476</f>
        <v>1315.9</v>
      </c>
      <c r="L475" s="26">
        <f>L476</f>
        <v>0</v>
      </c>
      <c r="M475" s="26">
        <f>M476</f>
        <v>1315.9</v>
      </c>
    </row>
    <row r="476" spans="1:14" s="147" customFormat="1" ht="52.5" customHeight="1" x14ac:dyDescent="0.35">
      <c r="A476" s="11"/>
      <c r="B476" s="24" t="s">
        <v>77</v>
      </c>
      <c r="C476" s="25" t="s">
        <v>448</v>
      </c>
      <c r="D476" s="10" t="s">
        <v>225</v>
      </c>
      <c r="E476" s="10" t="s">
        <v>38</v>
      </c>
      <c r="F476" s="651" t="s">
        <v>82</v>
      </c>
      <c r="G476" s="652" t="s">
        <v>90</v>
      </c>
      <c r="H476" s="652" t="s">
        <v>38</v>
      </c>
      <c r="I476" s="653" t="s">
        <v>453</v>
      </c>
      <c r="J476" s="10" t="s">
        <v>78</v>
      </c>
      <c r="K476" s="26">
        <v>1315.9</v>
      </c>
      <c r="L476" s="26">
        <f>M476-K476</f>
        <v>0</v>
      </c>
      <c r="M476" s="26">
        <v>1315.9</v>
      </c>
    </row>
    <row r="477" spans="1:14" s="147" customFormat="1" ht="54" customHeight="1" x14ac:dyDescent="0.35">
      <c r="A477" s="11"/>
      <c r="B477" s="24" t="s">
        <v>234</v>
      </c>
      <c r="C477" s="25" t="s">
        <v>448</v>
      </c>
      <c r="D477" s="10" t="s">
        <v>225</v>
      </c>
      <c r="E477" s="10" t="s">
        <v>38</v>
      </c>
      <c r="F477" s="651" t="s">
        <v>235</v>
      </c>
      <c r="G477" s="652" t="s">
        <v>43</v>
      </c>
      <c r="H477" s="652" t="s">
        <v>44</v>
      </c>
      <c r="I477" s="653" t="s">
        <v>45</v>
      </c>
      <c r="J477" s="10"/>
      <c r="K477" s="26">
        <f t="shared" ref="K477:M480" si="75">K478</f>
        <v>53.4</v>
      </c>
      <c r="L477" s="26">
        <f t="shared" si="75"/>
        <v>0</v>
      </c>
      <c r="M477" s="26">
        <f t="shared" si="75"/>
        <v>53.4</v>
      </c>
    </row>
    <row r="478" spans="1:14" s="147" customFormat="1" ht="36" customHeight="1" x14ac:dyDescent="0.35">
      <c r="A478" s="11"/>
      <c r="B478" s="24" t="s">
        <v>343</v>
      </c>
      <c r="C478" s="25" t="s">
        <v>448</v>
      </c>
      <c r="D478" s="10" t="s">
        <v>225</v>
      </c>
      <c r="E478" s="10" t="s">
        <v>38</v>
      </c>
      <c r="F478" s="651" t="s">
        <v>235</v>
      </c>
      <c r="G478" s="652" t="s">
        <v>46</v>
      </c>
      <c r="H478" s="652" t="s">
        <v>44</v>
      </c>
      <c r="I478" s="653" t="s">
        <v>45</v>
      </c>
      <c r="J478" s="10"/>
      <c r="K478" s="26">
        <f t="shared" si="75"/>
        <v>53.4</v>
      </c>
      <c r="L478" s="26">
        <f t="shared" si="75"/>
        <v>0</v>
      </c>
      <c r="M478" s="26">
        <f t="shared" si="75"/>
        <v>53.4</v>
      </c>
    </row>
    <row r="479" spans="1:14" s="147" customFormat="1" ht="72.599999999999994" customHeight="1" x14ac:dyDescent="0.35">
      <c r="A479" s="11"/>
      <c r="B479" s="24" t="s">
        <v>287</v>
      </c>
      <c r="C479" s="25" t="s">
        <v>448</v>
      </c>
      <c r="D479" s="10" t="s">
        <v>225</v>
      </c>
      <c r="E479" s="10" t="s">
        <v>38</v>
      </c>
      <c r="F479" s="651" t="s">
        <v>235</v>
      </c>
      <c r="G479" s="652" t="s">
        <v>46</v>
      </c>
      <c r="H479" s="652" t="s">
        <v>38</v>
      </c>
      <c r="I479" s="653" t="s">
        <v>45</v>
      </c>
      <c r="J479" s="10"/>
      <c r="K479" s="26">
        <f>K480</f>
        <v>53.4</v>
      </c>
      <c r="L479" s="26">
        <f>L480</f>
        <v>0</v>
      </c>
      <c r="M479" s="26">
        <f>M480</f>
        <v>53.4</v>
      </c>
    </row>
    <row r="480" spans="1:14" s="147" customFormat="1" ht="36" customHeight="1" x14ac:dyDescent="0.35">
      <c r="A480" s="11"/>
      <c r="B480" s="24" t="s">
        <v>236</v>
      </c>
      <c r="C480" s="25" t="s">
        <v>448</v>
      </c>
      <c r="D480" s="10" t="s">
        <v>225</v>
      </c>
      <c r="E480" s="10" t="s">
        <v>38</v>
      </c>
      <c r="F480" s="651" t="s">
        <v>235</v>
      </c>
      <c r="G480" s="652" t="s">
        <v>46</v>
      </c>
      <c r="H480" s="652" t="s">
        <v>38</v>
      </c>
      <c r="I480" s="653" t="s">
        <v>281</v>
      </c>
      <c r="J480" s="10"/>
      <c r="K480" s="26">
        <f t="shared" si="75"/>
        <v>53.4</v>
      </c>
      <c r="L480" s="26">
        <f t="shared" si="75"/>
        <v>0</v>
      </c>
      <c r="M480" s="26">
        <f t="shared" si="75"/>
        <v>53.4</v>
      </c>
    </row>
    <row r="481" spans="1:13" s="147" customFormat="1" ht="54" customHeight="1" x14ac:dyDescent="0.35">
      <c r="A481" s="11"/>
      <c r="B481" s="24" t="s">
        <v>77</v>
      </c>
      <c r="C481" s="25" t="s">
        <v>448</v>
      </c>
      <c r="D481" s="10" t="s">
        <v>225</v>
      </c>
      <c r="E481" s="10" t="s">
        <v>38</v>
      </c>
      <c r="F481" s="651" t="s">
        <v>235</v>
      </c>
      <c r="G481" s="652" t="s">
        <v>46</v>
      </c>
      <c r="H481" s="652" t="s">
        <v>38</v>
      </c>
      <c r="I481" s="653" t="s">
        <v>281</v>
      </c>
      <c r="J481" s="10" t="s">
        <v>78</v>
      </c>
      <c r="K481" s="26">
        <v>53.4</v>
      </c>
      <c r="L481" s="26">
        <f>M481-K481</f>
        <v>0</v>
      </c>
      <c r="M481" s="26">
        <v>53.4</v>
      </c>
    </row>
    <row r="482" spans="1:13" s="147" customFormat="1" ht="18" customHeight="1" x14ac:dyDescent="0.35">
      <c r="A482" s="11"/>
      <c r="B482" s="24" t="s">
        <v>184</v>
      </c>
      <c r="C482" s="25" t="s">
        <v>448</v>
      </c>
      <c r="D482" s="10" t="s">
        <v>225</v>
      </c>
      <c r="E482" s="10" t="s">
        <v>40</v>
      </c>
      <c r="F482" s="651"/>
      <c r="G482" s="652"/>
      <c r="H482" s="652"/>
      <c r="I482" s="653"/>
      <c r="J482" s="10"/>
      <c r="K482" s="26">
        <f>K483+K535</f>
        <v>672477.50900000019</v>
      </c>
      <c r="L482" s="26">
        <f>L483+L535</f>
        <v>8466.5000000000036</v>
      </c>
      <c r="M482" s="26">
        <f>M483+M535</f>
        <v>680944.00900000008</v>
      </c>
    </row>
    <row r="483" spans="1:13" s="147" customFormat="1" ht="54" customHeight="1" x14ac:dyDescent="0.35">
      <c r="A483" s="11"/>
      <c r="B483" s="24" t="s">
        <v>206</v>
      </c>
      <c r="C483" s="25" t="s">
        <v>448</v>
      </c>
      <c r="D483" s="10" t="s">
        <v>225</v>
      </c>
      <c r="E483" s="10" t="s">
        <v>40</v>
      </c>
      <c r="F483" s="651" t="s">
        <v>40</v>
      </c>
      <c r="G483" s="652" t="s">
        <v>43</v>
      </c>
      <c r="H483" s="652" t="s">
        <v>44</v>
      </c>
      <c r="I483" s="653" t="s">
        <v>45</v>
      </c>
      <c r="J483" s="10"/>
      <c r="K483" s="26">
        <f>K484+K530</f>
        <v>662339.70900000015</v>
      </c>
      <c r="L483" s="26">
        <f>L484+L530</f>
        <v>8466.5000000000036</v>
      </c>
      <c r="M483" s="26">
        <f>M484+M530</f>
        <v>670806.20900000003</v>
      </c>
    </row>
    <row r="484" spans="1:13" s="147" customFormat="1" ht="36" customHeight="1" x14ac:dyDescent="0.35">
      <c r="A484" s="11"/>
      <c r="B484" s="24" t="s">
        <v>207</v>
      </c>
      <c r="C484" s="25" t="s">
        <v>448</v>
      </c>
      <c r="D484" s="10" t="s">
        <v>225</v>
      </c>
      <c r="E484" s="10" t="s">
        <v>40</v>
      </c>
      <c r="F484" s="651" t="s">
        <v>40</v>
      </c>
      <c r="G484" s="652" t="s">
        <v>46</v>
      </c>
      <c r="H484" s="652" t="s">
        <v>44</v>
      </c>
      <c r="I484" s="653" t="s">
        <v>45</v>
      </c>
      <c r="J484" s="10"/>
      <c r="K484" s="26">
        <f>K485</f>
        <v>659264.9090000001</v>
      </c>
      <c r="L484" s="26">
        <f>L485</f>
        <v>8466.5000000000036</v>
      </c>
      <c r="M484" s="26">
        <f>M485</f>
        <v>667731.40899999999</v>
      </c>
    </row>
    <row r="485" spans="1:13" s="147" customFormat="1" ht="18.75" customHeight="1" x14ac:dyDescent="0.35">
      <c r="A485" s="11"/>
      <c r="B485" s="24" t="s">
        <v>273</v>
      </c>
      <c r="C485" s="25" t="s">
        <v>448</v>
      </c>
      <c r="D485" s="10" t="s">
        <v>225</v>
      </c>
      <c r="E485" s="10" t="s">
        <v>40</v>
      </c>
      <c r="F485" s="651" t="s">
        <v>40</v>
      </c>
      <c r="G485" s="652" t="s">
        <v>46</v>
      </c>
      <c r="H485" s="652" t="s">
        <v>40</v>
      </c>
      <c r="I485" s="653" t="s">
        <v>45</v>
      </c>
      <c r="J485" s="10"/>
      <c r="K485" s="26">
        <f>K494+K497+K506+K510+K514+K486+K491+K523+K503+K501+K526+K520+K517</f>
        <v>659264.9090000001</v>
      </c>
      <c r="L485" s="26">
        <f>L494+L497+L506+L510+L514+L486+L491+L523+L503+L501+L526+L520+L517</f>
        <v>8466.5000000000036</v>
      </c>
      <c r="M485" s="26">
        <f>M494+M497+M506+M510+M514+M486+M491+M523+M503+M501+M526+M520+M517</f>
        <v>667731.40899999999</v>
      </c>
    </row>
    <row r="486" spans="1:13" s="143" customFormat="1" ht="35.25" customHeight="1" x14ac:dyDescent="0.35">
      <c r="A486" s="11"/>
      <c r="B486" s="27" t="s">
        <v>490</v>
      </c>
      <c r="C486" s="25" t="s">
        <v>448</v>
      </c>
      <c r="D486" s="10" t="s">
        <v>225</v>
      </c>
      <c r="E486" s="10" t="s">
        <v>40</v>
      </c>
      <c r="F486" s="651" t="s">
        <v>40</v>
      </c>
      <c r="G486" s="652" t="s">
        <v>46</v>
      </c>
      <c r="H486" s="652" t="s">
        <v>40</v>
      </c>
      <c r="I486" s="653" t="s">
        <v>92</v>
      </c>
      <c r="J486" s="10"/>
      <c r="K486" s="26">
        <f>K489+K490+K488+K487</f>
        <v>69542.808999999994</v>
      </c>
      <c r="L486" s="26">
        <f>L489+L490+L488+L487</f>
        <v>2802.5000000000009</v>
      </c>
      <c r="M486" s="26">
        <f>M489+M490+M488+M487</f>
        <v>72345.308999999979</v>
      </c>
    </row>
    <row r="487" spans="1:13" s="143" customFormat="1" ht="103.95" customHeight="1" x14ac:dyDescent="0.35">
      <c r="A487" s="11"/>
      <c r="B487" s="24" t="s">
        <v>50</v>
      </c>
      <c r="C487" s="25" t="s">
        <v>448</v>
      </c>
      <c r="D487" s="10" t="s">
        <v>225</v>
      </c>
      <c r="E487" s="10" t="s">
        <v>40</v>
      </c>
      <c r="F487" s="651" t="s">
        <v>40</v>
      </c>
      <c r="G487" s="652" t="s">
        <v>46</v>
      </c>
      <c r="H487" s="652" t="s">
        <v>40</v>
      </c>
      <c r="I487" s="653" t="s">
        <v>92</v>
      </c>
      <c r="J487" s="10" t="s">
        <v>51</v>
      </c>
      <c r="K487" s="26">
        <f>319.1+6.4</f>
        <v>325.5</v>
      </c>
      <c r="L487" s="26">
        <f>M487-K487</f>
        <v>19</v>
      </c>
      <c r="M487" s="26">
        <f>319.1+6.4+19</f>
        <v>344.5</v>
      </c>
    </row>
    <row r="488" spans="1:13" s="143" customFormat="1" ht="56.25" customHeight="1" x14ac:dyDescent="0.35">
      <c r="A488" s="11"/>
      <c r="B488" s="24" t="s">
        <v>56</v>
      </c>
      <c r="C488" s="25" t="s">
        <v>448</v>
      </c>
      <c r="D488" s="10" t="s">
        <v>225</v>
      </c>
      <c r="E488" s="10" t="s">
        <v>40</v>
      </c>
      <c r="F488" s="651" t="s">
        <v>40</v>
      </c>
      <c r="G488" s="652" t="s">
        <v>46</v>
      </c>
      <c r="H488" s="652" t="s">
        <v>40</v>
      </c>
      <c r="I488" s="653" t="s">
        <v>92</v>
      </c>
      <c r="J488" s="10" t="s">
        <v>57</v>
      </c>
      <c r="K488" s="26">
        <f>5512.9+137.709-90-0.1+193.5+121.5</f>
        <v>5875.5089999999991</v>
      </c>
      <c r="L488" s="26">
        <f>M488-K488</f>
        <v>309.09999999999945</v>
      </c>
      <c r="M488" s="26">
        <f>5512.9+137.709-90-0.1+193.5+121.5+122.8+26.9+89.2+70.2</f>
        <v>6184.6089999999986</v>
      </c>
    </row>
    <row r="489" spans="1:13" s="143" customFormat="1" ht="56.25" customHeight="1" x14ac:dyDescent="0.35">
      <c r="A489" s="11"/>
      <c r="B489" s="24" t="s">
        <v>77</v>
      </c>
      <c r="C489" s="25" t="s">
        <v>448</v>
      </c>
      <c r="D489" s="10" t="s">
        <v>225</v>
      </c>
      <c r="E489" s="10" t="s">
        <v>40</v>
      </c>
      <c r="F489" s="651" t="s">
        <v>40</v>
      </c>
      <c r="G489" s="652" t="s">
        <v>46</v>
      </c>
      <c r="H489" s="652" t="s">
        <v>40</v>
      </c>
      <c r="I489" s="653" t="s">
        <v>92</v>
      </c>
      <c r="J489" s="10" t="s">
        <v>78</v>
      </c>
      <c r="K489" s="26">
        <f>61585.5+81.7+95.2+30-299.8+1182.7</f>
        <v>62675.299999999988</v>
      </c>
      <c r="L489" s="26">
        <f>M489-K489</f>
        <v>2474.4000000000015</v>
      </c>
      <c r="M489" s="26">
        <f>61585.5+81.7+95.2+30-299.8+1182.7+238+816.2+652.9+54+713.3</f>
        <v>65149.69999999999</v>
      </c>
    </row>
    <row r="490" spans="1:13" s="143" customFormat="1" ht="18.75" customHeight="1" x14ac:dyDescent="0.35">
      <c r="A490" s="11"/>
      <c r="B490" s="24" t="s">
        <v>58</v>
      </c>
      <c r="C490" s="25" t="s">
        <v>448</v>
      </c>
      <c r="D490" s="10" t="s">
        <v>225</v>
      </c>
      <c r="E490" s="10" t="s">
        <v>40</v>
      </c>
      <c r="F490" s="651" t="s">
        <v>40</v>
      </c>
      <c r="G490" s="652" t="s">
        <v>46</v>
      </c>
      <c r="H490" s="652" t="s">
        <v>40</v>
      </c>
      <c r="I490" s="653" t="s">
        <v>92</v>
      </c>
      <c r="J490" s="10" t="s">
        <v>59</v>
      </c>
      <c r="K490" s="26">
        <f>566.4+0.1+90+10</f>
        <v>666.5</v>
      </c>
      <c r="L490" s="26">
        <f>M490-K490</f>
        <v>0</v>
      </c>
      <c r="M490" s="26">
        <f>566.4+0.1+90+10</f>
        <v>666.5</v>
      </c>
    </row>
    <row r="491" spans="1:13" s="143" customFormat="1" ht="20.25" customHeight="1" x14ac:dyDescent="0.35">
      <c r="A491" s="11"/>
      <c r="B491" s="24" t="s">
        <v>491</v>
      </c>
      <c r="C491" s="25" t="s">
        <v>448</v>
      </c>
      <c r="D491" s="10" t="s">
        <v>225</v>
      </c>
      <c r="E491" s="10" t="s">
        <v>40</v>
      </c>
      <c r="F491" s="651" t="s">
        <v>40</v>
      </c>
      <c r="G491" s="652" t="s">
        <v>46</v>
      </c>
      <c r="H491" s="652" t="s">
        <v>40</v>
      </c>
      <c r="I491" s="653" t="s">
        <v>394</v>
      </c>
      <c r="J491" s="10"/>
      <c r="K491" s="26">
        <f>K493+K492</f>
        <v>11989.800000000001</v>
      </c>
      <c r="L491" s="26">
        <f>L493+L492</f>
        <v>1757</v>
      </c>
      <c r="M491" s="26">
        <f>M493+M492</f>
        <v>13746.800000000001</v>
      </c>
    </row>
    <row r="492" spans="1:13" s="143" customFormat="1" ht="37.950000000000003" customHeight="1" x14ac:dyDescent="0.35">
      <c r="A492" s="11"/>
      <c r="B492" s="24" t="s">
        <v>56</v>
      </c>
      <c r="C492" s="25" t="s">
        <v>448</v>
      </c>
      <c r="D492" s="10" t="s">
        <v>225</v>
      </c>
      <c r="E492" s="10" t="s">
        <v>40</v>
      </c>
      <c r="F492" s="651" t="s">
        <v>40</v>
      </c>
      <c r="G492" s="652" t="s">
        <v>46</v>
      </c>
      <c r="H492" s="652" t="s">
        <v>40</v>
      </c>
      <c r="I492" s="653" t="s">
        <v>394</v>
      </c>
      <c r="J492" s="10" t="s">
        <v>57</v>
      </c>
      <c r="K492" s="26">
        <f>1071-475.2</f>
        <v>595.79999999999995</v>
      </c>
      <c r="L492" s="26">
        <f>M492-K492</f>
        <v>0</v>
      </c>
      <c r="M492" s="26">
        <f>1071-475.2</f>
        <v>595.79999999999995</v>
      </c>
    </row>
    <row r="493" spans="1:13" s="143" customFormat="1" ht="56.25" customHeight="1" x14ac:dyDescent="0.35">
      <c r="A493" s="11"/>
      <c r="B493" s="24" t="s">
        <v>77</v>
      </c>
      <c r="C493" s="25" t="s">
        <v>448</v>
      </c>
      <c r="D493" s="10" t="s">
        <v>225</v>
      </c>
      <c r="E493" s="10" t="s">
        <v>40</v>
      </c>
      <c r="F493" s="651" t="s">
        <v>40</v>
      </c>
      <c r="G493" s="652" t="s">
        <v>46</v>
      </c>
      <c r="H493" s="652" t="s">
        <v>40</v>
      </c>
      <c r="I493" s="653" t="s">
        <v>394</v>
      </c>
      <c r="J493" s="10" t="s">
        <v>78</v>
      </c>
      <c r="K493" s="26">
        <f>6021.3+249+228+90.8+30+78.5+536.8+193.8+155.9+490.3+2588.5+229.6+150+159+192.5</f>
        <v>11394.000000000002</v>
      </c>
      <c r="L493" s="26">
        <f>M493-K493</f>
        <v>1757</v>
      </c>
      <c r="M493" s="26">
        <f>6021.3+249+228+90.8+30+78.5+536.8+193.8+155.9+490.3+2588.5+229.6+150+159+192.5+163.4+77.1+237.5+353.6+589.4+207.1+128.9</f>
        <v>13151.000000000002</v>
      </c>
    </row>
    <row r="494" spans="1:13" s="147" customFormat="1" ht="56.25" customHeight="1" x14ac:dyDescent="0.35">
      <c r="A494" s="11"/>
      <c r="B494" s="24" t="s">
        <v>208</v>
      </c>
      <c r="C494" s="25" t="s">
        <v>448</v>
      </c>
      <c r="D494" s="10" t="s">
        <v>225</v>
      </c>
      <c r="E494" s="10" t="s">
        <v>40</v>
      </c>
      <c r="F494" s="651" t="s">
        <v>40</v>
      </c>
      <c r="G494" s="652" t="s">
        <v>46</v>
      </c>
      <c r="H494" s="652" t="s">
        <v>40</v>
      </c>
      <c r="I494" s="653" t="s">
        <v>274</v>
      </c>
      <c r="J494" s="10"/>
      <c r="K494" s="26">
        <f>SUM(K495:K496)</f>
        <v>34264.1</v>
      </c>
      <c r="L494" s="26">
        <f>SUM(L495:L496)</f>
        <v>2576.7000000000007</v>
      </c>
      <c r="M494" s="26">
        <f>SUM(M495:M496)</f>
        <v>36840.800000000003</v>
      </c>
    </row>
    <row r="495" spans="1:13" s="147" customFormat="1" ht="56.25" customHeight="1" x14ac:dyDescent="0.35">
      <c r="A495" s="11"/>
      <c r="B495" s="24" t="s">
        <v>56</v>
      </c>
      <c r="C495" s="25" t="s">
        <v>448</v>
      </c>
      <c r="D495" s="10" t="s">
        <v>225</v>
      </c>
      <c r="E495" s="10" t="s">
        <v>40</v>
      </c>
      <c r="F495" s="651" t="s">
        <v>40</v>
      </c>
      <c r="G495" s="652" t="s">
        <v>46</v>
      </c>
      <c r="H495" s="652" t="s">
        <v>40</v>
      </c>
      <c r="I495" s="653" t="s">
        <v>274</v>
      </c>
      <c r="J495" s="10" t="s">
        <v>57</v>
      </c>
      <c r="K495" s="26">
        <f>4061.3+121.2+168+754</f>
        <v>5104.5</v>
      </c>
      <c r="L495" s="26">
        <f>M495-K495</f>
        <v>49</v>
      </c>
      <c r="M495" s="26">
        <f>4061.3+121.2+168+754+49</f>
        <v>5153.5</v>
      </c>
    </row>
    <row r="496" spans="1:13" s="147" customFormat="1" ht="56.25" customHeight="1" x14ac:dyDescent="0.35">
      <c r="A496" s="11"/>
      <c r="B496" s="24" t="s">
        <v>77</v>
      </c>
      <c r="C496" s="25" t="s">
        <v>448</v>
      </c>
      <c r="D496" s="10" t="s">
        <v>225</v>
      </c>
      <c r="E496" s="10" t="s">
        <v>40</v>
      </c>
      <c r="F496" s="651" t="s">
        <v>40</v>
      </c>
      <c r="G496" s="652" t="s">
        <v>46</v>
      </c>
      <c r="H496" s="652" t="s">
        <v>40</v>
      </c>
      <c r="I496" s="653" t="s">
        <v>274</v>
      </c>
      <c r="J496" s="10" t="s">
        <v>78</v>
      </c>
      <c r="K496" s="26">
        <f>23174.4+561+42+225+42+205+42+210+42+155+42+180+630+3012+35.6+19.8+242+299.8</f>
        <v>29159.599999999999</v>
      </c>
      <c r="L496" s="26">
        <f>M496-K496</f>
        <v>2527.7000000000007</v>
      </c>
      <c r="M496" s="26">
        <f>23174.4+561+42+225+42+205+42+210+42+155+42+180+630+3012+35.6+19.8+242+299.8+1540.6+742.7+244.4</f>
        <v>31687.3</v>
      </c>
    </row>
    <row r="497" spans="1:13" s="147" customFormat="1" ht="37.5" customHeight="1" x14ac:dyDescent="0.35">
      <c r="A497" s="11"/>
      <c r="B497" s="24" t="s">
        <v>209</v>
      </c>
      <c r="C497" s="25" t="s">
        <v>448</v>
      </c>
      <c r="D497" s="10" t="s">
        <v>225</v>
      </c>
      <c r="E497" s="10" t="s">
        <v>40</v>
      </c>
      <c r="F497" s="651" t="s">
        <v>40</v>
      </c>
      <c r="G497" s="652" t="s">
        <v>46</v>
      </c>
      <c r="H497" s="652" t="s">
        <v>40</v>
      </c>
      <c r="I497" s="653" t="s">
        <v>275</v>
      </c>
      <c r="J497" s="10"/>
      <c r="K497" s="26">
        <f>SUM(K498:K500)</f>
        <v>20030.400000000001</v>
      </c>
      <c r="L497" s="26">
        <f>SUM(L498:L500)</f>
        <v>318.19999999999936</v>
      </c>
      <c r="M497" s="26">
        <f>SUM(M498:M500)</f>
        <v>20348.599999999999</v>
      </c>
    </row>
    <row r="498" spans="1:13" s="147" customFormat="1" ht="56.25" customHeight="1" x14ac:dyDescent="0.35">
      <c r="A498" s="11"/>
      <c r="B498" s="24" t="s">
        <v>56</v>
      </c>
      <c r="C498" s="25" t="s">
        <v>448</v>
      </c>
      <c r="D498" s="10" t="s">
        <v>225</v>
      </c>
      <c r="E498" s="10" t="s">
        <v>40</v>
      </c>
      <c r="F498" s="651" t="s">
        <v>40</v>
      </c>
      <c r="G498" s="652" t="s">
        <v>46</v>
      </c>
      <c r="H498" s="652" t="s">
        <v>40</v>
      </c>
      <c r="I498" s="653" t="s">
        <v>275</v>
      </c>
      <c r="J498" s="10" t="s">
        <v>57</v>
      </c>
      <c r="K498" s="26">
        <f>252.7+90.8+3.3</f>
        <v>346.8</v>
      </c>
      <c r="L498" s="26">
        <f>M498-K498</f>
        <v>62.900000000000034</v>
      </c>
      <c r="M498" s="26">
        <f>252.7+90.8+3.3-18.4+81.3</f>
        <v>409.70000000000005</v>
      </c>
    </row>
    <row r="499" spans="1:13" s="147" customFormat="1" ht="56.25" customHeight="1" x14ac:dyDescent="0.35">
      <c r="A499" s="11"/>
      <c r="B499" s="133" t="s">
        <v>204</v>
      </c>
      <c r="C499" s="25" t="s">
        <v>448</v>
      </c>
      <c r="D499" s="10" t="s">
        <v>225</v>
      </c>
      <c r="E499" s="10" t="s">
        <v>40</v>
      </c>
      <c r="F499" s="651" t="s">
        <v>40</v>
      </c>
      <c r="G499" s="652" t="s">
        <v>46</v>
      </c>
      <c r="H499" s="652" t="s">
        <v>40</v>
      </c>
      <c r="I499" s="653" t="s">
        <v>275</v>
      </c>
      <c r="J499" s="10" t="s">
        <v>205</v>
      </c>
      <c r="K499" s="26">
        <f>3000+1173.4+1120-179.7</f>
        <v>5113.7</v>
      </c>
      <c r="L499" s="26">
        <f>M499-K499</f>
        <v>950</v>
      </c>
      <c r="M499" s="26">
        <f>3000+1173.4+1120-179.7+950</f>
        <v>6063.7</v>
      </c>
    </row>
    <row r="500" spans="1:13" s="147" customFormat="1" ht="56.25" customHeight="1" x14ac:dyDescent="0.35">
      <c r="A500" s="11"/>
      <c r="B500" s="24" t="s">
        <v>77</v>
      </c>
      <c r="C500" s="25" t="s">
        <v>448</v>
      </c>
      <c r="D500" s="10" t="s">
        <v>225</v>
      </c>
      <c r="E500" s="10" t="s">
        <v>40</v>
      </c>
      <c r="F500" s="651" t="s">
        <v>40</v>
      </c>
      <c r="G500" s="652" t="s">
        <v>46</v>
      </c>
      <c r="H500" s="652" t="s">
        <v>40</v>
      </c>
      <c r="I500" s="653" t="s">
        <v>275</v>
      </c>
      <c r="J500" s="10" t="s">
        <v>78</v>
      </c>
      <c r="K500" s="26">
        <f>10298.1+4135.1-3.3+14+126</f>
        <v>14569.900000000001</v>
      </c>
      <c r="L500" s="26">
        <f>M500-K500</f>
        <v>-694.70000000000073</v>
      </c>
      <c r="M500" s="26">
        <f>10298.1+4135.1-3.3+14+126-361.1-333.6</f>
        <v>13875.2</v>
      </c>
    </row>
    <row r="501" spans="1:13" s="147" customFormat="1" ht="56.25" customHeight="1" x14ac:dyDescent="0.35">
      <c r="A501" s="11"/>
      <c r="B501" s="24" t="s">
        <v>584</v>
      </c>
      <c r="C501" s="25" t="s">
        <v>448</v>
      </c>
      <c r="D501" s="10" t="s">
        <v>225</v>
      </c>
      <c r="E501" s="10" t="s">
        <v>40</v>
      </c>
      <c r="F501" s="651" t="s">
        <v>40</v>
      </c>
      <c r="G501" s="652" t="s">
        <v>46</v>
      </c>
      <c r="H501" s="652" t="s">
        <v>40</v>
      </c>
      <c r="I501" s="653" t="s">
        <v>585</v>
      </c>
      <c r="J501" s="10"/>
      <c r="K501" s="26">
        <f>K502</f>
        <v>30</v>
      </c>
      <c r="L501" s="26">
        <f>L502</f>
        <v>0</v>
      </c>
      <c r="M501" s="26">
        <f>M502</f>
        <v>30</v>
      </c>
    </row>
    <row r="502" spans="1:13" s="147" customFormat="1" ht="56.25" customHeight="1" x14ac:dyDescent="0.35">
      <c r="A502" s="11"/>
      <c r="B502" s="24" t="s">
        <v>77</v>
      </c>
      <c r="C502" s="25" t="s">
        <v>448</v>
      </c>
      <c r="D502" s="10" t="s">
        <v>225</v>
      </c>
      <c r="E502" s="10" t="s">
        <v>40</v>
      </c>
      <c r="F502" s="651" t="s">
        <v>40</v>
      </c>
      <c r="G502" s="652" t="s">
        <v>46</v>
      </c>
      <c r="H502" s="652" t="s">
        <v>40</v>
      </c>
      <c r="I502" s="653" t="s">
        <v>585</v>
      </c>
      <c r="J502" s="10" t="s">
        <v>78</v>
      </c>
      <c r="K502" s="26">
        <v>30</v>
      </c>
      <c r="L502" s="26">
        <f>M502-K502</f>
        <v>0</v>
      </c>
      <c r="M502" s="26">
        <v>30</v>
      </c>
    </row>
    <row r="503" spans="1:13" s="147" customFormat="1" ht="201" customHeight="1" x14ac:dyDescent="0.35">
      <c r="A503" s="11"/>
      <c r="B503" s="24" t="s">
        <v>642</v>
      </c>
      <c r="C503" s="25" t="s">
        <v>448</v>
      </c>
      <c r="D503" s="10" t="s">
        <v>225</v>
      </c>
      <c r="E503" s="10" t="s">
        <v>40</v>
      </c>
      <c r="F503" s="651" t="s">
        <v>40</v>
      </c>
      <c r="G503" s="652" t="s">
        <v>46</v>
      </c>
      <c r="H503" s="652" t="s">
        <v>40</v>
      </c>
      <c r="I503" s="653" t="s">
        <v>586</v>
      </c>
      <c r="J503" s="10"/>
      <c r="K503" s="26">
        <f>K504+K505</f>
        <v>33409.299999999996</v>
      </c>
      <c r="L503" s="26">
        <f>L504+L505</f>
        <v>1796.7999999999984</v>
      </c>
      <c r="M503" s="26">
        <f>M504+M505</f>
        <v>35206.1</v>
      </c>
    </row>
    <row r="504" spans="1:13" s="147" customFormat="1" ht="111" customHeight="1" x14ac:dyDescent="0.35">
      <c r="A504" s="11"/>
      <c r="B504" s="24" t="s">
        <v>50</v>
      </c>
      <c r="C504" s="25" t="s">
        <v>448</v>
      </c>
      <c r="D504" s="10" t="s">
        <v>225</v>
      </c>
      <c r="E504" s="10" t="s">
        <v>40</v>
      </c>
      <c r="F504" s="651" t="s">
        <v>40</v>
      </c>
      <c r="G504" s="652" t="s">
        <v>46</v>
      </c>
      <c r="H504" s="652" t="s">
        <v>40</v>
      </c>
      <c r="I504" s="653" t="s">
        <v>586</v>
      </c>
      <c r="J504" s="10" t="s">
        <v>51</v>
      </c>
      <c r="K504" s="26">
        <v>2734.2</v>
      </c>
      <c r="L504" s="26">
        <f>M504-K504</f>
        <v>156.19999999999982</v>
      </c>
      <c r="M504" s="26">
        <f>2734.2+156.2</f>
        <v>2890.3999999999996</v>
      </c>
    </row>
    <row r="505" spans="1:13" s="147" customFormat="1" ht="56.25" customHeight="1" x14ac:dyDescent="0.35">
      <c r="A505" s="11"/>
      <c r="B505" s="24" t="s">
        <v>77</v>
      </c>
      <c r="C505" s="25" t="s">
        <v>448</v>
      </c>
      <c r="D505" s="10" t="s">
        <v>225</v>
      </c>
      <c r="E505" s="10" t="s">
        <v>40</v>
      </c>
      <c r="F505" s="651" t="s">
        <v>40</v>
      </c>
      <c r="G505" s="652" t="s">
        <v>46</v>
      </c>
      <c r="H505" s="652" t="s">
        <v>40</v>
      </c>
      <c r="I505" s="653" t="s">
        <v>586</v>
      </c>
      <c r="J505" s="10" t="s">
        <v>78</v>
      </c>
      <c r="K505" s="26">
        <v>30675.1</v>
      </c>
      <c r="L505" s="26">
        <f>M505-K505</f>
        <v>1640.5999999999985</v>
      </c>
      <c r="M505" s="26">
        <f>30675.1+1640.6</f>
        <v>32315.699999999997</v>
      </c>
    </row>
    <row r="506" spans="1:13" s="147" customFormat="1" ht="181.2" customHeight="1" x14ac:dyDescent="0.35">
      <c r="A506" s="11"/>
      <c r="B506" s="24" t="s">
        <v>269</v>
      </c>
      <c r="C506" s="25" t="s">
        <v>448</v>
      </c>
      <c r="D506" s="10" t="s">
        <v>225</v>
      </c>
      <c r="E506" s="10" t="s">
        <v>40</v>
      </c>
      <c r="F506" s="651" t="s">
        <v>40</v>
      </c>
      <c r="G506" s="652" t="s">
        <v>46</v>
      </c>
      <c r="H506" s="652" t="s">
        <v>40</v>
      </c>
      <c r="I506" s="653" t="s">
        <v>270</v>
      </c>
      <c r="J506" s="10"/>
      <c r="K506" s="26">
        <f>SUM(K507:K509)</f>
        <v>1595.1</v>
      </c>
      <c r="L506" s="26">
        <f>SUM(L507:L509)</f>
        <v>0</v>
      </c>
      <c r="M506" s="26">
        <f>SUM(M507:M509)</f>
        <v>1595.1</v>
      </c>
    </row>
    <row r="507" spans="1:13" s="147" customFormat="1" ht="112.5" customHeight="1" x14ac:dyDescent="0.35">
      <c r="A507" s="11"/>
      <c r="B507" s="24" t="s">
        <v>50</v>
      </c>
      <c r="C507" s="25" t="s">
        <v>448</v>
      </c>
      <c r="D507" s="10" t="s">
        <v>225</v>
      </c>
      <c r="E507" s="10" t="s">
        <v>40</v>
      </c>
      <c r="F507" s="651" t="s">
        <v>40</v>
      </c>
      <c r="G507" s="652" t="s">
        <v>46</v>
      </c>
      <c r="H507" s="652" t="s">
        <v>40</v>
      </c>
      <c r="I507" s="653" t="s">
        <v>270</v>
      </c>
      <c r="J507" s="10" t="s">
        <v>51</v>
      </c>
      <c r="K507" s="26">
        <f>99.7</f>
        <v>99.7</v>
      </c>
      <c r="L507" s="26">
        <f>M507-K507</f>
        <v>0</v>
      </c>
      <c r="M507" s="26">
        <f>99.7</f>
        <v>99.7</v>
      </c>
    </row>
    <row r="508" spans="1:13" s="147" customFormat="1" ht="37.5" customHeight="1" x14ac:dyDescent="0.35">
      <c r="A508" s="11"/>
      <c r="B508" s="24" t="s">
        <v>121</v>
      </c>
      <c r="C508" s="25" t="s">
        <v>448</v>
      </c>
      <c r="D508" s="10" t="s">
        <v>225</v>
      </c>
      <c r="E508" s="10" t="s">
        <v>40</v>
      </c>
      <c r="F508" s="651" t="s">
        <v>40</v>
      </c>
      <c r="G508" s="652" t="s">
        <v>46</v>
      </c>
      <c r="H508" s="652" t="s">
        <v>40</v>
      </c>
      <c r="I508" s="653" t="s">
        <v>270</v>
      </c>
      <c r="J508" s="10" t="s">
        <v>122</v>
      </c>
      <c r="K508" s="26">
        <v>6.6</v>
      </c>
      <c r="L508" s="26">
        <f>M508-K508</f>
        <v>0</v>
      </c>
      <c r="M508" s="26">
        <v>6.6</v>
      </c>
    </row>
    <row r="509" spans="1:13" s="147" customFormat="1" ht="56.25" customHeight="1" x14ac:dyDescent="0.35">
      <c r="A509" s="11"/>
      <c r="B509" s="24" t="s">
        <v>77</v>
      </c>
      <c r="C509" s="25" t="s">
        <v>448</v>
      </c>
      <c r="D509" s="10" t="s">
        <v>225</v>
      </c>
      <c r="E509" s="10" t="s">
        <v>40</v>
      </c>
      <c r="F509" s="651" t="s">
        <v>40</v>
      </c>
      <c r="G509" s="652" t="s">
        <v>46</v>
      </c>
      <c r="H509" s="652" t="s">
        <v>40</v>
      </c>
      <c r="I509" s="653" t="s">
        <v>270</v>
      </c>
      <c r="J509" s="10" t="s">
        <v>78</v>
      </c>
      <c r="K509" s="26">
        <f>1595.1-99.7-6.6</f>
        <v>1488.8</v>
      </c>
      <c r="L509" s="26">
        <f>M509-K509</f>
        <v>0</v>
      </c>
      <c r="M509" s="26">
        <f>1595.1-99.7-6.6</f>
        <v>1488.8</v>
      </c>
    </row>
    <row r="510" spans="1:13" s="147" customFormat="1" ht="115.5" customHeight="1" x14ac:dyDescent="0.35">
      <c r="A510" s="11"/>
      <c r="B510" s="24" t="s">
        <v>352</v>
      </c>
      <c r="C510" s="25" t="s">
        <v>448</v>
      </c>
      <c r="D510" s="10" t="s">
        <v>225</v>
      </c>
      <c r="E510" s="10" t="s">
        <v>40</v>
      </c>
      <c r="F510" s="651" t="s">
        <v>40</v>
      </c>
      <c r="G510" s="652" t="s">
        <v>46</v>
      </c>
      <c r="H510" s="652" t="s">
        <v>40</v>
      </c>
      <c r="I510" s="653" t="s">
        <v>271</v>
      </c>
      <c r="J510" s="10"/>
      <c r="K510" s="26">
        <f>K511+K512+K513</f>
        <v>410065</v>
      </c>
      <c r="L510" s="26">
        <f>L511+L512+L513</f>
        <v>0</v>
      </c>
      <c r="M510" s="26">
        <f>M511+M512+M513</f>
        <v>410065</v>
      </c>
    </row>
    <row r="511" spans="1:13" s="147" customFormat="1" ht="112.5" customHeight="1" x14ac:dyDescent="0.35">
      <c r="A511" s="11"/>
      <c r="B511" s="24" t="s">
        <v>50</v>
      </c>
      <c r="C511" s="25" t="s">
        <v>448</v>
      </c>
      <c r="D511" s="10" t="s">
        <v>225</v>
      </c>
      <c r="E511" s="10" t="s">
        <v>40</v>
      </c>
      <c r="F511" s="651" t="s">
        <v>40</v>
      </c>
      <c r="G511" s="652" t="s">
        <v>46</v>
      </c>
      <c r="H511" s="652" t="s">
        <v>40</v>
      </c>
      <c r="I511" s="653" t="s">
        <v>271</v>
      </c>
      <c r="J511" s="10" t="s">
        <v>51</v>
      </c>
      <c r="K511" s="26">
        <f>26623.6+133</f>
        <v>26756.6</v>
      </c>
      <c r="L511" s="26">
        <f>M511-K511</f>
        <v>0</v>
      </c>
      <c r="M511" s="26">
        <f>26623.6+133</f>
        <v>26756.6</v>
      </c>
    </row>
    <row r="512" spans="1:13" s="147" customFormat="1" ht="56.25" customHeight="1" x14ac:dyDescent="0.35">
      <c r="A512" s="11"/>
      <c r="B512" s="24" t="s">
        <v>56</v>
      </c>
      <c r="C512" s="25" t="s">
        <v>448</v>
      </c>
      <c r="D512" s="10" t="s">
        <v>225</v>
      </c>
      <c r="E512" s="10" t="s">
        <v>40</v>
      </c>
      <c r="F512" s="651" t="s">
        <v>40</v>
      </c>
      <c r="G512" s="652" t="s">
        <v>46</v>
      </c>
      <c r="H512" s="652" t="s">
        <v>40</v>
      </c>
      <c r="I512" s="653" t="s">
        <v>271</v>
      </c>
      <c r="J512" s="10" t="s">
        <v>57</v>
      </c>
      <c r="K512" s="26">
        <f>3027.7+710</f>
        <v>3737.7</v>
      </c>
      <c r="L512" s="26">
        <f>M512-K512</f>
        <v>0</v>
      </c>
      <c r="M512" s="26">
        <f>3027.7+710</f>
        <v>3737.7</v>
      </c>
    </row>
    <row r="513" spans="1:13" s="147" customFormat="1" ht="56.25" customHeight="1" x14ac:dyDescent="0.35">
      <c r="A513" s="11"/>
      <c r="B513" s="24" t="s">
        <v>77</v>
      </c>
      <c r="C513" s="25" t="s">
        <v>448</v>
      </c>
      <c r="D513" s="10" t="s">
        <v>225</v>
      </c>
      <c r="E513" s="10" t="s">
        <v>40</v>
      </c>
      <c r="F513" s="651" t="s">
        <v>40</v>
      </c>
      <c r="G513" s="652" t="s">
        <v>46</v>
      </c>
      <c r="H513" s="652" t="s">
        <v>40</v>
      </c>
      <c r="I513" s="653" t="s">
        <v>271</v>
      </c>
      <c r="J513" s="10" t="s">
        <v>78</v>
      </c>
      <c r="K513" s="26">
        <f>372928+6642.7</f>
        <v>379570.7</v>
      </c>
      <c r="L513" s="26">
        <f>M513-K513</f>
        <v>0</v>
      </c>
      <c r="M513" s="26">
        <f>372928+6642.7</f>
        <v>379570.7</v>
      </c>
    </row>
    <row r="514" spans="1:13" s="143" customFormat="1" ht="93.75" customHeight="1" x14ac:dyDescent="0.35">
      <c r="A514" s="11"/>
      <c r="B514" s="24" t="s">
        <v>210</v>
      </c>
      <c r="C514" s="25" t="s">
        <v>448</v>
      </c>
      <c r="D514" s="10" t="s">
        <v>225</v>
      </c>
      <c r="E514" s="10" t="s">
        <v>40</v>
      </c>
      <c r="F514" s="651" t="s">
        <v>40</v>
      </c>
      <c r="G514" s="652" t="s">
        <v>46</v>
      </c>
      <c r="H514" s="652" t="s">
        <v>40</v>
      </c>
      <c r="I514" s="653" t="s">
        <v>276</v>
      </c>
      <c r="J514" s="10"/>
      <c r="K514" s="26">
        <f>SUM(K515:K516)</f>
        <v>2260.9</v>
      </c>
      <c r="L514" s="26">
        <f>SUM(L515:L516)</f>
        <v>0</v>
      </c>
      <c r="M514" s="26">
        <f>SUM(M515:M516)</f>
        <v>2260.9</v>
      </c>
    </row>
    <row r="515" spans="1:13" s="143" customFormat="1" ht="56.25" customHeight="1" x14ac:dyDescent="0.35">
      <c r="A515" s="11"/>
      <c r="B515" s="24" t="s">
        <v>56</v>
      </c>
      <c r="C515" s="25" t="s">
        <v>448</v>
      </c>
      <c r="D515" s="10" t="s">
        <v>225</v>
      </c>
      <c r="E515" s="10" t="s">
        <v>40</v>
      </c>
      <c r="F515" s="651" t="s">
        <v>40</v>
      </c>
      <c r="G515" s="652" t="s">
        <v>46</v>
      </c>
      <c r="H515" s="652" t="s">
        <v>40</v>
      </c>
      <c r="I515" s="653" t="s">
        <v>276</v>
      </c>
      <c r="J515" s="10" t="s">
        <v>57</v>
      </c>
      <c r="K515" s="26">
        <v>106.9</v>
      </c>
      <c r="L515" s="26">
        <f>M515-K515</f>
        <v>0</v>
      </c>
      <c r="M515" s="26">
        <v>106.9</v>
      </c>
    </row>
    <row r="516" spans="1:13" s="143" customFormat="1" ht="56.25" customHeight="1" x14ac:dyDescent="0.35">
      <c r="A516" s="11"/>
      <c r="B516" s="24" t="s">
        <v>77</v>
      </c>
      <c r="C516" s="25" t="s">
        <v>448</v>
      </c>
      <c r="D516" s="10" t="s">
        <v>225</v>
      </c>
      <c r="E516" s="10" t="s">
        <v>40</v>
      </c>
      <c r="F516" s="651" t="s">
        <v>40</v>
      </c>
      <c r="G516" s="652" t="s">
        <v>46</v>
      </c>
      <c r="H516" s="652" t="s">
        <v>40</v>
      </c>
      <c r="I516" s="653" t="s">
        <v>276</v>
      </c>
      <c r="J516" s="10" t="s">
        <v>78</v>
      </c>
      <c r="K516" s="26">
        <v>2154</v>
      </c>
      <c r="L516" s="26">
        <f>M516-K516</f>
        <v>0</v>
      </c>
      <c r="M516" s="26">
        <v>2154</v>
      </c>
    </row>
    <row r="517" spans="1:13" s="143" customFormat="1" ht="54" x14ac:dyDescent="0.35">
      <c r="A517" s="11"/>
      <c r="B517" s="24" t="s">
        <v>684</v>
      </c>
      <c r="C517" s="25" t="s">
        <v>448</v>
      </c>
      <c r="D517" s="10" t="s">
        <v>225</v>
      </c>
      <c r="E517" s="10" t="s">
        <v>40</v>
      </c>
      <c r="F517" s="651" t="s">
        <v>40</v>
      </c>
      <c r="G517" s="652" t="s">
        <v>46</v>
      </c>
      <c r="H517" s="652" t="s">
        <v>40</v>
      </c>
      <c r="I517" s="653" t="s">
        <v>683</v>
      </c>
      <c r="J517" s="10"/>
      <c r="K517" s="26">
        <f>K518+K519</f>
        <v>3050</v>
      </c>
      <c r="L517" s="26">
        <f>L518+L519</f>
        <v>0</v>
      </c>
      <c r="M517" s="26">
        <f>M518+M519</f>
        <v>3050</v>
      </c>
    </row>
    <row r="518" spans="1:13" s="143" customFormat="1" ht="54" x14ac:dyDescent="0.35">
      <c r="A518" s="11"/>
      <c r="B518" s="24" t="s">
        <v>56</v>
      </c>
      <c r="C518" s="25" t="s">
        <v>448</v>
      </c>
      <c r="D518" s="10" t="s">
        <v>225</v>
      </c>
      <c r="E518" s="10" t="s">
        <v>40</v>
      </c>
      <c r="F518" s="651" t="s">
        <v>40</v>
      </c>
      <c r="G518" s="652" t="s">
        <v>46</v>
      </c>
      <c r="H518" s="652" t="s">
        <v>40</v>
      </c>
      <c r="I518" s="653" t="s">
        <v>683</v>
      </c>
      <c r="J518" s="10" t="s">
        <v>57</v>
      </c>
      <c r="K518" s="26">
        <v>1100</v>
      </c>
      <c r="L518" s="26">
        <f>M518-K518</f>
        <v>0</v>
      </c>
      <c r="M518" s="26">
        <v>1100</v>
      </c>
    </row>
    <row r="519" spans="1:13" s="143" customFormat="1" ht="54" x14ac:dyDescent="0.35">
      <c r="A519" s="11"/>
      <c r="B519" s="24" t="s">
        <v>77</v>
      </c>
      <c r="C519" s="25" t="s">
        <v>448</v>
      </c>
      <c r="D519" s="10" t="s">
        <v>225</v>
      </c>
      <c r="E519" s="10" t="s">
        <v>40</v>
      </c>
      <c r="F519" s="651" t="s">
        <v>40</v>
      </c>
      <c r="G519" s="652" t="s">
        <v>46</v>
      </c>
      <c r="H519" s="652" t="s">
        <v>40</v>
      </c>
      <c r="I519" s="653" t="s">
        <v>683</v>
      </c>
      <c r="J519" s="10" t="s">
        <v>78</v>
      </c>
      <c r="K519" s="26">
        <v>1950</v>
      </c>
      <c r="L519" s="26">
        <f>M519-K519</f>
        <v>0</v>
      </c>
      <c r="M519" s="26">
        <v>1950</v>
      </c>
    </row>
    <row r="520" spans="1:13" s="143" customFormat="1" ht="157.5" customHeight="1" x14ac:dyDescent="0.35">
      <c r="A520" s="11"/>
      <c r="B520" s="24" t="s">
        <v>623</v>
      </c>
      <c r="C520" s="25" t="s">
        <v>448</v>
      </c>
      <c r="D520" s="10" t="s">
        <v>225</v>
      </c>
      <c r="E520" s="10" t="s">
        <v>40</v>
      </c>
      <c r="F520" s="651" t="s">
        <v>40</v>
      </c>
      <c r="G520" s="652" t="s">
        <v>46</v>
      </c>
      <c r="H520" s="652" t="s">
        <v>40</v>
      </c>
      <c r="I520" s="653" t="s">
        <v>622</v>
      </c>
      <c r="J520" s="10"/>
      <c r="K520" s="26">
        <f>K521+K522</f>
        <v>1196.0999999999999</v>
      </c>
      <c r="L520" s="26">
        <f>L521+L522</f>
        <v>830.09999999999991</v>
      </c>
      <c r="M520" s="26">
        <f>M521+M522</f>
        <v>2026.1999999999998</v>
      </c>
    </row>
    <row r="521" spans="1:13" s="143" customFormat="1" ht="56.25" customHeight="1" x14ac:dyDescent="0.35">
      <c r="A521" s="11"/>
      <c r="B521" s="24" t="s">
        <v>56</v>
      </c>
      <c r="C521" s="25" t="s">
        <v>448</v>
      </c>
      <c r="D521" s="10" t="s">
        <v>225</v>
      </c>
      <c r="E521" s="10" t="s">
        <v>40</v>
      </c>
      <c r="F521" s="651" t="s">
        <v>40</v>
      </c>
      <c r="G521" s="652" t="s">
        <v>46</v>
      </c>
      <c r="H521" s="652" t="s">
        <v>40</v>
      </c>
      <c r="I521" s="653" t="s">
        <v>622</v>
      </c>
      <c r="J521" s="10" t="s">
        <v>57</v>
      </c>
      <c r="K521" s="26">
        <f>15+13</f>
        <v>28</v>
      </c>
      <c r="L521" s="26">
        <f>M521-K521</f>
        <v>48</v>
      </c>
      <c r="M521" s="26">
        <f>15+13+48</f>
        <v>76</v>
      </c>
    </row>
    <row r="522" spans="1:13" s="143" customFormat="1" ht="56.25" customHeight="1" x14ac:dyDescent="0.35">
      <c r="A522" s="11"/>
      <c r="B522" s="24" t="s">
        <v>77</v>
      </c>
      <c r="C522" s="25" t="s">
        <v>448</v>
      </c>
      <c r="D522" s="10" t="s">
        <v>225</v>
      </c>
      <c r="E522" s="10" t="s">
        <v>40</v>
      </c>
      <c r="F522" s="651" t="s">
        <v>40</v>
      </c>
      <c r="G522" s="652" t="s">
        <v>46</v>
      </c>
      <c r="H522" s="652" t="s">
        <v>40</v>
      </c>
      <c r="I522" s="653" t="s">
        <v>622</v>
      </c>
      <c r="J522" s="10" t="s">
        <v>78</v>
      </c>
      <c r="K522" s="26">
        <f>1181.1-13</f>
        <v>1168.0999999999999</v>
      </c>
      <c r="L522" s="26">
        <f>M522-K522</f>
        <v>782.09999999999991</v>
      </c>
      <c r="M522" s="26">
        <f>1181.1-13+782.1</f>
        <v>1950.1999999999998</v>
      </c>
    </row>
    <row r="523" spans="1:13" s="143" customFormat="1" ht="93.75" customHeight="1" x14ac:dyDescent="0.35">
      <c r="A523" s="11"/>
      <c r="B523" s="24" t="s">
        <v>480</v>
      </c>
      <c r="C523" s="25" t="s">
        <v>448</v>
      </c>
      <c r="D523" s="10" t="s">
        <v>225</v>
      </c>
      <c r="E523" s="10" t="s">
        <v>40</v>
      </c>
      <c r="F523" s="651" t="s">
        <v>40</v>
      </c>
      <c r="G523" s="652" t="s">
        <v>46</v>
      </c>
      <c r="H523" s="652" t="s">
        <v>40</v>
      </c>
      <c r="I523" s="653" t="s">
        <v>479</v>
      </c>
      <c r="J523" s="10"/>
      <c r="K523" s="26">
        <f>K524+K525</f>
        <v>59054.899999999994</v>
      </c>
      <c r="L523" s="26">
        <f>L524+L525</f>
        <v>-1614.7999999999956</v>
      </c>
      <c r="M523" s="26">
        <f>M524+M525</f>
        <v>57440.1</v>
      </c>
    </row>
    <row r="524" spans="1:13" s="143" customFormat="1" ht="56.25" customHeight="1" x14ac:dyDescent="0.35">
      <c r="A524" s="11"/>
      <c r="B524" s="24" t="s">
        <v>56</v>
      </c>
      <c r="C524" s="25" t="s">
        <v>448</v>
      </c>
      <c r="D524" s="10" t="s">
        <v>225</v>
      </c>
      <c r="E524" s="10" t="s">
        <v>40</v>
      </c>
      <c r="F524" s="651" t="s">
        <v>40</v>
      </c>
      <c r="G524" s="652" t="s">
        <v>46</v>
      </c>
      <c r="H524" s="652" t="s">
        <v>40</v>
      </c>
      <c r="I524" s="653" t="s">
        <v>479</v>
      </c>
      <c r="J524" s="10" t="s">
        <v>57</v>
      </c>
      <c r="K524" s="26">
        <f>1799+45</f>
        <v>1844</v>
      </c>
      <c r="L524" s="26">
        <f>M524-K524</f>
        <v>0</v>
      </c>
      <c r="M524" s="26">
        <f>1799+45</f>
        <v>1844</v>
      </c>
    </row>
    <row r="525" spans="1:13" s="143" customFormat="1" ht="56.25" customHeight="1" x14ac:dyDescent="0.35">
      <c r="A525" s="11"/>
      <c r="B525" s="24" t="s">
        <v>77</v>
      </c>
      <c r="C525" s="25" t="s">
        <v>448</v>
      </c>
      <c r="D525" s="10" t="s">
        <v>225</v>
      </c>
      <c r="E525" s="10" t="s">
        <v>40</v>
      </c>
      <c r="F525" s="651" t="s">
        <v>40</v>
      </c>
      <c r="G525" s="652" t="s">
        <v>46</v>
      </c>
      <c r="H525" s="652" t="s">
        <v>40</v>
      </c>
      <c r="I525" s="653" t="s">
        <v>479</v>
      </c>
      <c r="J525" s="10" t="s">
        <v>78</v>
      </c>
      <c r="K525" s="26">
        <f>56105.7+1105.2</f>
        <v>57210.899999999994</v>
      </c>
      <c r="L525" s="26">
        <f>M525-K525</f>
        <v>-1614.7999999999956</v>
      </c>
      <c r="M525" s="26">
        <f>56105.7+1105.2-1259.6-355.2</f>
        <v>55596.1</v>
      </c>
    </row>
    <row r="526" spans="1:13" s="143" customFormat="1" ht="90" x14ac:dyDescent="0.35">
      <c r="A526" s="11"/>
      <c r="B526" s="24" t="s">
        <v>620</v>
      </c>
      <c r="C526" s="25" t="s">
        <v>448</v>
      </c>
      <c r="D526" s="10" t="s">
        <v>225</v>
      </c>
      <c r="E526" s="10" t="s">
        <v>40</v>
      </c>
      <c r="F526" s="651" t="s">
        <v>40</v>
      </c>
      <c r="G526" s="652" t="s">
        <v>46</v>
      </c>
      <c r="H526" s="652" t="s">
        <v>40</v>
      </c>
      <c r="I526" s="653" t="s">
        <v>619</v>
      </c>
      <c r="J526" s="10"/>
      <c r="K526" s="26">
        <f>SUM(K527:K529)</f>
        <v>12776.5</v>
      </c>
      <c r="L526" s="26">
        <f>SUM(L527:L529)</f>
        <v>0</v>
      </c>
      <c r="M526" s="26">
        <f>SUM(M527:M529)</f>
        <v>12776.5</v>
      </c>
    </row>
    <row r="527" spans="1:13" s="143" customFormat="1" ht="56.25" customHeight="1" x14ac:dyDescent="0.35">
      <c r="A527" s="11"/>
      <c r="B527" s="24" t="s">
        <v>56</v>
      </c>
      <c r="C527" s="25" t="s">
        <v>448</v>
      </c>
      <c r="D527" s="10" t="s">
        <v>225</v>
      </c>
      <c r="E527" s="10" t="s">
        <v>40</v>
      </c>
      <c r="F527" s="651" t="s">
        <v>40</v>
      </c>
      <c r="G527" s="652" t="s">
        <v>46</v>
      </c>
      <c r="H527" s="652" t="s">
        <v>40</v>
      </c>
      <c r="I527" s="653" t="s">
        <v>619</v>
      </c>
      <c r="J527" s="10" t="s">
        <v>57</v>
      </c>
      <c r="K527" s="26">
        <v>81.7</v>
      </c>
      <c r="L527" s="26">
        <f>M527-K527</f>
        <v>0</v>
      </c>
      <c r="M527" s="26">
        <v>81.7</v>
      </c>
    </row>
    <row r="528" spans="1:13" s="143" customFormat="1" ht="36" x14ac:dyDescent="0.35">
      <c r="A528" s="11"/>
      <c r="B528" s="24" t="s">
        <v>121</v>
      </c>
      <c r="C528" s="25" t="s">
        <v>448</v>
      </c>
      <c r="D528" s="10" t="s">
        <v>225</v>
      </c>
      <c r="E528" s="10" t="s">
        <v>40</v>
      </c>
      <c r="F528" s="651" t="s">
        <v>40</v>
      </c>
      <c r="G528" s="652" t="s">
        <v>46</v>
      </c>
      <c r="H528" s="652" t="s">
        <v>40</v>
      </c>
      <c r="I528" s="653" t="s">
        <v>619</v>
      </c>
      <c r="J528" s="10" t="s">
        <v>122</v>
      </c>
      <c r="K528" s="26">
        <v>65.2</v>
      </c>
      <c r="L528" s="26">
        <f>M528-K528</f>
        <v>0</v>
      </c>
      <c r="M528" s="26">
        <v>65.2</v>
      </c>
    </row>
    <row r="529" spans="1:13" s="143" customFormat="1" ht="56.25" customHeight="1" x14ac:dyDescent="0.35">
      <c r="A529" s="11"/>
      <c r="B529" s="24" t="s">
        <v>77</v>
      </c>
      <c r="C529" s="25" t="s">
        <v>448</v>
      </c>
      <c r="D529" s="10" t="s">
        <v>225</v>
      </c>
      <c r="E529" s="10" t="s">
        <v>40</v>
      </c>
      <c r="F529" s="651" t="s">
        <v>40</v>
      </c>
      <c r="G529" s="652" t="s">
        <v>46</v>
      </c>
      <c r="H529" s="652" t="s">
        <v>40</v>
      </c>
      <c r="I529" s="653" t="s">
        <v>619</v>
      </c>
      <c r="J529" s="10" t="s">
        <v>78</v>
      </c>
      <c r="K529" s="26">
        <v>12629.6</v>
      </c>
      <c r="L529" s="26">
        <f>M529-K529</f>
        <v>0</v>
      </c>
      <c r="M529" s="26">
        <v>12629.6</v>
      </c>
    </row>
    <row r="530" spans="1:13" s="147" customFormat="1" ht="56.25" customHeight="1" x14ac:dyDescent="0.35">
      <c r="A530" s="11"/>
      <c r="B530" s="24" t="s">
        <v>213</v>
      </c>
      <c r="C530" s="25" t="s">
        <v>448</v>
      </c>
      <c r="D530" s="10" t="s">
        <v>225</v>
      </c>
      <c r="E530" s="10" t="s">
        <v>40</v>
      </c>
      <c r="F530" s="651" t="s">
        <v>40</v>
      </c>
      <c r="G530" s="652" t="s">
        <v>31</v>
      </c>
      <c r="H530" s="652" t="s">
        <v>44</v>
      </c>
      <c r="I530" s="653" t="s">
        <v>45</v>
      </c>
      <c r="J530" s="10"/>
      <c r="K530" s="26">
        <f t="shared" ref="K530:M531" si="76">K531</f>
        <v>3074.8</v>
      </c>
      <c r="L530" s="26">
        <f t="shared" si="76"/>
        <v>5.1514348342607263E-14</v>
      </c>
      <c r="M530" s="26">
        <f t="shared" si="76"/>
        <v>3074.8</v>
      </c>
    </row>
    <row r="531" spans="1:13" s="147" customFormat="1" ht="37.5" customHeight="1" x14ac:dyDescent="0.35">
      <c r="A531" s="11"/>
      <c r="B531" s="24" t="s">
        <v>283</v>
      </c>
      <c r="C531" s="25" t="s">
        <v>448</v>
      </c>
      <c r="D531" s="10" t="s">
        <v>225</v>
      </c>
      <c r="E531" s="10" t="s">
        <v>40</v>
      </c>
      <c r="F531" s="651" t="s">
        <v>40</v>
      </c>
      <c r="G531" s="652" t="s">
        <v>31</v>
      </c>
      <c r="H531" s="652" t="s">
        <v>38</v>
      </c>
      <c r="I531" s="653" t="s">
        <v>45</v>
      </c>
      <c r="J531" s="10"/>
      <c r="K531" s="26">
        <f t="shared" si="76"/>
        <v>3074.8</v>
      </c>
      <c r="L531" s="26">
        <f t="shared" si="76"/>
        <v>5.1514348342607263E-14</v>
      </c>
      <c r="M531" s="26">
        <f t="shared" si="76"/>
        <v>3074.8</v>
      </c>
    </row>
    <row r="532" spans="1:13" s="147" customFormat="1" ht="253.2" customHeight="1" x14ac:dyDescent="0.35">
      <c r="A532" s="11"/>
      <c r="B532" s="24" t="s">
        <v>458</v>
      </c>
      <c r="C532" s="25" t="s">
        <v>448</v>
      </c>
      <c r="D532" s="10" t="s">
        <v>225</v>
      </c>
      <c r="E532" s="10" t="s">
        <v>40</v>
      </c>
      <c r="F532" s="651" t="s">
        <v>40</v>
      </c>
      <c r="G532" s="652" t="s">
        <v>31</v>
      </c>
      <c r="H532" s="652" t="s">
        <v>38</v>
      </c>
      <c r="I532" s="653" t="s">
        <v>353</v>
      </c>
      <c r="J532" s="10"/>
      <c r="K532" s="26">
        <f>K534</f>
        <v>3074.8</v>
      </c>
      <c r="L532" s="26">
        <f>L533+L534</f>
        <v>5.1514348342607263E-14</v>
      </c>
      <c r="M532" s="26">
        <f>M533+M534</f>
        <v>3074.8</v>
      </c>
    </row>
    <row r="533" spans="1:13" s="147" customFormat="1" ht="108" x14ac:dyDescent="0.35">
      <c r="A533" s="11"/>
      <c r="B533" s="24" t="s">
        <v>50</v>
      </c>
      <c r="C533" s="25" t="s">
        <v>448</v>
      </c>
      <c r="D533" s="10" t="s">
        <v>225</v>
      </c>
      <c r="E533" s="10" t="s">
        <v>40</v>
      </c>
      <c r="F533" s="651" t="s">
        <v>40</v>
      </c>
      <c r="G533" s="652" t="s">
        <v>31</v>
      </c>
      <c r="H533" s="652" t="s">
        <v>38</v>
      </c>
      <c r="I533" s="653" t="s">
        <v>353</v>
      </c>
      <c r="J533" s="10" t="s">
        <v>51</v>
      </c>
      <c r="K533" s="26"/>
      <c r="L533" s="26">
        <f>M533-K533</f>
        <v>8.1244800000000001</v>
      </c>
      <c r="M533" s="26">
        <v>8.1244800000000001</v>
      </c>
    </row>
    <row r="534" spans="1:13" s="147" customFormat="1" ht="56.25" customHeight="1" x14ac:dyDescent="0.35">
      <c r="A534" s="11"/>
      <c r="B534" s="24" t="s">
        <v>77</v>
      </c>
      <c r="C534" s="25" t="s">
        <v>448</v>
      </c>
      <c r="D534" s="10" t="s">
        <v>225</v>
      </c>
      <c r="E534" s="10" t="s">
        <v>40</v>
      </c>
      <c r="F534" s="651" t="s">
        <v>40</v>
      </c>
      <c r="G534" s="652" t="s">
        <v>31</v>
      </c>
      <c r="H534" s="652" t="s">
        <v>38</v>
      </c>
      <c r="I534" s="653" t="s">
        <v>353</v>
      </c>
      <c r="J534" s="10" t="s">
        <v>78</v>
      </c>
      <c r="K534" s="26">
        <f>2294.8+780</f>
        <v>3074.8</v>
      </c>
      <c r="L534" s="26">
        <f>M534-K534</f>
        <v>-8.1244799999999486</v>
      </c>
      <c r="M534" s="26">
        <f>2294.8+780-8.12448</f>
        <v>3066.6755200000002</v>
      </c>
    </row>
    <row r="535" spans="1:13" s="147" customFormat="1" ht="56.25" customHeight="1" x14ac:dyDescent="0.35">
      <c r="A535" s="11"/>
      <c r="B535" s="24" t="s">
        <v>81</v>
      </c>
      <c r="C535" s="25" t="s">
        <v>448</v>
      </c>
      <c r="D535" s="10" t="s">
        <v>225</v>
      </c>
      <c r="E535" s="10" t="s">
        <v>40</v>
      </c>
      <c r="F535" s="651" t="s">
        <v>82</v>
      </c>
      <c r="G535" s="652" t="s">
        <v>43</v>
      </c>
      <c r="H535" s="652" t="s">
        <v>44</v>
      </c>
      <c r="I535" s="653" t="s">
        <v>45</v>
      </c>
      <c r="J535" s="10"/>
      <c r="K535" s="26">
        <f t="shared" ref="K535:M536" si="77">K536</f>
        <v>10137.799999999999</v>
      </c>
      <c r="L535" s="26">
        <f t="shared" si="77"/>
        <v>0</v>
      </c>
      <c r="M535" s="26">
        <f t="shared" si="77"/>
        <v>10137.799999999999</v>
      </c>
    </row>
    <row r="536" spans="1:13" s="147" customFormat="1" ht="56.25" customHeight="1" x14ac:dyDescent="0.35">
      <c r="A536" s="11"/>
      <c r="B536" s="24" t="s">
        <v>126</v>
      </c>
      <c r="C536" s="25" t="s">
        <v>448</v>
      </c>
      <c r="D536" s="10" t="s">
        <v>225</v>
      </c>
      <c r="E536" s="10" t="s">
        <v>40</v>
      </c>
      <c r="F536" s="651" t="s">
        <v>82</v>
      </c>
      <c r="G536" s="652" t="s">
        <v>90</v>
      </c>
      <c r="H536" s="652" t="s">
        <v>44</v>
      </c>
      <c r="I536" s="653" t="s">
        <v>45</v>
      </c>
      <c r="J536" s="10"/>
      <c r="K536" s="26">
        <f>K537</f>
        <v>10137.799999999999</v>
      </c>
      <c r="L536" s="26">
        <f t="shared" si="77"/>
        <v>0</v>
      </c>
      <c r="M536" s="26">
        <f>M537</f>
        <v>10137.799999999999</v>
      </c>
    </row>
    <row r="537" spans="1:13" s="147" customFormat="1" ht="56.25" customHeight="1" x14ac:dyDescent="0.35">
      <c r="A537" s="11"/>
      <c r="B537" s="24" t="s">
        <v>272</v>
      </c>
      <c r="C537" s="25" t="s">
        <v>448</v>
      </c>
      <c r="D537" s="10" t="s">
        <v>225</v>
      </c>
      <c r="E537" s="10" t="s">
        <v>40</v>
      </c>
      <c r="F537" s="651" t="s">
        <v>82</v>
      </c>
      <c r="G537" s="652" t="s">
        <v>90</v>
      </c>
      <c r="H537" s="652" t="s">
        <v>38</v>
      </c>
      <c r="I537" s="653" t="s">
        <v>45</v>
      </c>
      <c r="J537" s="10"/>
      <c r="K537" s="26">
        <f>K538+K541</f>
        <v>10137.799999999999</v>
      </c>
      <c r="L537" s="26">
        <f>L538+L541</f>
        <v>0</v>
      </c>
      <c r="M537" s="26">
        <f>M538+M541</f>
        <v>10137.799999999999</v>
      </c>
    </row>
    <row r="538" spans="1:13" s="147" customFormat="1" ht="56.25" customHeight="1" x14ac:dyDescent="0.35">
      <c r="A538" s="11"/>
      <c r="B538" s="24" t="s">
        <v>491</v>
      </c>
      <c r="C538" s="25" t="s">
        <v>448</v>
      </c>
      <c r="D538" s="10" t="s">
        <v>225</v>
      </c>
      <c r="E538" s="10" t="s">
        <v>40</v>
      </c>
      <c r="F538" s="651" t="s">
        <v>82</v>
      </c>
      <c r="G538" s="652" t="s">
        <v>90</v>
      </c>
      <c r="H538" s="652" t="s">
        <v>38</v>
      </c>
      <c r="I538" s="653" t="s">
        <v>394</v>
      </c>
      <c r="J538" s="10"/>
      <c r="K538" s="26">
        <f>K539+K540</f>
        <v>2883.6000000000004</v>
      </c>
      <c r="L538" s="26">
        <f>L539+L540</f>
        <v>0</v>
      </c>
      <c r="M538" s="26">
        <f>M539+M540</f>
        <v>2883.6000000000004</v>
      </c>
    </row>
    <row r="539" spans="1:13" s="147" customFormat="1" ht="56.25" customHeight="1" x14ac:dyDescent="0.35">
      <c r="A539" s="11"/>
      <c r="B539" s="24" t="s">
        <v>56</v>
      </c>
      <c r="C539" s="25" t="s">
        <v>448</v>
      </c>
      <c r="D539" s="10" t="s">
        <v>225</v>
      </c>
      <c r="E539" s="10" t="s">
        <v>40</v>
      </c>
      <c r="F539" s="651" t="s">
        <v>82</v>
      </c>
      <c r="G539" s="652" t="s">
        <v>90</v>
      </c>
      <c r="H539" s="652" t="s">
        <v>38</v>
      </c>
      <c r="I539" s="653" t="s">
        <v>394</v>
      </c>
      <c r="J539" s="10" t="s">
        <v>57</v>
      </c>
      <c r="K539" s="26">
        <v>173.3</v>
      </c>
      <c r="L539" s="26">
        <f>M539-K539</f>
        <v>0</v>
      </c>
      <c r="M539" s="26">
        <v>173.3</v>
      </c>
    </row>
    <row r="540" spans="1:13" s="147" customFormat="1" ht="56.25" customHeight="1" x14ac:dyDescent="0.35">
      <c r="A540" s="11"/>
      <c r="B540" s="24" t="s">
        <v>77</v>
      </c>
      <c r="C540" s="25" t="s">
        <v>448</v>
      </c>
      <c r="D540" s="10" t="s">
        <v>225</v>
      </c>
      <c r="E540" s="10" t="s">
        <v>40</v>
      </c>
      <c r="F540" s="651" t="s">
        <v>82</v>
      </c>
      <c r="G540" s="652" t="s">
        <v>90</v>
      </c>
      <c r="H540" s="652" t="s">
        <v>38</v>
      </c>
      <c r="I540" s="653" t="s">
        <v>394</v>
      </c>
      <c r="J540" s="10" t="s">
        <v>78</v>
      </c>
      <c r="K540" s="26">
        <v>2710.3</v>
      </c>
      <c r="L540" s="26">
        <f>M540-K540</f>
        <v>0</v>
      </c>
      <c r="M540" s="26">
        <v>2710.3</v>
      </c>
    </row>
    <row r="541" spans="1:13" s="147" customFormat="1" ht="18" x14ac:dyDescent="0.35">
      <c r="A541" s="11"/>
      <c r="B541" s="24" t="s">
        <v>452</v>
      </c>
      <c r="C541" s="25" t="s">
        <v>448</v>
      </c>
      <c r="D541" s="10" t="s">
        <v>225</v>
      </c>
      <c r="E541" s="10" t="s">
        <v>40</v>
      </c>
      <c r="F541" s="651" t="s">
        <v>82</v>
      </c>
      <c r="G541" s="652" t="s">
        <v>90</v>
      </c>
      <c r="H541" s="652" t="s">
        <v>38</v>
      </c>
      <c r="I541" s="653" t="s">
        <v>453</v>
      </c>
      <c r="J541" s="10"/>
      <c r="K541" s="26">
        <f>K542+K543</f>
        <v>7254.2</v>
      </c>
      <c r="L541" s="26">
        <f>M541-K541</f>
        <v>0</v>
      </c>
      <c r="M541" s="26">
        <f>M542+M543</f>
        <v>7254.2</v>
      </c>
    </row>
    <row r="542" spans="1:13" s="147" customFormat="1" ht="56.25" customHeight="1" x14ac:dyDescent="0.35">
      <c r="A542" s="11"/>
      <c r="B542" s="24" t="s">
        <v>56</v>
      </c>
      <c r="C542" s="25" t="s">
        <v>448</v>
      </c>
      <c r="D542" s="10" t="s">
        <v>225</v>
      </c>
      <c r="E542" s="10" t="s">
        <v>40</v>
      </c>
      <c r="F542" s="651" t="s">
        <v>82</v>
      </c>
      <c r="G542" s="652" t="s">
        <v>90</v>
      </c>
      <c r="H542" s="652" t="s">
        <v>38</v>
      </c>
      <c r="I542" s="653" t="s">
        <v>453</v>
      </c>
      <c r="J542" s="10" t="s">
        <v>57</v>
      </c>
      <c r="K542" s="26">
        <v>905.2</v>
      </c>
      <c r="L542" s="26">
        <f>M542-K542</f>
        <v>0</v>
      </c>
      <c r="M542" s="26">
        <v>905.2</v>
      </c>
    </row>
    <row r="543" spans="1:13" s="147" customFormat="1" ht="56.25" customHeight="1" x14ac:dyDescent="0.35">
      <c r="A543" s="11"/>
      <c r="B543" s="24" t="s">
        <v>77</v>
      </c>
      <c r="C543" s="25" t="s">
        <v>448</v>
      </c>
      <c r="D543" s="10" t="s">
        <v>225</v>
      </c>
      <c r="E543" s="10" t="s">
        <v>40</v>
      </c>
      <c r="F543" s="651" t="s">
        <v>82</v>
      </c>
      <c r="G543" s="652" t="s">
        <v>90</v>
      </c>
      <c r="H543" s="652" t="s">
        <v>38</v>
      </c>
      <c r="I543" s="653" t="s">
        <v>453</v>
      </c>
      <c r="J543" s="10" t="s">
        <v>78</v>
      </c>
      <c r="K543" s="26">
        <v>6349</v>
      </c>
      <c r="L543" s="26">
        <f>M543-K543</f>
        <v>0</v>
      </c>
      <c r="M543" s="26">
        <v>6349</v>
      </c>
    </row>
    <row r="544" spans="1:13" s="147" customFormat="1" ht="18.75" customHeight="1" x14ac:dyDescent="0.35">
      <c r="A544" s="11"/>
      <c r="B544" s="24" t="s">
        <v>356</v>
      </c>
      <c r="C544" s="25" t="s">
        <v>448</v>
      </c>
      <c r="D544" s="10" t="s">
        <v>225</v>
      </c>
      <c r="E544" s="10" t="s">
        <v>64</v>
      </c>
      <c r="F544" s="651"/>
      <c r="G544" s="652"/>
      <c r="H544" s="652"/>
      <c r="I544" s="653"/>
      <c r="J544" s="10"/>
      <c r="K544" s="26">
        <f t="shared" ref="K544:M546" si="78">K545</f>
        <v>66427.585000000006</v>
      </c>
      <c r="L544" s="26">
        <f t="shared" si="78"/>
        <v>2228.7999999999993</v>
      </c>
      <c r="M544" s="26">
        <f t="shared" si="78"/>
        <v>68656.385000000009</v>
      </c>
    </row>
    <row r="545" spans="1:13" s="147" customFormat="1" ht="56.25" customHeight="1" x14ac:dyDescent="0.35">
      <c r="A545" s="11"/>
      <c r="B545" s="112" t="s">
        <v>206</v>
      </c>
      <c r="C545" s="25" t="s">
        <v>448</v>
      </c>
      <c r="D545" s="10" t="s">
        <v>225</v>
      </c>
      <c r="E545" s="10" t="s">
        <v>64</v>
      </c>
      <c r="F545" s="651" t="s">
        <v>40</v>
      </c>
      <c r="G545" s="652" t="s">
        <v>43</v>
      </c>
      <c r="H545" s="652" t="s">
        <v>44</v>
      </c>
      <c r="I545" s="653" t="s">
        <v>45</v>
      </c>
      <c r="J545" s="10"/>
      <c r="K545" s="26">
        <f t="shared" si="78"/>
        <v>66427.585000000006</v>
      </c>
      <c r="L545" s="26">
        <f t="shared" si="78"/>
        <v>2228.7999999999993</v>
      </c>
      <c r="M545" s="26">
        <f t="shared" si="78"/>
        <v>68656.385000000009</v>
      </c>
    </row>
    <row r="546" spans="1:13" s="147" customFormat="1" ht="24" customHeight="1" x14ac:dyDescent="0.35">
      <c r="A546" s="11"/>
      <c r="B546" s="24" t="s">
        <v>211</v>
      </c>
      <c r="C546" s="25" t="s">
        <v>448</v>
      </c>
      <c r="D546" s="10" t="s">
        <v>225</v>
      </c>
      <c r="E546" s="10" t="s">
        <v>64</v>
      </c>
      <c r="F546" s="651" t="s">
        <v>40</v>
      </c>
      <c r="G546" s="652" t="s">
        <v>90</v>
      </c>
      <c r="H546" s="652" t="s">
        <v>44</v>
      </c>
      <c r="I546" s="653" t="s">
        <v>45</v>
      </c>
      <c r="J546" s="10"/>
      <c r="K546" s="26">
        <f t="shared" si="78"/>
        <v>66427.585000000006</v>
      </c>
      <c r="L546" s="26">
        <f t="shared" si="78"/>
        <v>2228.7999999999993</v>
      </c>
      <c r="M546" s="26">
        <f t="shared" si="78"/>
        <v>68656.385000000009</v>
      </c>
    </row>
    <row r="547" spans="1:13" s="147" customFormat="1" ht="37.5" customHeight="1" x14ac:dyDescent="0.35">
      <c r="A547" s="11"/>
      <c r="B547" s="24" t="s">
        <v>277</v>
      </c>
      <c r="C547" s="25" t="s">
        <v>448</v>
      </c>
      <c r="D547" s="10" t="s">
        <v>225</v>
      </c>
      <c r="E547" s="10" t="s">
        <v>64</v>
      </c>
      <c r="F547" s="651" t="s">
        <v>40</v>
      </c>
      <c r="G547" s="652" t="s">
        <v>90</v>
      </c>
      <c r="H547" s="652" t="s">
        <v>38</v>
      </c>
      <c r="I547" s="653" t="s">
        <v>45</v>
      </c>
      <c r="J547" s="10"/>
      <c r="K547" s="26">
        <f>K548+K563+K555+K565+K558+K560+K567</f>
        <v>66427.585000000006</v>
      </c>
      <c r="L547" s="26">
        <f>L548+L563+L555+L565+L558+L560+L567+L553</f>
        <v>2228.7999999999993</v>
      </c>
      <c r="M547" s="26">
        <f>M548+M563+M555+M565+M558+M560+M567+M553</f>
        <v>68656.385000000009</v>
      </c>
    </row>
    <row r="548" spans="1:13" s="147" customFormat="1" ht="37.5" customHeight="1" x14ac:dyDescent="0.35">
      <c r="A548" s="11"/>
      <c r="B548" s="27" t="s">
        <v>490</v>
      </c>
      <c r="C548" s="25" t="s">
        <v>448</v>
      </c>
      <c r="D548" s="10" t="s">
        <v>225</v>
      </c>
      <c r="E548" s="10" t="s">
        <v>64</v>
      </c>
      <c r="F548" s="651" t="s">
        <v>40</v>
      </c>
      <c r="G548" s="652" t="s">
        <v>90</v>
      </c>
      <c r="H548" s="652" t="s">
        <v>38</v>
      </c>
      <c r="I548" s="653" t="s">
        <v>92</v>
      </c>
      <c r="J548" s="10"/>
      <c r="K548" s="26">
        <f>K551+K549+K550+K552</f>
        <v>45634.085000000006</v>
      </c>
      <c r="L548" s="26">
        <f>L551+L549+L550+L552</f>
        <v>496.29999999999927</v>
      </c>
      <c r="M548" s="26">
        <f>M551+M549+M550+M552</f>
        <v>46130.385000000009</v>
      </c>
    </row>
    <row r="549" spans="1:13" s="147" customFormat="1" ht="112.5" customHeight="1" x14ac:dyDescent="0.35">
      <c r="A549" s="11"/>
      <c r="B549" s="24" t="s">
        <v>50</v>
      </c>
      <c r="C549" s="25" t="s">
        <v>448</v>
      </c>
      <c r="D549" s="10" t="s">
        <v>225</v>
      </c>
      <c r="E549" s="10" t="s">
        <v>64</v>
      </c>
      <c r="F549" s="651" t="s">
        <v>40</v>
      </c>
      <c r="G549" s="652" t="s">
        <v>90</v>
      </c>
      <c r="H549" s="652" t="s">
        <v>38</v>
      </c>
      <c r="I549" s="653" t="s">
        <v>92</v>
      </c>
      <c r="J549" s="10" t="s">
        <v>51</v>
      </c>
      <c r="K549" s="26">
        <f>20543.4+54.4+273.7-245.7-715.6</f>
        <v>19910.200000000004</v>
      </c>
      <c r="L549" s="26">
        <f>M549-K549</f>
        <v>81.599999999998545</v>
      </c>
      <c r="M549" s="26">
        <f>20543.4+54.4+273.7-245.7-715.6+81.6</f>
        <v>19991.800000000003</v>
      </c>
    </row>
    <row r="550" spans="1:13" s="147" customFormat="1" ht="56.25" customHeight="1" x14ac:dyDescent="0.35">
      <c r="A550" s="11"/>
      <c r="B550" s="24" t="s">
        <v>56</v>
      </c>
      <c r="C550" s="25" t="s">
        <v>448</v>
      </c>
      <c r="D550" s="10" t="s">
        <v>225</v>
      </c>
      <c r="E550" s="10" t="s">
        <v>64</v>
      </c>
      <c r="F550" s="651" t="s">
        <v>40</v>
      </c>
      <c r="G550" s="652" t="s">
        <v>90</v>
      </c>
      <c r="H550" s="652" t="s">
        <v>38</v>
      </c>
      <c r="I550" s="653" t="s">
        <v>92</v>
      </c>
      <c r="J550" s="10" t="s">
        <v>57</v>
      </c>
      <c r="K550" s="26">
        <f>2008+53.985-0.1+245.7+47.2</f>
        <v>2354.7849999999999</v>
      </c>
      <c r="L550" s="26">
        <f>M550-K550</f>
        <v>105</v>
      </c>
      <c r="M550" s="26">
        <f>2008+53.985-0.1+245.7+47.2+82.9+22.1</f>
        <v>2459.7849999999999</v>
      </c>
    </row>
    <row r="551" spans="1:13" s="147" customFormat="1" ht="56.25" customHeight="1" x14ac:dyDescent="0.35">
      <c r="A551" s="11"/>
      <c r="B551" s="24" t="s">
        <v>77</v>
      </c>
      <c r="C551" s="25" t="s">
        <v>448</v>
      </c>
      <c r="D551" s="10" t="s">
        <v>225</v>
      </c>
      <c r="E551" s="10" t="s">
        <v>64</v>
      </c>
      <c r="F551" s="651" t="s">
        <v>40</v>
      </c>
      <c r="G551" s="652" t="s">
        <v>90</v>
      </c>
      <c r="H551" s="652" t="s">
        <v>38</v>
      </c>
      <c r="I551" s="653" t="s">
        <v>92</v>
      </c>
      <c r="J551" s="10" t="s">
        <v>78</v>
      </c>
      <c r="K551" s="26">
        <f>28679.6+64.4-4465.2-1049.1+26.1</f>
        <v>23255.8</v>
      </c>
      <c r="L551" s="26">
        <f>M551-K551</f>
        <v>309.70000000000073</v>
      </c>
      <c r="M551" s="26">
        <f>28679.6+64.4-4465.2-1049.1+26.1+102.9+122.6+60.2+24</f>
        <v>23565.5</v>
      </c>
    </row>
    <row r="552" spans="1:13" s="147" customFormat="1" ht="18.75" customHeight="1" x14ac:dyDescent="0.35">
      <c r="A552" s="11"/>
      <c r="B552" s="24" t="s">
        <v>58</v>
      </c>
      <c r="C552" s="25" t="s">
        <v>448</v>
      </c>
      <c r="D552" s="10" t="s">
        <v>225</v>
      </c>
      <c r="E552" s="10" t="s">
        <v>64</v>
      </c>
      <c r="F552" s="651" t="s">
        <v>40</v>
      </c>
      <c r="G552" s="652" t="s">
        <v>90</v>
      </c>
      <c r="H552" s="652" t="s">
        <v>38</v>
      </c>
      <c r="I552" s="653" t="s">
        <v>92</v>
      </c>
      <c r="J552" s="10" t="s">
        <v>59</v>
      </c>
      <c r="K552" s="26">
        <f>113.2+0.1</f>
        <v>113.3</v>
      </c>
      <c r="L552" s="26">
        <f>M552-K552</f>
        <v>0</v>
      </c>
      <c r="M552" s="26">
        <f>113.2+0.1</f>
        <v>113.3</v>
      </c>
    </row>
    <row r="553" spans="1:13" s="147" customFormat="1" ht="24.6" customHeight="1" x14ac:dyDescent="0.35">
      <c r="A553" s="11"/>
      <c r="B553" s="24" t="s">
        <v>491</v>
      </c>
      <c r="C553" s="25" t="s">
        <v>448</v>
      </c>
      <c r="D553" s="10" t="s">
        <v>225</v>
      </c>
      <c r="E553" s="10" t="s">
        <v>64</v>
      </c>
      <c r="F553" s="651" t="s">
        <v>40</v>
      </c>
      <c r="G553" s="652" t="s">
        <v>90</v>
      </c>
      <c r="H553" s="652" t="s">
        <v>38</v>
      </c>
      <c r="I553" s="653" t="s">
        <v>394</v>
      </c>
      <c r="J553" s="10"/>
      <c r="K553" s="26"/>
      <c r="L553" s="26">
        <f>L554</f>
        <v>890.6</v>
      </c>
      <c r="M553" s="26">
        <f>M554</f>
        <v>890.6</v>
      </c>
    </row>
    <row r="554" spans="1:13" s="147" customFormat="1" ht="54" x14ac:dyDescent="0.35">
      <c r="A554" s="11"/>
      <c r="B554" s="24" t="s">
        <v>56</v>
      </c>
      <c r="C554" s="25" t="s">
        <v>448</v>
      </c>
      <c r="D554" s="10" t="s">
        <v>225</v>
      </c>
      <c r="E554" s="10" t="s">
        <v>64</v>
      </c>
      <c r="F554" s="651" t="s">
        <v>40</v>
      </c>
      <c r="G554" s="652" t="s">
        <v>90</v>
      </c>
      <c r="H554" s="652" t="s">
        <v>38</v>
      </c>
      <c r="I554" s="653" t="s">
        <v>394</v>
      </c>
      <c r="J554" s="10" t="s">
        <v>57</v>
      </c>
      <c r="K554" s="26"/>
      <c r="L554" s="26">
        <f>M554-K554</f>
        <v>890.6</v>
      </c>
      <c r="M554" s="26">
        <v>890.6</v>
      </c>
    </row>
    <row r="555" spans="1:13" s="147" customFormat="1" ht="56.25" customHeight="1" x14ac:dyDescent="0.35">
      <c r="A555" s="11"/>
      <c r="B555" s="24" t="s">
        <v>208</v>
      </c>
      <c r="C555" s="25" t="s">
        <v>448</v>
      </c>
      <c r="D555" s="10" t="s">
        <v>225</v>
      </c>
      <c r="E555" s="10" t="s">
        <v>64</v>
      </c>
      <c r="F555" s="651" t="s">
        <v>40</v>
      </c>
      <c r="G555" s="652" t="s">
        <v>90</v>
      </c>
      <c r="H555" s="652" t="s">
        <v>38</v>
      </c>
      <c r="I555" s="653" t="s">
        <v>274</v>
      </c>
      <c r="J555" s="10"/>
      <c r="K555" s="26">
        <f>K557+K556</f>
        <v>3338.6</v>
      </c>
      <c r="L555" s="26">
        <f>L557+L556</f>
        <v>865</v>
      </c>
      <c r="M555" s="26">
        <f>M557+M556</f>
        <v>4203.6000000000004</v>
      </c>
    </row>
    <row r="556" spans="1:13" s="147" customFormat="1" ht="56.25" customHeight="1" x14ac:dyDescent="0.35">
      <c r="A556" s="11"/>
      <c r="B556" s="24" t="s">
        <v>56</v>
      </c>
      <c r="C556" s="25" t="s">
        <v>448</v>
      </c>
      <c r="D556" s="10" t="s">
        <v>225</v>
      </c>
      <c r="E556" s="10" t="s">
        <v>64</v>
      </c>
      <c r="F556" s="651" t="s">
        <v>40</v>
      </c>
      <c r="G556" s="652" t="s">
        <v>90</v>
      </c>
      <c r="H556" s="652" t="s">
        <v>38</v>
      </c>
      <c r="I556" s="653" t="s">
        <v>274</v>
      </c>
      <c r="J556" s="10" t="s">
        <v>57</v>
      </c>
      <c r="K556" s="26">
        <f>676.5+38.9+715.6</f>
        <v>1431</v>
      </c>
      <c r="L556" s="26">
        <f>M556-K556</f>
        <v>384</v>
      </c>
      <c r="M556" s="26">
        <f>676.5+38.9+715.6+84+300</f>
        <v>1815</v>
      </c>
    </row>
    <row r="557" spans="1:13" s="147" customFormat="1" ht="56.25" customHeight="1" x14ac:dyDescent="0.35">
      <c r="A557" s="11"/>
      <c r="B557" s="112" t="s">
        <v>77</v>
      </c>
      <c r="C557" s="25" t="s">
        <v>448</v>
      </c>
      <c r="D557" s="10" t="s">
        <v>225</v>
      </c>
      <c r="E557" s="10" t="s">
        <v>64</v>
      </c>
      <c r="F557" s="651" t="s">
        <v>40</v>
      </c>
      <c r="G557" s="652" t="s">
        <v>90</v>
      </c>
      <c r="H557" s="652" t="s">
        <v>38</v>
      </c>
      <c r="I557" s="653" t="s">
        <v>274</v>
      </c>
      <c r="J557" s="10" t="s">
        <v>78</v>
      </c>
      <c r="K557" s="26">
        <f>858.5+1049.1</f>
        <v>1907.6</v>
      </c>
      <c r="L557" s="26">
        <f>M557-K557</f>
        <v>481</v>
      </c>
      <c r="M557" s="26">
        <f>858.5+1049.1+126+355</f>
        <v>2388.6</v>
      </c>
    </row>
    <row r="558" spans="1:13" s="147" customFormat="1" ht="37.5" customHeight="1" x14ac:dyDescent="0.35">
      <c r="A558" s="11"/>
      <c r="B558" s="24" t="s">
        <v>209</v>
      </c>
      <c r="C558" s="25" t="s">
        <v>448</v>
      </c>
      <c r="D558" s="10" t="s">
        <v>225</v>
      </c>
      <c r="E558" s="10" t="s">
        <v>64</v>
      </c>
      <c r="F558" s="651" t="s">
        <v>40</v>
      </c>
      <c r="G558" s="652" t="s">
        <v>90</v>
      </c>
      <c r="H558" s="652" t="s">
        <v>38</v>
      </c>
      <c r="I558" s="653" t="s">
        <v>275</v>
      </c>
      <c r="J558" s="10"/>
      <c r="K558" s="26">
        <f>K559</f>
        <v>17</v>
      </c>
      <c r="L558" s="26">
        <f>L559</f>
        <v>0</v>
      </c>
      <c r="M558" s="26">
        <f>M559</f>
        <v>17</v>
      </c>
    </row>
    <row r="559" spans="1:13" s="147" customFormat="1" ht="56.25" customHeight="1" x14ac:dyDescent="0.35">
      <c r="A559" s="11"/>
      <c r="B559" s="112" t="s">
        <v>77</v>
      </c>
      <c r="C559" s="25" t="s">
        <v>448</v>
      </c>
      <c r="D559" s="10" t="s">
        <v>225</v>
      </c>
      <c r="E559" s="10" t="s">
        <v>64</v>
      </c>
      <c r="F559" s="651" t="s">
        <v>40</v>
      </c>
      <c r="G559" s="652" t="s">
        <v>90</v>
      </c>
      <c r="H559" s="652" t="s">
        <v>38</v>
      </c>
      <c r="I559" s="653" t="s">
        <v>275</v>
      </c>
      <c r="J559" s="10" t="s">
        <v>78</v>
      </c>
      <c r="K559" s="26">
        <v>17</v>
      </c>
      <c r="L559" s="26">
        <f>M559-K559</f>
        <v>0</v>
      </c>
      <c r="M559" s="26">
        <v>17</v>
      </c>
    </row>
    <row r="560" spans="1:13" s="147" customFormat="1" ht="56.25" customHeight="1" x14ac:dyDescent="0.35">
      <c r="A560" s="11"/>
      <c r="B560" s="112" t="s">
        <v>597</v>
      </c>
      <c r="C560" s="25" t="s">
        <v>448</v>
      </c>
      <c r="D560" s="10" t="s">
        <v>225</v>
      </c>
      <c r="E560" s="10" t="s">
        <v>64</v>
      </c>
      <c r="F560" s="651" t="s">
        <v>40</v>
      </c>
      <c r="G560" s="652" t="s">
        <v>90</v>
      </c>
      <c r="H560" s="652" t="s">
        <v>38</v>
      </c>
      <c r="I560" s="653" t="s">
        <v>596</v>
      </c>
      <c r="J560" s="10"/>
      <c r="K560" s="26">
        <f>SUM(K561:K562)</f>
        <v>4940.4000000000005</v>
      </c>
      <c r="L560" s="26">
        <f>SUM(L561:L562)</f>
        <v>0</v>
      </c>
      <c r="M560" s="26">
        <f>SUM(M561:M562)</f>
        <v>4940.4000000000005</v>
      </c>
    </row>
    <row r="561" spans="1:13" s="147" customFormat="1" ht="56.25" customHeight="1" x14ac:dyDescent="0.35">
      <c r="A561" s="11"/>
      <c r="B561" s="112" t="s">
        <v>77</v>
      </c>
      <c r="C561" s="25" t="s">
        <v>448</v>
      </c>
      <c r="D561" s="10" t="s">
        <v>225</v>
      </c>
      <c r="E561" s="10" t="s">
        <v>64</v>
      </c>
      <c r="F561" s="651" t="s">
        <v>40</v>
      </c>
      <c r="G561" s="652" t="s">
        <v>90</v>
      </c>
      <c r="H561" s="652" t="s">
        <v>38</v>
      </c>
      <c r="I561" s="653" t="s">
        <v>596</v>
      </c>
      <c r="J561" s="10" t="s">
        <v>78</v>
      </c>
      <c r="K561" s="26">
        <f>4465.2+121.3+121.3+121.3</f>
        <v>4829.1000000000004</v>
      </c>
      <c r="L561" s="26">
        <f>M561-K561</f>
        <v>0</v>
      </c>
      <c r="M561" s="26">
        <f>4465.2+121.3+121.3+121.3</f>
        <v>4829.1000000000004</v>
      </c>
    </row>
    <row r="562" spans="1:13" s="147" customFormat="1" ht="18" x14ac:dyDescent="0.35">
      <c r="A562" s="11"/>
      <c r="B562" s="24" t="s">
        <v>58</v>
      </c>
      <c r="C562" s="25" t="s">
        <v>448</v>
      </c>
      <c r="D562" s="10" t="s">
        <v>225</v>
      </c>
      <c r="E562" s="10" t="s">
        <v>64</v>
      </c>
      <c r="F562" s="651" t="s">
        <v>40</v>
      </c>
      <c r="G562" s="652" t="s">
        <v>90</v>
      </c>
      <c r="H562" s="652" t="s">
        <v>38</v>
      </c>
      <c r="I562" s="653" t="s">
        <v>596</v>
      </c>
      <c r="J562" s="10" t="s">
        <v>59</v>
      </c>
      <c r="K562" s="26">
        <v>111.3</v>
      </c>
      <c r="L562" s="26">
        <f>M562-K562</f>
        <v>0</v>
      </c>
      <c r="M562" s="26">
        <v>111.3</v>
      </c>
    </row>
    <row r="563" spans="1:13" s="147" customFormat="1" ht="181.95" customHeight="1" x14ac:dyDescent="0.35">
      <c r="A563" s="11"/>
      <c r="B563" s="24" t="s">
        <v>269</v>
      </c>
      <c r="C563" s="25" t="s">
        <v>448</v>
      </c>
      <c r="D563" s="10" t="s">
        <v>225</v>
      </c>
      <c r="E563" s="10" t="s">
        <v>64</v>
      </c>
      <c r="F563" s="651" t="s">
        <v>40</v>
      </c>
      <c r="G563" s="652" t="s">
        <v>90</v>
      </c>
      <c r="H563" s="652" t="s">
        <v>38</v>
      </c>
      <c r="I563" s="653" t="s">
        <v>270</v>
      </c>
      <c r="J563" s="10"/>
      <c r="K563" s="26">
        <f>K564</f>
        <v>106.1</v>
      </c>
      <c r="L563" s="26">
        <f>L564</f>
        <v>-23.099999999999994</v>
      </c>
      <c r="M563" s="26">
        <f>M564</f>
        <v>83</v>
      </c>
    </row>
    <row r="564" spans="1:13" s="147" customFormat="1" ht="52.95" customHeight="1" x14ac:dyDescent="0.35">
      <c r="A564" s="11"/>
      <c r="B564" s="24" t="s">
        <v>77</v>
      </c>
      <c r="C564" s="25" t="s">
        <v>448</v>
      </c>
      <c r="D564" s="10" t="s">
        <v>225</v>
      </c>
      <c r="E564" s="10" t="s">
        <v>64</v>
      </c>
      <c r="F564" s="651" t="s">
        <v>40</v>
      </c>
      <c r="G564" s="652" t="s">
        <v>90</v>
      </c>
      <c r="H564" s="652" t="s">
        <v>38</v>
      </c>
      <c r="I564" s="653" t="s">
        <v>270</v>
      </c>
      <c r="J564" s="10" t="s">
        <v>78</v>
      </c>
      <c r="K564" s="26">
        <v>106.1</v>
      </c>
      <c r="L564" s="26">
        <f>M564-K564</f>
        <v>-23.099999999999994</v>
      </c>
      <c r="M564" s="26">
        <f>106.1-23.1</f>
        <v>83</v>
      </c>
    </row>
    <row r="565" spans="1:13" s="147" customFormat="1" ht="105" customHeight="1" x14ac:dyDescent="0.35">
      <c r="A565" s="11"/>
      <c r="B565" s="24" t="s">
        <v>352</v>
      </c>
      <c r="C565" s="25" t="s">
        <v>448</v>
      </c>
      <c r="D565" s="10" t="s">
        <v>225</v>
      </c>
      <c r="E565" s="10" t="s">
        <v>64</v>
      </c>
      <c r="F565" s="651" t="s">
        <v>40</v>
      </c>
      <c r="G565" s="652" t="s">
        <v>90</v>
      </c>
      <c r="H565" s="652" t="s">
        <v>38</v>
      </c>
      <c r="I565" s="653" t="s">
        <v>271</v>
      </c>
      <c r="J565" s="10"/>
      <c r="K565" s="26">
        <f>K566</f>
        <v>11191.4</v>
      </c>
      <c r="L565" s="26">
        <f>L566</f>
        <v>0</v>
      </c>
      <c r="M565" s="26">
        <f>M566</f>
        <v>11191.4</v>
      </c>
    </row>
    <row r="566" spans="1:13" s="147" customFormat="1" ht="56.25" customHeight="1" x14ac:dyDescent="0.35">
      <c r="A566" s="11"/>
      <c r="B566" s="24" t="s">
        <v>77</v>
      </c>
      <c r="C566" s="25" t="s">
        <v>448</v>
      </c>
      <c r="D566" s="10" t="s">
        <v>225</v>
      </c>
      <c r="E566" s="10" t="s">
        <v>64</v>
      </c>
      <c r="F566" s="651" t="s">
        <v>40</v>
      </c>
      <c r="G566" s="652" t="s">
        <v>90</v>
      </c>
      <c r="H566" s="652" t="s">
        <v>38</v>
      </c>
      <c r="I566" s="653" t="s">
        <v>271</v>
      </c>
      <c r="J566" s="10" t="s">
        <v>78</v>
      </c>
      <c r="K566" s="26">
        <f>10086.8+1104.6</f>
        <v>11191.4</v>
      </c>
      <c r="L566" s="26">
        <f>M566-K566</f>
        <v>0</v>
      </c>
      <c r="M566" s="26">
        <f>10086.8+1104.6</f>
        <v>11191.4</v>
      </c>
    </row>
    <row r="567" spans="1:13" s="147" customFormat="1" ht="56.25" customHeight="1" x14ac:dyDescent="0.35">
      <c r="A567" s="11"/>
      <c r="B567" s="24" t="s">
        <v>684</v>
      </c>
      <c r="C567" s="25" t="s">
        <v>448</v>
      </c>
      <c r="D567" s="10" t="s">
        <v>225</v>
      </c>
      <c r="E567" s="10" t="s">
        <v>64</v>
      </c>
      <c r="F567" s="651" t="s">
        <v>40</v>
      </c>
      <c r="G567" s="652" t="s">
        <v>90</v>
      </c>
      <c r="H567" s="652" t="s">
        <v>38</v>
      </c>
      <c r="I567" s="653" t="s">
        <v>683</v>
      </c>
      <c r="J567" s="10"/>
      <c r="K567" s="26">
        <f>K568</f>
        <v>1200</v>
      </c>
      <c r="L567" s="26">
        <f>L568</f>
        <v>0</v>
      </c>
      <c r="M567" s="26">
        <f>M568</f>
        <v>1200</v>
      </c>
    </row>
    <row r="568" spans="1:13" s="147" customFormat="1" ht="56.25" customHeight="1" x14ac:dyDescent="0.35">
      <c r="A568" s="11"/>
      <c r="B568" s="24" t="s">
        <v>77</v>
      </c>
      <c r="C568" s="25" t="s">
        <v>448</v>
      </c>
      <c r="D568" s="10" t="s">
        <v>225</v>
      </c>
      <c r="E568" s="10" t="s">
        <v>64</v>
      </c>
      <c r="F568" s="651" t="s">
        <v>40</v>
      </c>
      <c r="G568" s="652" t="s">
        <v>90</v>
      </c>
      <c r="H568" s="652" t="s">
        <v>38</v>
      </c>
      <c r="I568" s="653" t="s">
        <v>683</v>
      </c>
      <c r="J568" s="10" t="s">
        <v>78</v>
      </c>
      <c r="K568" s="26">
        <v>1200</v>
      </c>
      <c r="L568" s="26">
        <f>M568-K568</f>
        <v>0</v>
      </c>
      <c r="M568" s="26">
        <v>1200</v>
      </c>
    </row>
    <row r="569" spans="1:13" s="147" customFormat="1" ht="21" customHeight="1" x14ac:dyDescent="0.35">
      <c r="A569" s="11"/>
      <c r="B569" s="24" t="s">
        <v>357</v>
      </c>
      <c r="C569" s="25" t="s">
        <v>448</v>
      </c>
      <c r="D569" s="10" t="s">
        <v>225</v>
      </c>
      <c r="E569" s="10" t="s">
        <v>225</v>
      </c>
      <c r="F569" s="651"/>
      <c r="G569" s="652"/>
      <c r="H569" s="652"/>
      <c r="I569" s="653"/>
      <c r="J569" s="10"/>
      <c r="K569" s="26">
        <f t="shared" ref="K569:M570" si="79">K570</f>
        <v>6744.5999999999995</v>
      </c>
      <c r="L569" s="26">
        <f t="shared" si="79"/>
        <v>1168.8000000000002</v>
      </c>
      <c r="M569" s="26">
        <f t="shared" si="79"/>
        <v>7913.4</v>
      </c>
    </row>
    <row r="570" spans="1:13" s="147" customFormat="1" ht="56.25" customHeight="1" x14ac:dyDescent="0.35">
      <c r="A570" s="11"/>
      <c r="B570" s="24" t="s">
        <v>206</v>
      </c>
      <c r="C570" s="25" t="s">
        <v>448</v>
      </c>
      <c r="D570" s="10" t="s">
        <v>225</v>
      </c>
      <c r="E570" s="10" t="s">
        <v>225</v>
      </c>
      <c r="F570" s="651" t="s">
        <v>40</v>
      </c>
      <c r="G570" s="652" t="s">
        <v>43</v>
      </c>
      <c r="H570" s="652" t="s">
        <v>44</v>
      </c>
      <c r="I570" s="653" t="s">
        <v>45</v>
      </c>
      <c r="J570" s="10"/>
      <c r="K570" s="26">
        <f t="shared" si="79"/>
        <v>6744.5999999999995</v>
      </c>
      <c r="L570" s="26">
        <f t="shared" si="79"/>
        <v>1168.8000000000002</v>
      </c>
      <c r="M570" s="26">
        <f t="shared" si="79"/>
        <v>7913.4</v>
      </c>
    </row>
    <row r="571" spans="1:13" s="147" customFormat="1" ht="56.25" customHeight="1" x14ac:dyDescent="0.35">
      <c r="A571" s="11"/>
      <c r="B571" s="24" t="s">
        <v>213</v>
      </c>
      <c r="C571" s="25" t="s">
        <v>448</v>
      </c>
      <c r="D571" s="10" t="s">
        <v>225</v>
      </c>
      <c r="E571" s="10" t="s">
        <v>225</v>
      </c>
      <c r="F571" s="651" t="s">
        <v>40</v>
      </c>
      <c r="G571" s="652" t="s">
        <v>31</v>
      </c>
      <c r="H571" s="652" t="s">
        <v>44</v>
      </c>
      <c r="I571" s="653" t="s">
        <v>45</v>
      </c>
      <c r="J571" s="10"/>
      <c r="K571" s="26">
        <f>K572</f>
        <v>6744.5999999999995</v>
      </c>
      <c r="L571" s="26">
        <f>L572</f>
        <v>1168.8000000000002</v>
      </c>
      <c r="M571" s="26">
        <f>M572</f>
        <v>7913.4</v>
      </c>
    </row>
    <row r="572" spans="1:13" s="147" customFormat="1" ht="56.25" customHeight="1" x14ac:dyDescent="0.35">
      <c r="A572" s="11"/>
      <c r="B572" s="24" t="s">
        <v>282</v>
      </c>
      <c r="C572" s="25" t="s">
        <v>448</v>
      </c>
      <c r="D572" s="10" t="s">
        <v>225</v>
      </c>
      <c r="E572" s="10" t="s">
        <v>225</v>
      </c>
      <c r="F572" s="651" t="s">
        <v>40</v>
      </c>
      <c r="G572" s="652" t="s">
        <v>31</v>
      </c>
      <c r="H572" s="652" t="s">
        <v>40</v>
      </c>
      <c r="I572" s="653" t="s">
        <v>45</v>
      </c>
      <c r="J572" s="10"/>
      <c r="K572" s="26">
        <f>K573+K575</f>
        <v>6744.5999999999995</v>
      </c>
      <c r="L572" s="26">
        <f>L573+L575</f>
        <v>1168.8000000000002</v>
      </c>
      <c r="M572" s="26">
        <f>M573+M575</f>
        <v>7913.4</v>
      </c>
    </row>
    <row r="573" spans="1:13" s="147" customFormat="1" ht="35.25" customHeight="1" x14ac:dyDescent="0.35">
      <c r="A573" s="11"/>
      <c r="B573" s="24" t="s">
        <v>503</v>
      </c>
      <c r="C573" s="25" t="s">
        <v>448</v>
      </c>
      <c r="D573" s="10" t="s">
        <v>225</v>
      </c>
      <c r="E573" s="10" t="s">
        <v>225</v>
      </c>
      <c r="F573" s="651" t="s">
        <v>40</v>
      </c>
      <c r="G573" s="652" t="s">
        <v>31</v>
      </c>
      <c r="H573" s="652" t="s">
        <v>40</v>
      </c>
      <c r="I573" s="653" t="s">
        <v>502</v>
      </c>
      <c r="J573" s="10"/>
      <c r="K573" s="26">
        <f>K574</f>
        <v>2607.3000000000002</v>
      </c>
      <c r="L573" s="26">
        <f>L574</f>
        <v>0</v>
      </c>
      <c r="M573" s="26">
        <f>M574</f>
        <v>2607.3000000000002</v>
      </c>
    </row>
    <row r="574" spans="1:13" s="147" customFormat="1" ht="56.25" customHeight="1" x14ac:dyDescent="0.35">
      <c r="A574" s="11"/>
      <c r="B574" s="24" t="s">
        <v>77</v>
      </c>
      <c r="C574" s="25" t="s">
        <v>448</v>
      </c>
      <c r="D574" s="10" t="s">
        <v>225</v>
      </c>
      <c r="E574" s="10" t="s">
        <v>225</v>
      </c>
      <c r="F574" s="651" t="s">
        <v>40</v>
      </c>
      <c r="G574" s="652" t="s">
        <v>31</v>
      </c>
      <c r="H574" s="652" t="s">
        <v>40</v>
      </c>
      <c r="I574" s="653" t="s">
        <v>502</v>
      </c>
      <c r="J574" s="10" t="s">
        <v>78</v>
      </c>
      <c r="K574" s="26">
        <f>1258.8+160.3+19.4+1168.8</f>
        <v>2607.3000000000002</v>
      </c>
      <c r="L574" s="26">
        <f>M574-K574</f>
        <v>0</v>
      </c>
      <c r="M574" s="26">
        <f>1258.8+160.3+19.4+1168.8</f>
        <v>2607.3000000000002</v>
      </c>
    </row>
    <row r="575" spans="1:13" s="147" customFormat="1" ht="102" customHeight="1" x14ac:dyDescent="0.35">
      <c r="A575" s="11"/>
      <c r="B575" s="24" t="s">
        <v>464</v>
      </c>
      <c r="C575" s="25" t="s">
        <v>448</v>
      </c>
      <c r="D575" s="10" t="s">
        <v>225</v>
      </c>
      <c r="E575" s="10" t="s">
        <v>225</v>
      </c>
      <c r="F575" s="651" t="s">
        <v>40</v>
      </c>
      <c r="G575" s="652" t="s">
        <v>31</v>
      </c>
      <c r="H575" s="652" t="s">
        <v>40</v>
      </c>
      <c r="I575" s="653" t="s">
        <v>463</v>
      </c>
      <c r="J575" s="10"/>
      <c r="K575" s="26">
        <f>K576</f>
        <v>4137.2999999999993</v>
      </c>
      <c r="L575" s="26">
        <f>L576</f>
        <v>1168.8000000000002</v>
      </c>
      <c r="M575" s="26">
        <f>M576</f>
        <v>5306.0999999999995</v>
      </c>
    </row>
    <row r="576" spans="1:13" s="147" customFormat="1" ht="56.25" customHeight="1" x14ac:dyDescent="0.35">
      <c r="A576" s="11"/>
      <c r="B576" s="24" t="s">
        <v>77</v>
      </c>
      <c r="C576" s="25" t="s">
        <v>448</v>
      </c>
      <c r="D576" s="10" t="s">
        <v>225</v>
      </c>
      <c r="E576" s="10" t="s">
        <v>225</v>
      </c>
      <c r="F576" s="651" t="s">
        <v>40</v>
      </c>
      <c r="G576" s="652" t="s">
        <v>31</v>
      </c>
      <c r="H576" s="652" t="s">
        <v>40</v>
      </c>
      <c r="I576" s="653" t="s">
        <v>463</v>
      </c>
      <c r="J576" s="10" t="s">
        <v>78</v>
      </c>
      <c r="K576" s="26">
        <f>6749.9-2612.6</f>
        <v>4137.2999999999993</v>
      </c>
      <c r="L576" s="26">
        <f>M576-K576</f>
        <v>1168.8000000000002</v>
      </c>
      <c r="M576" s="26">
        <f>6749.9-2612.6+1168.8</f>
        <v>5306.0999999999995</v>
      </c>
    </row>
    <row r="577" spans="1:13" s="147" customFormat="1" ht="18.75" customHeight="1" x14ac:dyDescent="0.35">
      <c r="A577" s="11"/>
      <c r="B577" s="24" t="s">
        <v>187</v>
      </c>
      <c r="C577" s="25" t="s">
        <v>448</v>
      </c>
      <c r="D577" s="10" t="s">
        <v>225</v>
      </c>
      <c r="E577" s="10" t="s">
        <v>80</v>
      </c>
      <c r="F577" s="651"/>
      <c r="G577" s="652"/>
      <c r="H577" s="652"/>
      <c r="I577" s="653"/>
      <c r="J577" s="10"/>
      <c r="K577" s="26">
        <f>K578</f>
        <v>60613.166999999994</v>
      </c>
      <c r="L577" s="26">
        <f>L578</f>
        <v>10720.100000000002</v>
      </c>
      <c r="M577" s="26">
        <f>M578</f>
        <v>71333.266999999993</v>
      </c>
    </row>
    <row r="578" spans="1:13" s="147" customFormat="1" ht="56.25" customHeight="1" x14ac:dyDescent="0.35">
      <c r="A578" s="11"/>
      <c r="B578" s="24" t="s">
        <v>206</v>
      </c>
      <c r="C578" s="25" t="s">
        <v>448</v>
      </c>
      <c r="D578" s="10" t="s">
        <v>225</v>
      </c>
      <c r="E578" s="10" t="s">
        <v>80</v>
      </c>
      <c r="F578" s="651" t="s">
        <v>40</v>
      </c>
      <c r="G578" s="652" t="s">
        <v>43</v>
      </c>
      <c r="H578" s="652" t="s">
        <v>44</v>
      </c>
      <c r="I578" s="653" t="s">
        <v>45</v>
      </c>
      <c r="J578" s="10"/>
      <c r="K578" s="26">
        <f>K583+K579</f>
        <v>60613.166999999994</v>
      </c>
      <c r="L578" s="26">
        <f>L583+L579</f>
        <v>10720.100000000002</v>
      </c>
      <c r="M578" s="26">
        <f>M583+M579</f>
        <v>71333.266999999993</v>
      </c>
    </row>
    <row r="579" spans="1:13" s="147" customFormat="1" ht="25.5" customHeight="1" x14ac:dyDescent="0.35">
      <c r="A579" s="11"/>
      <c r="B579" s="24" t="s">
        <v>211</v>
      </c>
      <c r="C579" s="25" t="s">
        <v>448</v>
      </c>
      <c r="D579" s="10" t="s">
        <v>225</v>
      </c>
      <c r="E579" s="10" t="s">
        <v>80</v>
      </c>
      <c r="F579" s="651" t="s">
        <v>40</v>
      </c>
      <c r="G579" s="652" t="s">
        <v>90</v>
      </c>
      <c r="H579" s="652" t="s">
        <v>44</v>
      </c>
      <c r="I579" s="653" t="s">
        <v>45</v>
      </c>
      <c r="J579" s="10"/>
      <c r="K579" s="26">
        <f t="shared" ref="K579:M581" si="80">K580</f>
        <v>54</v>
      </c>
      <c r="L579" s="26">
        <f t="shared" si="80"/>
        <v>0</v>
      </c>
      <c r="M579" s="26">
        <f t="shared" si="80"/>
        <v>54</v>
      </c>
    </row>
    <row r="580" spans="1:13" s="147" customFormat="1" ht="18.75" customHeight="1" x14ac:dyDescent="0.35">
      <c r="A580" s="11"/>
      <c r="B580" s="24" t="s">
        <v>278</v>
      </c>
      <c r="C580" s="25" t="s">
        <v>448</v>
      </c>
      <c r="D580" s="10" t="s">
        <v>225</v>
      </c>
      <c r="E580" s="10" t="s">
        <v>80</v>
      </c>
      <c r="F580" s="651" t="s">
        <v>40</v>
      </c>
      <c r="G580" s="652" t="s">
        <v>90</v>
      </c>
      <c r="H580" s="652" t="s">
        <v>40</v>
      </c>
      <c r="I580" s="653" t="s">
        <v>45</v>
      </c>
      <c r="J580" s="10"/>
      <c r="K580" s="26">
        <f t="shared" si="80"/>
        <v>54</v>
      </c>
      <c r="L580" s="26">
        <f t="shared" si="80"/>
        <v>0</v>
      </c>
      <c r="M580" s="26">
        <f t="shared" si="80"/>
        <v>54</v>
      </c>
    </row>
    <row r="581" spans="1:13" s="147" customFormat="1" ht="58.2" customHeight="1" x14ac:dyDescent="0.35">
      <c r="A581" s="11"/>
      <c r="B581" s="24" t="s">
        <v>279</v>
      </c>
      <c r="C581" s="25" t="s">
        <v>448</v>
      </c>
      <c r="D581" s="10" t="s">
        <v>225</v>
      </c>
      <c r="E581" s="10" t="s">
        <v>80</v>
      </c>
      <c r="F581" s="651" t="s">
        <v>40</v>
      </c>
      <c r="G581" s="652" t="s">
        <v>90</v>
      </c>
      <c r="H581" s="652" t="s">
        <v>40</v>
      </c>
      <c r="I581" s="653" t="s">
        <v>280</v>
      </c>
      <c r="J581" s="10"/>
      <c r="K581" s="26">
        <f t="shared" si="80"/>
        <v>54</v>
      </c>
      <c r="L581" s="26">
        <f t="shared" si="80"/>
        <v>0</v>
      </c>
      <c r="M581" s="26">
        <f t="shared" si="80"/>
        <v>54</v>
      </c>
    </row>
    <row r="582" spans="1:13" s="147" customFormat="1" ht="37.5" customHeight="1" x14ac:dyDescent="0.35">
      <c r="A582" s="11"/>
      <c r="B582" s="24" t="s">
        <v>121</v>
      </c>
      <c r="C582" s="25" t="s">
        <v>448</v>
      </c>
      <c r="D582" s="10" t="s">
        <v>225</v>
      </c>
      <c r="E582" s="10" t="s">
        <v>80</v>
      </c>
      <c r="F582" s="651" t="s">
        <v>40</v>
      </c>
      <c r="G582" s="652" t="s">
        <v>90</v>
      </c>
      <c r="H582" s="652" t="s">
        <v>40</v>
      </c>
      <c r="I582" s="653" t="s">
        <v>280</v>
      </c>
      <c r="J582" s="10" t="s">
        <v>122</v>
      </c>
      <c r="K582" s="26">
        <v>54</v>
      </c>
      <c r="L582" s="26">
        <f>M582-K582</f>
        <v>0</v>
      </c>
      <c r="M582" s="26">
        <v>54</v>
      </c>
    </row>
    <row r="583" spans="1:13" s="147" customFormat="1" ht="56.25" customHeight="1" x14ac:dyDescent="0.35">
      <c r="A583" s="11"/>
      <c r="B583" s="24" t="s">
        <v>213</v>
      </c>
      <c r="C583" s="25" t="s">
        <v>448</v>
      </c>
      <c r="D583" s="10" t="s">
        <v>225</v>
      </c>
      <c r="E583" s="10" t="s">
        <v>80</v>
      </c>
      <c r="F583" s="651" t="s">
        <v>40</v>
      </c>
      <c r="G583" s="652" t="s">
        <v>31</v>
      </c>
      <c r="H583" s="652" t="s">
        <v>44</v>
      </c>
      <c r="I583" s="653" t="s">
        <v>45</v>
      </c>
      <c r="J583" s="10"/>
      <c r="K583" s="26">
        <f>K584</f>
        <v>60559.166999999994</v>
      </c>
      <c r="L583" s="26">
        <f>L584</f>
        <v>10720.100000000002</v>
      </c>
      <c r="M583" s="26">
        <f>M584</f>
        <v>71279.266999999993</v>
      </c>
    </row>
    <row r="584" spans="1:13" s="147" customFormat="1" ht="37.5" customHeight="1" x14ac:dyDescent="0.35">
      <c r="A584" s="11"/>
      <c r="B584" s="24" t="s">
        <v>283</v>
      </c>
      <c r="C584" s="25" t="s">
        <v>448</v>
      </c>
      <c r="D584" s="10" t="s">
        <v>225</v>
      </c>
      <c r="E584" s="10" t="s">
        <v>80</v>
      </c>
      <c r="F584" s="651" t="s">
        <v>40</v>
      </c>
      <c r="G584" s="652" t="s">
        <v>31</v>
      </c>
      <c r="H584" s="652" t="s">
        <v>38</v>
      </c>
      <c r="I584" s="653" t="s">
        <v>45</v>
      </c>
      <c r="J584" s="10"/>
      <c r="K584" s="26">
        <f>K585+K589+K594+K600+K596+K598</f>
        <v>60559.166999999994</v>
      </c>
      <c r="L584" s="26">
        <f>L585+L589+L594+L600+L596+L598</f>
        <v>10720.100000000002</v>
      </c>
      <c r="M584" s="26">
        <f>M585+M589+M594+M600+M596+M598</f>
        <v>71279.266999999993</v>
      </c>
    </row>
    <row r="585" spans="1:13" s="147" customFormat="1" ht="37.5" customHeight="1" x14ac:dyDescent="0.35">
      <c r="A585" s="11"/>
      <c r="B585" s="24" t="s">
        <v>48</v>
      </c>
      <c r="C585" s="25" t="s">
        <v>448</v>
      </c>
      <c r="D585" s="10" t="s">
        <v>225</v>
      </c>
      <c r="E585" s="10" t="s">
        <v>80</v>
      </c>
      <c r="F585" s="651" t="s">
        <v>40</v>
      </c>
      <c r="G585" s="652" t="s">
        <v>31</v>
      </c>
      <c r="H585" s="652" t="s">
        <v>38</v>
      </c>
      <c r="I585" s="653" t="s">
        <v>49</v>
      </c>
      <c r="J585" s="10"/>
      <c r="K585" s="26">
        <f>K586+K587+K588</f>
        <v>6800.6279999999988</v>
      </c>
      <c r="L585" s="26">
        <f>L586+L587+L588</f>
        <v>4900</v>
      </c>
      <c r="M585" s="26">
        <f>M586+M587+M588</f>
        <v>11700.627999999999</v>
      </c>
    </row>
    <row r="586" spans="1:13" s="147" customFormat="1" ht="112.5" customHeight="1" x14ac:dyDescent="0.35">
      <c r="A586" s="11"/>
      <c r="B586" s="24" t="s">
        <v>50</v>
      </c>
      <c r="C586" s="25" t="s">
        <v>448</v>
      </c>
      <c r="D586" s="10" t="s">
        <v>225</v>
      </c>
      <c r="E586" s="10" t="s">
        <v>80</v>
      </c>
      <c r="F586" s="651" t="s">
        <v>40</v>
      </c>
      <c r="G586" s="652" t="s">
        <v>31</v>
      </c>
      <c r="H586" s="652" t="s">
        <v>38</v>
      </c>
      <c r="I586" s="653" t="s">
        <v>49</v>
      </c>
      <c r="J586" s="10" t="s">
        <v>51</v>
      </c>
      <c r="K586" s="26">
        <f>9369.4+1541.8-4900</f>
        <v>6011.1999999999989</v>
      </c>
      <c r="L586" s="26">
        <f>M586-K586</f>
        <v>4900</v>
      </c>
      <c r="M586" s="26">
        <f>9369.4+1541.8-4900+4900</f>
        <v>10911.199999999999</v>
      </c>
    </row>
    <row r="587" spans="1:13" s="147" customFormat="1" ht="56.25" customHeight="1" x14ac:dyDescent="0.35">
      <c r="A587" s="11"/>
      <c r="B587" s="24" t="s">
        <v>56</v>
      </c>
      <c r="C587" s="25" t="s">
        <v>448</v>
      </c>
      <c r="D587" s="10" t="s">
        <v>225</v>
      </c>
      <c r="E587" s="10" t="s">
        <v>80</v>
      </c>
      <c r="F587" s="651" t="s">
        <v>40</v>
      </c>
      <c r="G587" s="652" t="s">
        <v>31</v>
      </c>
      <c r="H587" s="652" t="s">
        <v>38</v>
      </c>
      <c r="I587" s="653" t="s">
        <v>49</v>
      </c>
      <c r="J587" s="10" t="s">
        <v>57</v>
      </c>
      <c r="K587" s="26">
        <f>767.7+4.728</f>
        <v>772.428</v>
      </c>
      <c r="L587" s="26">
        <f>M587-K587</f>
        <v>0</v>
      </c>
      <c r="M587" s="26">
        <f>767.7+4.728</f>
        <v>772.428</v>
      </c>
    </row>
    <row r="588" spans="1:13" s="147" customFormat="1" ht="18.75" customHeight="1" x14ac:dyDescent="0.35">
      <c r="A588" s="11"/>
      <c r="B588" s="24" t="s">
        <v>58</v>
      </c>
      <c r="C588" s="25" t="s">
        <v>448</v>
      </c>
      <c r="D588" s="10" t="s">
        <v>225</v>
      </c>
      <c r="E588" s="10" t="s">
        <v>80</v>
      </c>
      <c r="F588" s="651" t="s">
        <v>40</v>
      </c>
      <c r="G588" s="652" t="s">
        <v>31</v>
      </c>
      <c r="H588" s="652" t="s">
        <v>38</v>
      </c>
      <c r="I588" s="653" t="s">
        <v>49</v>
      </c>
      <c r="J588" s="10" t="s">
        <v>59</v>
      </c>
      <c r="K588" s="26">
        <v>17</v>
      </c>
      <c r="L588" s="26">
        <f>M588-K588</f>
        <v>0</v>
      </c>
      <c r="M588" s="26">
        <v>17</v>
      </c>
    </row>
    <row r="589" spans="1:13" s="147" customFormat="1" ht="35.25" customHeight="1" x14ac:dyDescent="0.35">
      <c r="A589" s="11"/>
      <c r="B589" s="27" t="s">
        <v>490</v>
      </c>
      <c r="C589" s="25" t="s">
        <v>448</v>
      </c>
      <c r="D589" s="10" t="s">
        <v>225</v>
      </c>
      <c r="E589" s="10" t="s">
        <v>80</v>
      </c>
      <c r="F589" s="651" t="s">
        <v>40</v>
      </c>
      <c r="G589" s="652" t="s">
        <v>31</v>
      </c>
      <c r="H589" s="652" t="s">
        <v>38</v>
      </c>
      <c r="I589" s="653" t="s">
        <v>92</v>
      </c>
      <c r="J589" s="10"/>
      <c r="K589" s="26">
        <f>K590+K591+K593+K592</f>
        <v>46360.438999999998</v>
      </c>
      <c r="L589" s="26">
        <f>L590+L591+L593+L592</f>
        <v>5820.1000000000022</v>
      </c>
      <c r="M589" s="26">
        <f>M590+M591+M593+M592</f>
        <v>52180.539000000004</v>
      </c>
    </row>
    <row r="590" spans="1:13" s="147" customFormat="1" ht="112.5" customHeight="1" x14ac:dyDescent="0.35">
      <c r="A590" s="11"/>
      <c r="B590" s="24" t="s">
        <v>50</v>
      </c>
      <c r="C590" s="25" t="s">
        <v>448</v>
      </c>
      <c r="D590" s="10" t="s">
        <v>225</v>
      </c>
      <c r="E590" s="10" t="s">
        <v>80</v>
      </c>
      <c r="F590" s="651" t="s">
        <v>40</v>
      </c>
      <c r="G590" s="652" t="s">
        <v>31</v>
      </c>
      <c r="H590" s="652" t="s">
        <v>38</v>
      </c>
      <c r="I590" s="653" t="s">
        <v>92</v>
      </c>
      <c r="J590" s="10" t="s">
        <v>51</v>
      </c>
      <c r="K590" s="26">
        <f>27291.4+3965.9+29.9+162.6-682.2+682.2+746.2-4276.2-14-220+4510.2-1168.8-126-1909.4-5000</f>
        <v>23991.800000000003</v>
      </c>
      <c r="L590" s="26">
        <f>M590-K590</f>
        <v>5812.3000000000029</v>
      </c>
      <c r="M590" s="26">
        <f>27291.4+3965.9+29.9+162.6-682.2+682.2+746.2-4276.2-14-220+4510.2-1168.8-126-1909.4-5000+7035.4-1540.6+1540.6+117.7+16-336-60-890.6-70.2</f>
        <v>29804.100000000006</v>
      </c>
    </row>
    <row r="591" spans="1:13" s="147" customFormat="1" ht="56.25" customHeight="1" x14ac:dyDescent="0.35">
      <c r="A591" s="11"/>
      <c r="B591" s="24" t="s">
        <v>56</v>
      </c>
      <c r="C591" s="25" t="s">
        <v>448</v>
      </c>
      <c r="D591" s="10" t="s">
        <v>225</v>
      </c>
      <c r="E591" s="10" t="s">
        <v>80</v>
      </c>
      <c r="F591" s="651" t="s">
        <v>40</v>
      </c>
      <c r="G591" s="652" t="s">
        <v>31</v>
      </c>
      <c r="H591" s="652" t="s">
        <v>38</v>
      </c>
      <c r="I591" s="653" t="s">
        <v>92</v>
      </c>
      <c r="J591" s="10" t="s">
        <v>57</v>
      </c>
      <c r="K591" s="26">
        <f>3043.9+19.439</f>
        <v>3063.3389999999999</v>
      </c>
      <c r="L591" s="26">
        <f>M591-K591</f>
        <v>0</v>
      </c>
      <c r="M591" s="26">
        <f>3043.9+19.439</f>
        <v>3063.3389999999999</v>
      </c>
    </row>
    <row r="592" spans="1:13" s="147" customFormat="1" ht="56.25" customHeight="1" x14ac:dyDescent="0.35">
      <c r="A592" s="11"/>
      <c r="B592" s="24" t="s">
        <v>77</v>
      </c>
      <c r="C592" s="25" t="s">
        <v>448</v>
      </c>
      <c r="D592" s="10" t="s">
        <v>225</v>
      </c>
      <c r="E592" s="10" t="s">
        <v>80</v>
      </c>
      <c r="F592" s="651" t="s">
        <v>40</v>
      </c>
      <c r="G592" s="652" t="s">
        <v>31</v>
      </c>
      <c r="H592" s="652" t="s">
        <v>38</v>
      </c>
      <c r="I592" s="653" t="s">
        <v>92</v>
      </c>
      <c r="J592" s="10" t="s">
        <v>78</v>
      </c>
      <c r="K592" s="26">
        <f>18895.6+403.5</f>
        <v>19299.099999999999</v>
      </c>
      <c r="L592" s="26">
        <f>M592-K592</f>
        <v>7.7999999999992724</v>
      </c>
      <c r="M592" s="26">
        <f>18895.6+403.5+7.8</f>
        <v>19306.899999999998</v>
      </c>
    </row>
    <row r="593" spans="1:13" s="147" customFormat="1" ht="18.75" customHeight="1" x14ac:dyDescent="0.35">
      <c r="A593" s="11"/>
      <c r="B593" s="24" t="s">
        <v>58</v>
      </c>
      <c r="C593" s="25" t="s">
        <v>448</v>
      </c>
      <c r="D593" s="10" t="s">
        <v>225</v>
      </c>
      <c r="E593" s="10" t="s">
        <v>80</v>
      </c>
      <c r="F593" s="651" t="s">
        <v>40</v>
      </c>
      <c r="G593" s="652" t="s">
        <v>31</v>
      </c>
      <c r="H593" s="652" t="s">
        <v>38</v>
      </c>
      <c r="I593" s="653" t="s">
        <v>92</v>
      </c>
      <c r="J593" s="10" t="s">
        <v>59</v>
      </c>
      <c r="K593" s="26">
        <v>6.2</v>
      </c>
      <c r="L593" s="26">
        <f>M593-K593</f>
        <v>0</v>
      </c>
      <c r="M593" s="26">
        <v>6.2</v>
      </c>
    </row>
    <row r="594" spans="1:13" s="147" customFormat="1" ht="18.75" customHeight="1" x14ac:dyDescent="0.35">
      <c r="A594" s="11"/>
      <c r="B594" s="24" t="s">
        <v>491</v>
      </c>
      <c r="C594" s="25" t="s">
        <v>448</v>
      </c>
      <c r="D594" s="10" t="s">
        <v>225</v>
      </c>
      <c r="E594" s="10" t="s">
        <v>80</v>
      </c>
      <c r="F594" s="651" t="s">
        <v>40</v>
      </c>
      <c r="G594" s="652" t="s">
        <v>31</v>
      </c>
      <c r="H594" s="652" t="s">
        <v>38</v>
      </c>
      <c r="I594" s="653" t="s">
        <v>394</v>
      </c>
      <c r="J594" s="10"/>
      <c r="K594" s="26">
        <f>K595</f>
        <v>550.9</v>
      </c>
      <c r="L594" s="26">
        <f>L595</f>
        <v>0</v>
      </c>
      <c r="M594" s="26">
        <f>M595</f>
        <v>550.9</v>
      </c>
    </row>
    <row r="595" spans="1:13" s="147" customFormat="1" ht="56.25" customHeight="1" x14ac:dyDescent="0.35">
      <c r="A595" s="11"/>
      <c r="B595" s="24" t="s">
        <v>56</v>
      </c>
      <c r="C595" s="25" t="s">
        <v>448</v>
      </c>
      <c r="D595" s="10" t="s">
        <v>225</v>
      </c>
      <c r="E595" s="10" t="s">
        <v>80</v>
      </c>
      <c r="F595" s="651" t="s">
        <v>40</v>
      </c>
      <c r="G595" s="652" t="s">
        <v>31</v>
      </c>
      <c r="H595" s="652" t="s">
        <v>38</v>
      </c>
      <c r="I595" s="653" t="s">
        <v>394</v>
      </c>
      <c r="J595" s="10" t="s">
        <v>57</v>
      </c>
      <c r="K595" s="26">
        <v>550.9</v>
      </c>
      <c r="L595" s="26">
        <f>M595-K595</f>
        <v>0</v>
      </c>
      <c r="M595" s="26">
        <v>550.9</v>
      </c>
    </row>
    <row r="596" spans="1:13" s="147" customFormat="1" ht="34.5" customHeight="1" x14ac:dyDescent="0.35">
      <c r="A596" s="11"/>
      <c r="B596" s="24" t="s">
        <v>209</v>
      </c>
      <c r="C596" s="25" t="s">
        <v>448</v>
      </c>
      <c r="D596" s="10" t="s">
        <v>225</v>
      </c>
      <c r="E596" s="10" t="s">
        <v>80</v>
      </c>
      <c r="F596" s="651" t="s">
        <v>40</v>
      </c>
      <c r="G596" s="652" t="s">
        <v>31</v>
      </c>
      <c r="H596" s="652" t="s">
        <v>38</v>
      </c>
      <c r="I596" s="653" t="s">
        <v>275</v>
      </c>
      <c r="J596" s="10"/>
      <c r="K596" s="26">
        <f>K597</f>
        <v>10</v>
      </c>
      <c r="L596" s="26">
        <f>L597</f>
        <v>0</v>
      </c>
      <c r="M596" s="26">
        <f>M597</f>
        <v>10</v>
      </c>
    </row>
    <row r="597" spans="1:13" s="147" customFormat="1" ht="57" customHeight="1" x14ac:dyDescent="0.35">
      <c r="A597" s="11"/>
      <c r="B597" s="24" t="s">
        <v>56</v>
      </c>
      <c r="C597" s="25" t="s">
        <v>448</v>
      </c>
      <c r="D597" s="10" t="s">
        <v>225</v>
      </c>
      <c r="E597" s="10" t="s">
        <v>80</v>
      </c>
      <c r="F597" s="651" t="s">
        <v>40</v>
      </c>
      <c r="G597" s="652" t="s">
        <v>31</v>
      </c>
      <c r="H597" s="652" t="s">
        <v>38</v>
      </c>
      <c r="I597" s="653" t="s">
        <v>275</v>
      </c>
      <c r="J597" s="10" t="s">
        <v>57</v>
      </c>
      <c r="K597" s="26">
        <v>10</v>
      </c>
      <c r="L597" s="26">
        <f>M597-K597</f>
        <v>0</v>
      </c>
      <c r="M597" s="26">
        <v>10</v>
      </c>
    </row>
    <row r="598" spans="1:13" s="147" customFormat="1" ht="57" customHeight="1" x14ac:dyDescent="0.35">
      <c r="A598" s="11"/>
      <c r="B598" s="24" t="s">
        <v>690</v>
      </c>
      <c r="C598" s="25" t="s">
        <v>448</v>
      </c>
      <c r="D598" s="10" t="s">
        <v>225</v>
      </c>
      <c r="E598" s="10" t="s">
        <v>80</v>
      </c>
      <c r="F598" s="651" t="s">
        <v>40</v>
      </c>
      <c r="G598" s="652" t="s">
        <v>31</v>
      </c>
      <c r="H598" s="652" t="s">
        <v>38</v>
      </c>
      <c r="I598" s="653" t="s">
        <v>689</v>
      </c>
      <c r="J598" s="10"/>
      <c r="K598" s="26">
        <f>K599</f>
        <v>518.4</v>
      </c>
      <c r="L598" s="26">
        <f>L599</f>
        <v>0</v>
      </c>
      <c r="M598" s="26">
        <f>M599</f>
        <v>518.4</v>
      </c>
    </row>
    <row r="599" spans="1:13" s="147" customFormat="1" ht="57" customHeight="1" x14ac:dyDescent="0.35">
      <c r="A599" s="11"/>
      <c r="B599" s="24" t="s">
        <v>77</v>
      </c>
      <c r="C599" s="25" t="s">
        <v>448</v>
      </c>
      <c r="D599" s="10" t="s">
        <v>225</v>
      </c>
      <c r="E599" s="10" t="s">
        <v>80</v>
      </c>
      <c r="F599" s="651" t="s">
        <v>40</v>
      </c>
      <c r="G599" s="652" t="s">
        <v>31</v>
      </c>
      <c r="H599" s="652" t="s">
        <v>38</v>
      </c>
      <c r="I599" s="653" t="s">
        <v>689</v>
      </c>
      <c r="J599" s="10" t="s">
        <v>78</v>
      </c>
      <c r="K599" s="26">
        <v>518.4</v>
      </c>
      <c r="L599" s="26">
        <f>M599-K599</f>
        <v>0</v>
      </c>
      <c r="M599" s="26">
        <v>518.4</v>
      </c>
    </row>
    <row r="600" spans="1:13" s="147" customFormat="1" ht="111" customHeight="1" x14ac:dyDescent="0.35">
      <c r="A600" s="11"/>
      <c r="B600" s="24" t="s">
        <v>352</v>
      </c>
      <c r="C600" s="25" t="s">
        <v>448</v>
      </c>
      <c r="D600" s="10" t="s">
        <v>225</v>
      </c>
      <c r="E600" s="10" t="s">
        <v>80</v>
      </c>
      <c r="F600" s="651" t="s">
        <v>40</v>
      </c>
      <c r="G600" s="652" t="s">
        <v>31</v>
      </c>
      <c r="H600" s="652" t="s">
        <v>38</v>
      </c>
      <c r="I600" s="653" t="s">
        <v>271</v>
      </c>
      <c r="J600" s="10"/>
      <c r="K600" s="26">
        <f>K601+K602</f>
        <v>6318.7999999999993</v>
      </c>
      <c r="L600" s="26">
        <f>L601+L602</f>
        <v>0</v>
      </c>
      <c r="M600" s="26">
        <f>M601+M602</f>
        <v>6318.7999999999993</v>
      </c>
    </row>
    <row r="601" spans="1:13" s="147" customFormat="1" ht="112.5" customHeight="1" x14ac:dyDescent="0.35">
      <c r="A601" s="11"/>
      <c r="B601" s="24" t="s">
        <v>50</v>
      </c>
      <c r="C601" s="25" t="s">
        <v>448</v>
      </c>
      <c r="D601" s="10" t="s">
        <v>225</v>
      </c>
      <c r="E601" s="10" t="s">
        <v>80</v>
      </c>
      <c r="F601" s="651" t="s">
        <v>40</v>
      </c>
      <c r="G601" s="652" t="s">
        <v>31</v>
      </c>
      <c r="H601" s="652" t="s">
        <v>38</v>
      </c>
      <c r="I601" s="653" t="s">
        <v>271</v>
      </c>
      <c r="J601" s="10" t="s">
        <v>51</v>
      </c>
      <c r="K601" s="26">
        <v>6189.9</v>
      </c>
      <c r="L601" s="26">
        <f>M601-K601</f>
        <v>0</v>
      </c>
      <c r="M601" s="26">
        <v>6189.9</v>
      </c>
    </row>
    <row r="602" spans="1:13" s="147" customFormat="1" ht="54" x14ac:dyDescent="0.35">
      <c r="A602" s="11"/>
      <c r="B602" s="24" t="s">
        <v>56</v>
      </c>
      <c r="C602" s="25" t="s">
        <v>448</v>
      </c>
      <c r="D602" s="10" t="s">
        <v>225</v>
      </c>
      <c r="E602" s="10" t="s">
        <v>80</v>
      </c>
      <c r="F602" s="651" t="s">
        <v>40</v>
      </c>
      <c r="G602" s="652" t="s">
        <v>31</v>
      </c>
      <c r="H602" s="652" t="s">
        <v>38</v>
      </c>
      <c r="I602" s="653" t="s">
        <v>271</v>
      </c>
      <c r="J602" s="10" t="s">
        <v>57</v>
      </c>
      <c r="K602" s="26">
        <v>128.9</v>
      </c>
      <c r="L602" s="26">
        <f>M602-K602</f>
        <v>0</v>
      </c>
      <c r="M602" s="26">
        <v>128.9</v>
      </c>
    </row>
    <row r="603" spans="1:13" s="147" customFormat="1" ht="18.75" customHeight="1" x14ac:dyDescent="0.35">
      <c r="A603" s="11"/>
      <c r="B603" s="29" t="s">
        <v>120</v>
      </c>
      <c r="C603" s="25" t="s">
        <v>448</v>
      </c>
      <c r="D603" s="10" t="s">
        <v>105</v>
      </c>
      <c r="E603" s="10"/>
      <c r="F603" s="651"/>
      <c r="G603" s="652"/>
      <c r="H603" s="652"/>
      <c r="I603" s="653"/>
      <c r="J603" s="10"/>
      <c r="K603" s="26">
        <f t="shared" ref="K603:M604" si="81">K604</f>
        <v>5452.5</v>
      </c>
      <c r="L603" s="26">
        <f t="shared" si="81"/>
        <v>1262.5000000000002</v>
      </c>
      <c r="M603" s="26">
        <f t="shared" si="81"/>
        <v>6715</v>
      </c>
    </row>
    <row r="604" spans="1:13" s="147" customFormat="1" ht="18.75" customHeight="1" x14ac:dyDescent="0.35">
      <c r="A604" s="11"/>
      <c r="B604" s="29" t="s">
        <v>194</v>
      </c>
      <c r="C604" s="25" t="s">
        <v>448</v>
      </c>
      <c r="D604" s="10" t="s">
        <v>105</v>
      </c>
      <c r="E604" s="10" t="s">
        <v>53</v>
      </c>
      <c r="F604" s="651"/>
      <c r="G604" s="652"/>
      <c r="H604" s="652"/>
      <c r="I604" s="653"/>
      <c r="J604" s="10"/>
      <c r="K604" s="26">
        <f t="shared" si="81"/>
        <v>5452.5</v>
      </c>
      <c r="L604" s="26">
        <f t="shared" si="81"/>
        <v>1262.5000000000002</v>
      </c>
      <c r="M604" s="26">
        <f t="shared" si="81"/>
        <v>6715</v>
      </c>
    </row>
    <row r="605" spans="1:13" s="147" customFormat="1" ht="56.25" customHeight="1" x14ac:dyDescent="0.35">
      <c r="A605" s="11"/>
      <c r="B605" s="24" t="s">
        <v>206</v>
      </c>
      <c r="C605" s="25" t="s">
        <v>448</v>
      </c>
      <c r="D605" s="10" t="s">
        <v>105</v>
      </c>
      <c r="E605" s="10" t="s">
        <v>53</v>
      </c>
      <c r="F605" s="651" t="s">
        <v>40</v>
      </c>
      <c r="G605" s="652" t="s">
        <v>43</v>
      </c>
      <c r="H605" s="652" t="s">
        <v>44</v>
      </c>
      <c r="I605" s="653" t="s">
        <v>45</v>
      </c>
      <c r="J605" s="10"/>
      <c r="K605" s="26">
        <f t="shared" ref="K605:M607" si="82">K606</f>
        <v>5452.5</v>
      </c>
      <c r="L605" s="26">
        <f t="shared" si="82"/>
        <v>1262.5000000000002</v>
      </c>
      <c r="M605" s="26">
        <f t="shared" si="82"/>
        <v>6715</v>
      </c>
    </row>
    <row r="606" spans="1:13" s="147" customFormat="1" ht="37.5" customHeight="1" x14ac:dyDescent="0.35">
      <c r="A606" s="11"/>
      <c r="B606" s="24" t="s">
        <v>207</v>
      </c>
      <c r="C606" s="25" t="s">
        <v>448</v>
      </c>
      <c r="D606" s="10" t="s">
        <v>105</v>
      </c>
      <c r="E606" s="10" t="s">
        <v>53</v>
      </c>
      <c r="F606" s="651" t="s">
        <v>40</v>
      </c>
      <c r="G606" s="652" t="s">
        <v>46</v>
      </c>
      <c r="H606" s="652" t="s">
        <v>44</v>
      </c>
      <c r="I606" s="653" t="s">
        <v>45</v>
      </c>
      <c r="J606" s="10"/>
      <c r="K606" s="26">
        <f t="shared" si="82"/>
        <v>5452.5</v>
      </c>
      <c r="L606" s="26">
        <f t="shared" si="82"/>
        <v>1262.5000000000002</v>
      </c>
      <c r="M606" s="26">
        <f t="shared" si="82"/>
        <v>6715</v>
      </c>
    </row>
    <row r="607" spans="1:13" s="147" customFormat="1" ht="37.5" customHeight="1" x14ac:dyDescent="0.35">
      <c r="A607" s="11"/>
      <c r="B607" s="24" t="s">
        <v>268</v>
      </c>
      <c r="C607" s="25" t="s">
        <v>448</v>
      </c>
      <c r="D607" s="10" t="s">
        <v>105</v>
      </c>
      <c r="E607" s="10" t="s">
        <v>53</v>
      </c>
      <c r="F607" s="651" t="s">
        <v>40</v>
      </c>
      <c r="G607" s="652" t="s">
        <v>46</v>
      </c>
      <c r="H607" s="652" t="s">
        <v>38</v>
      </c>
      <c r="I607" s="653" t="s">
        <v>45</v>
      </c>
      <c r="J607" s="10"/>
      <c r="K607" s="26">
        <f t="shared" si="82"/>
        <v>5452.5</v>
      </c>
      <c r="L607" s="26">
        <f t="shared" si="82"/>
        <v>1262.5000000000002</v>
      </c>
      <c r="M607" s="26">
        <f t="shared" si="82"/>
        <v>6715</v>
      </c>
    </row>
    <row r="608" spans="1:13" s="147" customFormat="1" ht="127.2" customHeight="1" x14ac:dyDescent="0.35">
      <c r="A608" s="11"/>
      <c r="B608" s="24" t="s">
        <v>284</v>
      </c>
      <c r="C608" s="25" t="s">
        <v>448</v>
      </c>
      <c r="D608" s="10" t="s">
        <v>105</v>
      </c>
      <c r="E608" s="10" t="s">
        <v>53</v>
      </c>
      <c r="F608" s="651" t="s">
        <v>40</v>
      </c>
      <c r="G608" s="652" t="s">
        <v>46</v>
      </c>
      <c r="H608" s="652" t="s">
        <v>38</v>
      </c>
      <c r="I608" s="653" t="s">
        <v>285</v>
      </c>
      <c r="J608" s="10"/>
      <c r="K608" s="26">
        <f>K609+K610</f>
        <v>5452.5</v>
      </c>
      <c r="L608" s="26">
        <f>L609+L610</f>
        <v>1262.5000000000002</v>
      </c>
      <c r="M608" s="26">
        <f>M609+M610</f>
        <v>6715</v>
      </c>
    </row>
    <row r="609" spans="1:13" s="147" customFormat="1" ht="56.25" customHeight="1" x14ac:dyDescent="0.35">
      <c r="A609" s="11"/>
      <c r="B609" s="24" t="s">
        <v>56</v>
      </c>
      <c r="C609" s="25" t="s">
        <v>448</v>
      </c>
      <c r="D609" s="10" t="s">
        <v>105</v>
      </c>
      <c r="E609" s="10" t="s">
        <v>53</v>
      </c>
      <c r="F609" s="651" t="s">
        <v>40</v>
      </c>
      <c r="G609" s="652" t="s">
        <v>46</v>
      </c>
      <c r="H609" s="652" t="s">
        <v>38</v>
      </c>
      <c r="I609" s="653" t="s">
        <v>285</v>
      </c>
      <c r="J609" s="10" t="s">
        <v>57</v>
      </c>
      <c r="K609" s="26">
        <v>80.5</v>
      </c>
      <c r="L609" s="26">
        <f>M609-K609</f>
        <v>18.700000000000003</v>
      </c>
      <c r="M609" s="26">
        <f>80.5+18.7</f>
        <v>99.2</v>
      </c>
    </row>
    <row r="610" spans="1:13" s="147" customFormat="1" ht="37.5" customHeight="1" x14ac:dyDescent="0.35">
      <c r="A610" s="11"/>
      <c r="B610" s="28" t="s">
        <v>121</v>
      </c>
      <c r="C610" s="25" t="s">
        <v>448</v>
      </c>
      <c r="D610" s="10" t="s">
        <v>105</v>
      </c>
      <c r="E610" s="10" t="s">
        <v>53</v>
      </c>
      <c r="F610" s="651" t="s">
        <v>40</v>
      </c>
      <c r="G610" s="652" t="s">
        <v>46</v>
      </c>
      <c r="H610" s="652" t="s">
        <v>38</v>
      </c>
      <c r="I610" s="653" t="s">
        <v>285</v>
      </c>
      <c r="J610" s="10" t="s">
        <v>122</v>
      </c>
      <c r="K610" s="26">
        <v>5372</v>
      </c>
      <c r="L610" s="26">
        <f>M610-K610</f>
        <v>1243.8000000000002</v>
      </c>
      <c r="M610" s="26">
        <f>5372+1243.8</f>
        <v>6615.8</v>
      </c>
    </row>
    <row r="611" spans="1:13" s="164" customFormat="1" ht="18.75" customHeight="1" x14ac:dyDescent="0.35">
      <c r="A611" s="159"/>
      <c r="B611" s="133"/>
      <c r="C611" s="193"/>
      <c r="D611" s="194"/>
      <c r="E611" s="194"/>
      <c r="F611" s="195"/>
      <c r="G611" s="196"/>
      <c r="H611" s="196"/>
      <c r="I611" s="197"/>
      <c r="J611" s="194"/>
      <c r="K611" s="163"/>
      <c r="L611" s="163"/>
      <c r="M611" s="163"/>
    </row>
    <row r="612" spans="1:13" s="143" customFormat="1" ht="56.25" customHeight="1" x14ac:dyDescent="0.3">
      <c r="A612" s="142">
        <v>6</v>
      </c>
      <c r="B612" s="180" t="s">
        <v>9</v>
      </c>
      <c r="C612" s="19" t="s">
        <v>317</v>
      </c>
      <c r="D612" s="20"/>
      <c r="E612" s="20"/>
      <c r="F612" s="21"/>
      <c r="G612" s="22"/>
      <c r="H612" s="22"/>
      <c r="I612" s="23"/>
      <c r="J612" s="20"/>
      <c r="K612" s="40" t="e">
        <f>K626+K649+K613</f>
        <v>#REF!</v>
      </c>
      <c r="L612" s="40">
        <f>L626+L649+L613</f>
        <v>2087.2000000000021</v>
      </c>
      <c r="M612" s="40">
        <f>M626+M649+M613</f>
        <v>107961</v>
      </c>
    </row>
    <row r="613" spans="1:13" s="143" customFormat="1" ht="24.75" customHeight="1" x14ac:dyDescent="0.35">
      <c r="A613" s="142"/>
      <c r="B613" s="24" t="s">
        <v>37</v>
      </c>
      <c r="C613" s="25" t="s">
        <v>317</v>
      </c>
      <c r="D613" s="35" t="s">
        <v>38</v>
      </c>
      <c r="E613" s="20"/>
      <c r="F613" s="21"/>
      <c r="G613" s="22"/>
      <c r="H613" s="22"/>
      <c r="I613" s="23"/>
      <c r="J613" s="20"/>
      <c r="K613" s="254" t="e">
        <f>K614</f>
        <v>#REF!</v>
      </c>
      <c r="L613" s="254">
        <f>L614</f>
        <v>135.09999999999994</v>
      </c>
      <c r="M613" s="254">
        <f>M614</f>
        <v>680.4</v>
      </c>
    </row>
    <row r="614" spans="1:13" s="143" customFormat="1" ht="20.25" customHeight="1" x14ac:dyDescent="0.35">
      <c r="A614" s="142"/>
      <c r="B614" s="24" t="s">
        <v>71</v>
      </c>
      <c r="C614" s="25" t="s">
        <v>317</v>
      </c>
      <c r="D614" s="35" t="s">
        <v>38</v>
      </c>
      <c r="E614" s="35" t="s">
        <v>72</v>
      </c>
      <c r="F614" s="21"/>
      <c r="G614" s="22"/>
      <c r="H614" s="22"/>
      <c r="I614" s="23"/>
      <c r="J614" s="20"/>
      <c r="K614" s="254" t="e">
        <f>K616</f>
        <v>#REF!</v>
      </c>
      <c r="L614" s="254">
        <f>L616</f>
        <v>135.09999999999994</v>
      </c>
      <c r="M614" s="254">
        <f>M616</f>
        <v>680.4</v>
      </c>
    </row>
    <row r="615" spans="1:13" s="143" customFormat="1" ht="56.25" customHeight="1" x14ac:dyDescent="0.35">
      <c r="A615" s="142"/>
      <c r="B615" s="30" t="s">
        <v>214</v>
      </c>
      <c r="C615" s="25" t="s">
        <v>317</v>
      </c>
      <c r="D615" s="10" t="s">
        <v>38</v>
      </c>
      <c r="E615" s="10" t="s">
        <v>72</v>
      </c>
      <c r="F615" s="651" t="s">
        <v>64</v>
      </c>
      <c r="G615" s="652" t="s">
        <v>43</v>
      </c>
      <c r="H615" s="652" t="s">
        <v>44</v>
      </c>
      <c r="I615" s="653" t="s">
        <v>45</v>
      </c>
      <c r="J615" s="20"/>
      <c r="K615" s="254" t="e">
        <f>K616</f>
        <v>#REF!</v>
      </c>
      <c r="L615" s="254">
        <f>L616</f>
        <v>135.09999999999994</v>
      </c>
      <c r="M615" s="254">
        <f>M616</f>
        <v>680.4</v>
      </c>
    </row>
    <row r="616" spans="1:13" s="143" customFormat="1" ht="56.25" customHeight="1" x14ac:dyDescent="0.35">
      <c r="A616" s="142"/>
      <c r="B616" s="24" t="s">
        <v>217</v>
      </c>
      <c r="C616" s="25" t="s">
        <v>317</v>
      </c>
      <c r="D616" s="35" t="s">
        <v>38</v>
      </c>
      <c r="E616" s="35" t="s">
        <v>72</v>
      </c>
      <c r="F616" s="251" t="s">
        <v>64</v>
      </c>
      <c r="G616" s="252" t="s">
        <v>31</v>
      </c>
      <c r="H616" s="252" t="s">
        <v>44</v>
      </c>
      <c r="I616" s="253" t="s">
        <v>45</v>
      </c>
      <c r="J616" s="20"/>
      <c r="K616" s="254" t="e">
        <f>K620+K617</f>
        <v>#REF!</v>
      </c>
      <c r="L616" s="254">
        <f>L620+L617+L623</f>
        <v>135.09999999999994</v>
      </c>
      <c r="M616" s="254">
        <f>M620+M617+M623</f>
        <v>680.4</v>
      </c>
    </row>
    <row r="617" spans="1:13" s="143" customFormat="1" ht="36" x14ac:dyDescent="0.35">
      <c r="A617" s="142"/>
      <c r="B617" s="24" t="s">
        <v>283</v>
      </c>
      <c r="C617" s="25" t="s">
        <v>317</v>
      </c>
      <c r="D617" s="35" t="s">
        <v>38</v>
      </c>
      <c r="E617" s="35" t="s">
        <v>72</v>
      </c>
      <c r="F617" s="251" t="s">
        <v>64</v>
      </c>
      <c r="G617" s="252" t="s">
        <v>31</v>
      </c>
      <c r="H617" s="252" t="s">
        <v>38</v>
      </c>
      <c r="I617" s="253" t="s">
        <v>45</v>
      </c>
      <c r="J617" s="20"/>
      <c r="K617" s="254" t="e">
        <f>K618</f>
        <v>#REF!</v>
      </c>
      <c r="L617" s="254">
        <f>L618</f>
        <v>36.999999999999943</v>
      </c>
      <c r="M617" s="254">
        <f>M618</f>
        <v>529</v>
      </c>
    </row>
    <row r="618" spans="1:13" s="143" customFormat="1" ht="56.25" customHeight="1" x14ac:dyDescent="0.35">
      <c r="A618" s="142"/>
      <c r="B618" s="24" t="s">
        <v>393</v>
      </c>
      <c r="C618" s="25" t="s">
        <v>317</v>
      </c>
      <c r="D618" s="35" t="s">
        <v>38</v>
      </c>
      <c r="E618" s="35" t="s">
        <v>72</v>
      </c>
      <c r="F618" s="251" t="s">
        <v>64</v>
      </c>
      <c r="G618" s="252" t="s">
        <v>31</v>
      </c>
      <c r="H618" s="252" t="s">
        <v>38</v>
      </c>
      <c r="I618" s="253" t="s">
        <v>392</v>
      </c>
      <c r="J618" s="20"/>
      <c r="K618" s="254" t="e">
        <f>K619+#REF!</f>
        <v>#REF!</v>
      </c>
      <c r="L618" s="254">
        <f>L619</f>
        <v>36.999999999999943</v>
      </c>
      <c r="M618" s="254">
        <f>M619</f>
        <v>529</v>
      </c>
    </row>
    <row r="619" spans="1:13" s="143" customFormat="1" ht="56.25" customHeight="1" x14ac:dyDescent="0.35">
      <c r="A619" s="142"/>
      <c r="B619" s="24" t="s">
        <v>56</v>
      </c>
      <c r="C619" s="25" t="s">
        <v>317</v>
      </c>
      <c r="D619" s="35" t="s">
        <v>38</v>
      </c>
      <c r="E619" s="35" t="s">
        <v>72</v>
      </c>
      <c r="F619" s="251" t="s">
        <v>64</v>
      </c>
      <c r="G619" s="252" t="s">
        <v>31</v>
      </c>
      <c r="H619" s="252" t="s">
        <v>38</v>
      </c>
      <c r="I619" s="253" t="s">
        <v>392</v>
      </c>
      <c r="J619" s="35" t="s">
        <v>57</v>
      </c>
      <c r="K619" s="254">
        <f>460.3-4.4+36.1</f>
        <v>492.00000000000006</v>
      </c>
      <c r="L619" s="26">
        <f>M619-K619</f>
        <v>36.999999999999943</v>
      </c>
      <c r="M619" s="254">
        <f>460.3-4.4+36.1+37</f>
        <v>529</v>
      </c>
    </row>
    <row r="620" spans="1:13" s="143" customFormat="1" ht="37.5" customHeight="1" x14ac:dyDescent="0.35">
      <c r="A620" s="142"/>
      <c r="B620" s="24" t="s">
        <v>358</v>
      </c>
      <c r="C620" s="25" t="s">
        <v>317</v>
      </c>
      <c r="D620" s="35" t="s">
        <v>38</v>
      </c>
      <c r="E620" s="35" t="s">
        <v>72</v>
      </c>
      <c r="F620" s="251" t="s">
        <v>64</v>
      </c>
      <c r="G620" s="252" t="s">
        <v>31</v>
      </c>
      <c r="H620" s="252" t="s">
        <v>40</v>
      </c>
      <c r="I620" s="253" t="s">
        <v>45</v>
      </c>
      <c r="J620" s="20"/>
      <c r="K620" s="254">
        <f t="shared" ref="K620:M621" si="83">K621</f>
        <v>53.3</v>
      </c>
      <c r="L620" s="254">
        <f t="shared" si="83"/>
        <v>0</v>
      </c>
      <c r="M620" s="254">
        <f t="shared" si="83"/>
        <v>53.3</v>
      </c>
    </row>
    <row r="621" spans="1:13" s="143" customFormat="1" ht="54.75" customHeight="1" x14ac:dyDescent="0.35">
      <c r="A621" s="142"/>
      <c r="B621" s="24" t="s">
        <v>359</v>
      </c>
      <c r="C621" s="25" t="s">
        <v>317</v>
      </c>
      <c r="D621" s="35" t="s">
        <v>38</v>
      </c>
      <c r="E621" s="35" t="s">
        <v>72</v>
      </c>
      <c r="F621" s="251" t="s">
        <v>64</v>
      </c>
      <c r="G621" s="252" t="s">
        <v>31</v>
      </c>
      <c r="H621" s="252" t="s">
        <v>40</v>
      </c>
      <c r="I621" s="253" t="s">
        <v>106</v>
      </c>
      <c r="J621" s="20"/>
      <c r="K621" s="254">
        <f t="shared" si="83"/>
        <v>53.3</v>
      </c>
      <c r="L621" s="254">
        <f t="shared" si="83"/>
        <v>0</v>
      </c>
      <c r="M621" s="254">
        <f t="shared" si="83"/>
        <v>53.3</v>
      </c>
    </row>
    <row r="622" spans="1:13" s="143" customFormat="1" ht="56.25" customHeight="1" x14ac:dyDescent="0.35">
      <c r="A622" s="142"/>
      <c r="B622" s="24" t="s">
        <v>56</v>
      </c>
      <c r="C622" s="25" t="s">
        <v>317</v>
      </c>
      <c r="D622" s="35" t="s">
        <v>38</v>
      </c>
      <c r="E622" s="35" t="s">
        <v>72</v>
      </c>
      <c r="F622" s="251" t="s">
        <v>64</v>
      </c>
      <c r="G622" s="252" t="s">
        <v>31</v>
      </c>
      <c r="H622" s="252" t="s">
        <v>40</v>
      </c>
      <c r="I622" s="253" t="s">
        <v>106</v>
      </c>
      <c r="J622" s="35" t="s">
        <v>57</v>
      </c>
      <c r="K622" s="254">
        <v>53.3</v>
      </c>
      <c r="L622" s="26">
        <f>M622-K622</f>
        <v>0</v>
      </c>
      <c r="M622" s="254">
        <v>53.3</v>
      </c>
    </row>
    <row r="623" spans="1:13" s="143" customFormat="1" ht="36" x14ac:dyDescent="0.35">
      <c r="A623" s="142"/>
      <c r="B623" s="24" t="s">
        <v>381</v>
      </c>
      <c r="C623" s="25" t="s">
        <v>317</v>
      </c>
      <c r="D623" s="35" t="s">
        <v>38</v>
      </c>
      <c r="E623" s="35" t="s">
        <v>72</v>
      </c>
      <c r="F623" s="251" t="s">
        <v>64</v>
      </c>
      <c r="G623" s="252" t="s">
        <v>31</v>
      </c>
      <c r="H623" s="252" t="s">
        <v>64</v>
      </c>
      <c r="I623" s="253" t="s">
        <v>45</v>
      </c>
      <c r="J623" s="35"/>
      <c r="K623" s="254"/>
      <c r="L623" s="26">
        <f>L624</f>
        <v>98.1</v>
      </c>
      <c r="M623" s="254">
        <f>M624</f>
        <v>98.1</v>
      </c>
    </row>
    <row r="624" spans="1:13" s="143" customFormat="1" ht="36" x14ac:dyDescent="0.35">
      <c r="A624" s="142"/>
      <c r="B624" s="24" t="s">
        <v>341</v>
      </c>
      <c r="C624" s="25" t="s">
        <v>317</v>
      </c>
      <c r="D624" s="35" t="s">
        <v>38</v>
      </c>
      <c r="E624" s="35" t="s">
        <v>72</v>
      </c>
      <c r="F624" s="251" t="s">
        <v>64</v>
      </c>
      <c r="G624" s="252" t="s">
        <v>31</v>
      </c>
      <c r="H624" s="252" t="s">
        <v>64</v>
      </c>
      <c r="I624" s="253" t="s">
        <v>340</v>
      </c>
      <c r="J624" s="35"/>
      <c r="K624" s="254"/>
      <c r="L624" s="26">
        <f>L625</f>
        <v>98.1</v>
      </c>
      <c r="M624" s="254">
        <f>M625</f>
        <v>98.1</v>
      </c>
    </row>
    <row r="625" spans="1:13" s="143" customFormat="1" ht="18" x14ac:dyDescent="0.35">
      <c r="A625" s="142"/>
      <c r="B625" s="24" t="s">
        <v>58</v>
      </c>
      <c r="C625" s="25" t="s">
        <v>317</v>
      </c>
      <c r="D625" s="35" t="s">
        <v>38</v>
      </c>
      <c r="E625" s="35" t="s">
        <v>72</v>
      </c>
      <c r="F625" s="251" t="s">
        <v>64</v>
      </c>
      <c r="G625" s="252" t="s">
        <v>31</v>
      </c>
      <c r="H625" s="252" t="s">
        <v>64</v>
      </c>
      <c r="I625" s="253" t="s">
        <v>340</v>
      </c>
      <c r="J625" s="35" t="s">
        <v>59</v>
      </c>
      <c r="K625" s="254"/>
      <c r="L625" s="26">
        <f>M625-K625</f>
        <v>98.1</v>
      </c>
      <c r="M625" s="254">
        <v>98.1</v>
      </c>
    </row>
    <row r="626" spans="1:13" s="7" customFormat="1" ht="18.75" customHeight="1" x14ac:dyDescent="0.35">
      <c r="A626" s="11"/>
      <c r="B626" s="30" t="s">
        <v>180</v>
      </c>
      <c r="C626" s="25" t="s">
        <v>317</v>
      </c>
      <c r="D626" s="10" t="s">
        <v>225</v>
      </c>
      <c r="E626" s="10"/>
      <c r="F626" s="651"/>
      <c r="G626" s="652"/>
      <c r="H626" s="652"/>
      <c r="I626" s="653"/>
      <c r="J626" s="10"/>
      <c r="K626" s="26">
        <f>K627+K643+K637</f>
        <v>61063.200000000004</v>
      </c>
      <c r="L626" s="26">
        <f>L627+L643+L637</f>
        <v>842.80000000000155</v>
      </c>
      <c r="M626" s="26">
        <f>M627+M643+M637</f>
        <v>61906</v>
      </c>
    </row>
    <row r="627" spans="1:13" s="143" customFormat="1" ht="18.75" customHeight="1" x14ac:dyDescent="0.35">
      <c r="A627" s="11"/>
      <c r="B627" s="30" t="s">
        <v>356</v>
      </c>
      <c r="C627" s="25" t="s">
        <v>317</v>
      </c>
      <c r="D627" s="10" t="s">
        <v>225</v>
      </c>
      <c r="E627" s="10" t="s">
        <v>64</v>
      </c>
      <c r="F627" s="651"/>
      <c r="G627" s="652"/>
      <c r="H627" s="652"/>
      <c r="I627" s="653"/>
      <c r="J627" s="10"/>
      <c r="K627" s="26">
        <f t="shared" ref="K627:M628" si="84">K628</f>
        <v>60549.200000000004</v>
      </c>
      <c r="L627" s="26">
        <f t="shared" si="84"/>
        <v>782.80000000000155</v>
      </c>
      <c r="M627" s="26">
        <f t="shared" si="84"/>
        <v>61332</v>
      </c>
    </row>
    <row r="628" spans="1:13" s="143" customFormat="1" ht="56.25" customHeight="1" x14ac:dyDescent="0.35">
      <c r="A628" s="11"/>
      <c r="B628" s="30" t="s">
        <v>214</v>
      </c>
      <c r="C628" s="25" t="s">
        <v>317</v>
      </c>
      <c r="D628" s="10" t="s">
        <v>225</v>
      </c>
      <c r="E628" s="10" t="s">
        <v>64</v>
      </c>
      <c r="F628" s="651" t="s">
        <v>64</v>
      </c>
      <c r="G628" s="652" t="s">
        <v>43</v>
      </c>
      <c r="H628" s="652" t="s">
        <v>44</v>
      </c>
      <c r="I628" s="653" t="s">
        <v>45</v>
      </c>
      <c r="J628" s="10"/>
      <c r="K628" s="26">
        <f t="shared" si="84"/>
        <v>60549.200000000004</v>
      </c>
      <c r="L628" s="26">
        <f t="shared" si="84"/>
        <v>782.80000000000155</v>
      </c>
      <c r="M628" s="26">
        <f t="shared" si="84"/>
        <v>61332</v>
      </c>
    </row>
    <row r="629" spans="1:13" s="143" customFormat="1" ht="75" customHeight="1" x14ac:dyDescent="0.35">
      <c r="A629" s="11"/>
      <c r="B629" s="30" t="s">
        <v>215</v>
      </c>
      <c r="C629" s="25" t="s">
        <v>317</v>
      </c>
      <c r="D629" s="10" t="s">
        <v>225</v>
      </c>
      <c r="E629" s="10" t="s">
        <v>64</v>
      </c>
      <c r="F629" s="651" t="s">
        <v>64</v>
      </c>
      <c r="G629" s="652" t="s">
        <v>46</v>
      </c>
      <c r="H629" s="652" t="s">
        <v>44</v>
      </c>
      <c r="I629" s="653" t="s">
        <v>45</v>
      </c>
      <c r="J629" s="10"/>
      <c r="K629" s="26">
        <f>K630</f>
        <v>60549.200000000004</v>
      </c>
      <c r="L629" s="26">
        <f>L630</f>
        <v>782.80000000000155</v>
      </c>
      <c r="M629" s="26">
        <f>M630</f>
        <v>61332</v>
      </c>
    </row>
    <row r="630" spans="1:13" s="143" customFormat="1" ht="37.5" customHeight="1" x14ac:dyDescent="0.35">
      <c r="A630" s="11"/>
      <c r="B630" s="30" t="s">
        <v>277</v>
      </c>
      <c r="C630" s="25" t="s">
        <v>317</v>
      </c>
      <c r="D630" s="10" t="s">
        <v>225</v>
      </c>
      <c r="E630" s="10" t="s">
        <v>64</v>
      </c>
      <c r="F630" s="651" t="s">
        <v>64</v>
      </c>
      <c r="G630" s="652" t="s">
        <v>46</v>
      </c>
      <c r="H630" s="652" t="s">
        <v>38</v>
      </c>
      <c r="I630" s="653" t="s">
        <v>45</v>
      </c>
      <c r="J630" s="10"/>
      <c r="K630" s="26">
        <f>K631+K635+K633</f>
        <v>60549.200000000004</v>
      </c>
      <c r="L630" s="26">
        <f>L631+L635+L633</f>
        <v>782.80000000000155</v>
      </c>
      <c r="M630" s="26">
        <f>M631+M635+M633</f>
        <v>61332</v>
      </c>
    </row>
    <row r="631" spans="1:13" s="143" customFormat="1" ht="37.5" customHeight="1" x14ac:dyDescent="0.35">
      <c r="A631" s="11"/>
      <c r="B631" s="27" t="s">
        <v>490</v>
      </c>
      <c r="C631" s="25" t="s">
        <v>317</v>
      </c>
      <c r="D631" s="10" t="s">
        <v>225</v>
      </c>
      <c r="E631" s="10" t="s">
        <v>64</v>
      </c>
      <c r="F631" s="651" t="s">
        <v>64</v>
      </c>
      <c r="G631" s="652" t="s">
        <v>46</v>
      </c>
      <c r="H631" s="652" t="s">
        <v>38</v>
      </c>
      <c r="I631" s="653" t="s">
        <v>92</v>
      </c>
      <c r="J631" s="10"/>
      <c r="K631" s="26">
        <f>K632</f>
        <v>55487.9</v>
      </c>
      <c r="L631" s="26">
        <f>L632</f>
        <v>582.90000000000146</v>
      </c>
      <c r="M631" s="26">
        <f>M632</f>
        <v>56070.8</v>
      </c>
    </row>
    <row r="632" spans="1:13" s="7" customFormat="1" ht="56.25" customHeight="1" x14ac:dyDescent="0.35">
      <c r="A632" s="11"/>
      <c r="B632" s="28" t="s">
        <v>77</v>
      </c>
      <c r="C632" s="25" t="s">
        <v>317</v>
      </c>
      <c r="D632" s="10" t="s">
        <v>225</v>
      </c>
      <c r="E632" s="10" t="s">
        <v>64</v>
      </c>
      <c r="F632" s="651" t="s">
        <v>64</v>
      </c>
      <c r="G632" s="652" t="s">
        <v>46</v>
      </c>
      <c r="H632" s="652" t="s">
        <v>38</v>
      </c>
      <c r="I632" s="653" t="s">
        <v>92</v>
      </c>
      <c r="J632" s="10" t="s">
        <v>78</v>
      </c>
      <c r="K632" s="26">
        <f>56186.1-425.8+162.1-119.6-345.7+30.8</f>
        <v>55487.9</v>
      </c>
      <c r="L632" s="26">
        <f>M632-K632</f>
        <v>582.90000000000146</v>
      </c>
      <c r="M632" s="26">
        <f>56186.1-425.8+162.1-119.6-345.7+30.8+99.5+344+108.6+30.8</f>
        <v>56070.8</v>
      </c>
    </row>
    <row r="633" spans="1:13" s="7" customFormat="1" ht="21" customHeight="1" x14ac:dyDescent="0.35">
      <c r="A633" s="11"/>
      <c r="B633" s="28" t="s">
        <v>491</v>
      </c>
      <c r="C633" s="25" t="s">
        <v>317</v>
      </c>
      <c r="D633" s="10" t="s">
        <v>225</v>
      </c>
      <c r="E633" s="10" t="s">
        <v>64</v>
      </c>
      <c r="F633" s="651" t="s">
        <v>64</v>
      </c>
      <c r="G633" s="652" t="s">
        <v>46</v>
      </c>
      <c r="H633" s="652" t="s">
        <v>38</v>
      </c>
      <c r="I633" s="653" t="s">
        <v>394</v>
      </c>
      <c r="J633" s="10"/>
      <c r="K633" s="26">
        <f>K634</f>
        <v>1357.5</v>
      </c>
      <c r="L633" s="26">
        <f>L634</f>
        <v>0</v>
      </c>
      <c r="M633" s="26">
        <f>M634</f>
        <v>1357.5</v>
      </c>
    </row>
    <row r="634" spans="1:13" s="7" customFormat="1" ht="56.25" customHeight="1" x14ac:dyDescent="0.35">
      <c r="A634" s="11"/>
      <c r="B634" s="28" t="s">
        <v>77</v>
      </c>
      <c r="C634" s="25" t="s">
        <v>317</v>
      </c>
      <c r="D634" s="10" t="s">
        <v>225</v>
      </c>
      <c r="E634" s="10" t="s">
        <v>64</v>
      </c>
      <c r="F634" s="651" t="s">
        <v>64</v>
      </c>
      <c r="G634" s="652" t="s">
        <v>46</v>
      </c>
      <c r="H634" s="652" t="s">
        <v>38</v>
      </c>
      <c r="I634" s="653" t="s">
        <v>394</v>
      </c>
      <c r="J634" s="10" t="s">
        <v>78</v>
      </c>
      <c r="K634" s="26">
        <f>1168.6+285-96.1</f>
        <v>1357.5</v>
      </c>
      <c r="L634" s="26">
        <f>M634-K634</f>
        <v>0</v>
      </c>
      <c r="M634" s="26">
        <f>1168.6+285-96.1</f>
        <v>1357.5</v>
      </c>
    </row>
    <row r="635" spans="1:13" s="7" customFormat="1" ht="37.5" customHeight="1" x14ac:dyDescent="0.35">
      <c r="A635" s="11"/>
      <c r="B635" s="28" t="s">
        <v>318</v>
      </c>
      <c r="C635" s="25" t="s">
        <v>317</v>
      </c>
      <c r="D635" s="10" t="s">
        <v>225</v>
      </c>
      <c r="E635" s="10" t="s">
        <v>64</v>
      </c>
      <c r="F635" s="651" t="s">
        <v>64</v>
      </c>
      <c r="G635" s="652" t="s">
        <v>46</v>
      </c>
      <c r="H635" s="652" t="s">
        <v>38</v>
      </c>
      <c r="I635" s="653" t="s">
        <v>319</v>
      </c>
      <c r="J635" s="10"/>
      <c r="K635" s="26">
        <f>K636</f>
        <v>3703.8</v>
      </c>
      <c r="L635" s="26">
        <f>L636</f>
        <v>199.90000000000009</v>
      </c>
      <c r="M635" s="26">
        <f>M636</f>
        <v>3903.7000000000003</v>
      </c>
    </row>
    <row r="636" spans="1:13" s="7" customFormat="1" ht="56.25" customHeight="1" x14ac:dyDescent="0.35">
      <c r="A636" s="11"/>
      <c r="B636" s="28" t="s">
        <v>77</v>
      </c>
      <c r="C636" s="25" t="s">
        <v>317</v>
      </c>
      <c r="D636" s="10" t="s">
        <v>225</v>
      </c>
      <c r="E636" s="10" t="s">
        <v>64</v>
      </c>
      <c r="F636" s="651" t="s">
        <v>64</v>
      </c>
      <c r="G636" s="652" t="s">
        <v>46</v>
      </c>
      <c r="H636" s="652" t="s">
        <v>38</v>
      </c>
      <c r="I636" s="653" t="s">
        <v>319</v>
      </c>
      <c r="J636" s="10" t="s">
        <v>78</v>
      </c>
      <c r="K636" s="26">
        <f>1983.3+947.1+345.7+345+102.8-20.1</f>
        <v>3703.8</v>
      </c>
      <c r="L636" s="26">
        <f>M636-K636</f>
        <v>199.90000000000009</v>
      </c>
      <c r="M636" s="26">
        <f>1983.3+947.1+345.7+345+102.8-20.1+88+111.9</f>
        <v>3903.7000000000003</v>
      </c>
    </row>
    <row r="637" spans="1:13" s="7" customFormat="1" ht="22.5" customHeight="1" x14ac:dyDescent="0.35">
      <c r="A637" s="11"/>
      <c r="B637" s="28" t="s">
        <v>501</v>
      </c>
      <c r="C637" s="25" t="s">
        <v>317</v>
      </c>
      <c r="D637" s="10" t="s">
        <v>225</v>
      </c>
      <c r="E637" s="10" t="s">
        <v>225</v>
      </c>
      <c r="F637" s="651"/>
      <c r="G637" s="652"/>
      <c r="H637" s="652"/>
      <c r="I637" s="653"/>
      <c r="J637" s="10"/>
      <c r="K637" s="26">
        <f t="shared" ref="K637:M641" si="85">K638</f>
        <v>289</v>
      </c>
      <c r="L637" s="26">
        <f t="shared" si="85"/>
        <v>0</v>
      </c>
      <c r="M637" s="26">
        <f t="shared" si="85"/>
        <v>289</v>
      </c>
    </row>
    <row r="638" spans="1:13" s="7" customFormat="1" ht="56.25" customHeight="1" x14ac:dyDescent="0.35">
      <c r="A638" s="11"/>
      <c r="B638" s="30" t="s">
        <v>214</v>
      </c>
      <c r="C638" s="25" t="s">
        <v>317</v>
      </c>
      <c r="D638" s="10" t="s">
        <v>225</v>
      </c>
      <c r="E638" s="10" t="s">
        <v>225</v>
      </c>
      <c r="F638" s="651" t="s">
        <v>64</v>
      </c>
      <c r="G638" s="652" t="s">
        <v>43</v>
      </c>
      <c r="H638" s="652" t="s">
        <v>44</v>
      </c>
      <c r="I638" s="653" t="s">
        <v>45</v>
      </c>
      <c r="J638" s="10"/>
      <c r="K638" s="26">
        <f t="shared" si="85"/>
        <v>289</v>
      </c>
      <c r="L638" s="26">
        <f t="shared" si="85"/>
        <v>0</v>
      </c>
      <c r="M638" s="26">
        <f t="shared" si="85"/>
        <v>289</v>
      </c>
    </row>
    <row r="639" spans="1:13" s="7" customFormat="1" ht="74.25" customHeight="1" x14ac:dyDescent="0.35">
      <c r="A639" s="11"/>
      <c r="B639" s="30" t="s">
        <v>215</v>
      </c>
      <c r="C639" s="25" t="s">
        <v>317</v>
      </c>
      <c r="D639" s="10" t="s">
        <v>225</v>
      </c>
      <c r="E639" s="10" t="s">
        <v>225</v>
      </c>
      <c r="F639" s="651" t="s">
        <v>64</v>
      </c>
      <c r="G639" s="652" t="s">
        <v>46</v>
      </c>
      <c r="H639" s="652" t="s">
        <v>44</v>
      </c>
      <c r="I639" s="653" t="s">
        <v>45</v>
      </c>
      <c r="J639" s="10"/>
      <c r="K639" s="26">
        <f t="shared" si="85"/>
        <v>289</v>
      </c>
      <c r="L639" s="26">
        <f t="shared" si="85"/>
        <v>0</v>
      </c>
      <c r="M639" s="26">
        <f t="shared" si="85"/>
        <v>289</v>
      </c>
    </row>
    <row r="640" spans="1:13" s="7" customFormat="1" ht="38.4" customHeight="1" x14ac:dyDescent="0.35">
      <c r="A640" s="11"/>
      <c r="B640" s="28" t="s">
        <v>282</v>
      </c>
      <c r="C640" s="25" t="s">
        <v>317</v>
      </c>
      <c r="D640" s="10" t="s">
        <v>225</v>
      </c>
      <c r="E640" s="10" t="s">
        <v>225</v>
      </c>
      <c r="F640" s="651" t="s">
        <v>64</v>
      </c>
      <c r="G640" s="652" t="s">
        <v>46</v>
      </c>
      <c r="H640" s="652" t="s">
        <v>66</v>
      </c>
      <c r="I640" s="653" t="s">
        <v>45</v>
      </c>
      <c r="J640" s="10"/>
      <c r="K640" s="26">
        <f t="shared" si="85"/>
        <v>289</v>
      </c>
      <c r="L640" s="26">
        <f t="shared" si="85"/>
        <v>0</v>
      </c>
      <c r="M640" s="26">
        <f t="shared" si="85"/>
        <v>289</v>
      </c>
    </row>
    <row r="641" spans="1:13" s="7" customFormat="1" ht="36.75" customHeight="1" x14ac:dyDescent="0.35">
      <c r="A641" s="11"/>
      <c r="B641" s="28" t="s">
        <v>503</v>
      </c>
      <c r="C641" s="25" t="s">
        <v>317</v>
      </c>
      <c r="D641" s="10" t="s">
        <v>225</v>
      </c>
      <c r="E641" s="10" t="s">
        <v>225</v>
      </c>
      <c r="F641" s="651" t="s">
        <v>64</v>
      </c>
      <c r="G641" s="652" t="s">
        <v>46</v>
      </c>
      <c r="H641" s="652" t="s">
        <v>66</v>
      </c>
      <c r="I641" s="653" t="s">
        <v>502</v>
      </c>
      <c r="J641" s="10"/>
      <c r="K641" s="26">
        <f t="shared" si="85"/>
        <v>289</v>
      </c>
      <c r="L641" s="26">
        <f t="shared" si="85"/>
        <v>0</v>
      </c>
      <c r="M641" s="26">
        <f t="shared" si="85"/>
        <v>289</v>
      </c>
    </row>
    <row r="642" spans="1:13" s="7" customFormat="1" ht="56.25" customHeight="1" x14ac:dyDescent="0.35">
      <c r="A642" s="11"/>
      <c r="B642" s="28" t="s">
        <v>77</v>
      </c>
      <c r="C642" s="25" t="s">
        <v>317</v>
      </c>
      <c r="D642" s="10" t="s">
        <v>225</v>
      </c>
      <c r="E642" s="10" t="s">
        <v>225</v>
      </c>
      <c r="F642" s="651" t="s">
        <v>64</v>
      </c>
      <c r="G642" s="652" t="s">
        <v>46</v>
      </c>
      <c r="H642" s="652" t="s">
        <v>66</v>
      </c>
      <c r="I642" s="653" t="s">
        <v>502</v>
      </c>
      <c r="J642" s="10" t="s">
        <v>78</v>
      </c>
      <c r="K642" s="26">
        <v>289</v>
      </c>
      <c r="L642" s="26">
        <f>M642-K642</f>
        <v>0</v>
      </c>
      <c r="M642" s="26">
        <v>289</v>
      </c>
    </row>
    <row r="643" spans="1:13" s="7" customFormat="1" ht="18.75" customHeight="1" x14ac:dyDescent="0.35">
      <c r="A643" s="11"/>
      <c r="B643" s="24" t="s">
        <v>187</v>
      </c>
      <c r="C643" s="25" t="s">
        <v>317</v>
      </c>
      <c r="D643" s="10" t="s">
        <v>225</v>
      </c>
      <c r="E643" s="10" t="s">
        <v>80</v>
      </c>
      <c r="F643" s="651"/>
      <c r="G643" s="652"/>
      <c r="H643" s="652"/>
      <c r="I643" s="653"/>
      <c r="J643" s="10"/>
      <c r="K643" s="26">
        <f t="shared" ref="K643:M647" si="86">K644</f>
        <v>225</v>
      </c>
      <c r="L643" s="26">
        <f t="shared" si="86"/>
        <v>60</v>
      </c>
      <c r="M643" s="26">
        <f t="shared" si="86"/>
        <v>285</v>
      </c>
    </row>
    <row r="644" spans="1:13" s="7" customFormat="1" ht="56.25" customHeight="1" x14ac:dyDescent="0.35">
      <c r="A644" s="11"/>
      <c r="B644" s="30" t="s">
        <v>214</v>
      </c>
      <c r="C644" s="25" t="s">
        <v>317</v>
      </c>
      <c r="D644" s="10" t="s">
        <v>225</v>
      </c>
      <c r="E644" s="10" t="s">
        <v>80</v>
      </c>
      <c r="F644" s="651" t="s">
        <v>64</v>
      </c>
      <c r="G644" s="652" t="s">
        <v>43</v>
      </c>
      <c r="H644" s="652" t="s">
        <v>44</v>
      </c>
      <c r="I644" s="653" t="s">
        <v>45</v>
      </c>
      <c r="J644" s="10"/>
      <c r="K644" s="26">
        <f t="shared" si="86"/>
        <v>225</v>
      </c>
      <c r="L644" s="26">
        <f t="shared" si="86"/>
        <v>60</v>
      </c>
      <c r="M644" s="26">
        <f t="shared" si="86"/>
        <v>285</v>
      </c>
    </row>
    <row r="645" spans="1:13" s="7" customFormat="1" ht="75" customHeight="1" x14ac:dyDescent="0.35">
      <c r="A645" s="11"/>
      <c r="B645" s="30" t="s">
        <v>215</v>
      </c>
      <c r="C645" s="25" t="s">
        <v>317</v>
      </c>
      <c r="D645" s="10" t="s">
        <v>225</v>
      </c>
      <c r="E645" s="10" t="s">
        <v>80</v>
      </c>
      <c r="F645" s="651" t="s">
        <v>64</v>
      </c>
      <c r="G645" s="652" t="s">
        <v>46</v>
      </c>
      <c r="H645" s="652" t="s">
        <v>44</v>
      </c>
      <c r="I645" s="653" t="s">
        <v>45</v>
      </c>
      <c r="J645" s="10"/>
      <c r="K645" s="26">
        <f t="shared" si="86"/>
        <v>225</v>
      </c>
      <c r="L645" s="26">
        <f t="shared" si="86"/>
        <v>60</v>
      </c>
      <c r="M645" s="26">
        <f t="shared" si="86"/>
        <v>285</v>
      </c>
    </row>
    <row r="646" spans="1:13" s="7" customFormat="1" ht="18.75" customHeight="1" x14ac:dyDescent="0.35">
      <c r="A646" s="11"/>
      <c r="B646" s="28" t="s">
        <v>278</v>
      </c>
      <c r="C646" s="25" t="s">
        <v>317</v>
      </c>
      <c r="D646" s="10" t="s">
        <v>225</v>
      </c>
      <c r="E646" s="10" t="s">
        <v>80</v>
      </c>
      <c r="F646" s="651" t="s">
        <v>64</v>
      </c>
      <c r="G646" s="652" t="s">
        <v>46</v>
      </c>
      <c r="H646" s="652" t="s">
        <v>40</v>
      </c>
      <c r="I646" s="653" t="s">
        <v>45</v>
      </c>
      <c r="J646" s="10"/>
      <c r="K646" s="26">
        <f t="shared" si="86"/>
        <v>225</v>
      </c>
      <c r="L646" s="26">
        <f t="shared" si="86"/>
        <v>60</v>
      </c>
      <c r="M646" s="26">
        <f t="shared" si="86"/>
        <v>285</v>
      </c>
    </row>
    <row r="647" spans="1:13" s="7" customFormat="1" ht="45" customHeight="1" x14ac:dyDescent="0.35">
      <c r="A647" s="11"/>
      <c r="B647" s="28" t="s">
        <v>212</v>
      </c>
      <c r="C647" s="25" t="s">
        <v>317</v>
      </c>
      <c r="D647" s="10" t="s">
        <v>225</v>
      </c>
      <c r="E647" s="10" t="s">
        <v>80</v>
      </c>
      <c r="F647" s="651" t="s">
        <v>64</v>
      </c>
      <c r="G647" s="652" t="s">
        <v>46</v>
      </c>
      <c r="H647" s="652" t="s">
        <v>40</v>
      </c>
      <c r="I647" s="653" t="s">
        <v>280</v>
      </c>
      <c r="J647" s="10"/>
      <c r="K647" s="26">
        <f t="shared" si="86"/>
        <v>225</v>
      </c>
      <c r="L647" s="26">
        <f t="shared" si="86"/>
        <v>60</v>
      </c>
      <c r="M647" s="26">
        <f t="shared" si="86"/>
        <v>285</v>
      </c>
    </row>
    <row r="648" spans="1:13" s="7" customFormat="1" ht="37.5" customHeight="1" x14ac:dyDescent="0.35">
      <c r="A648" s="11"/>
      <c r="B648" s="28" t="s">
        <v>121</v>
      </c>
      <c r="C648" s="25" t="s">
        <v>317</v>
      </c>
      <c r="D648" s="10" t="s">
        <v>225</v>
      </c>
      <c r="E648" s="10" t="s">
        <v>80</v>
      </c>
      <c r="F648" s="651" t="s">
        <v>64</v>
      </c>
      <c r="G648" s="652" t="s">
        <v>46</v>
      </c>
      <c r="H648" s="652" t="s">
        <v>40</v>
      </c>
      <c r="I648" s="653" t="s">
        <v>280</v>
      </c>
      <c r="J648" s="10" t="s">
        <v>122</v>
      </c>
      <c r="K648" s="26">
        <v>225</v>
      </c>
      <c r="L648" s="26">
        <f>M648-K648</f>
        <v>60</v>
      </c>
      <c r="M648" s="26">
        <f>225+60</f>
        <v>285</v>
      </c>
    </row>
    <row r="649" spans="1:13" s="7" customFormat="1" ht="18.75" customHeight="1" x14ac:dyDescent="0.35">
      <c r="A649" s="11"/>
      <c r="B649" s="24" t="s">
        <v>189</v>
      </c>
      <c r="C649" s="25" t="s">
        <v>317</v>
      </c>
      <c r="D649" s="10" t="s">
        <v>227</v>
      </c>
      <c r="E649" s="10"/>
      <c r="F649" s="651"/>
      <c r="G649" s="652"/>
      <c r="H649" s="652"/>
      <c r="I649" s="653"/>
      <c r="J649" s="10"/>
      <c r="K649" s="26">
        <f>K650+K678</f>
        <v>44265.3</v>
      </c>
      <c r="L649" s="26">
        <f>L650+L678</f>
        <v>1109.3000000000004</v>
      </c>
      <c r="M649" s="26">
        <f>M650+M678</f>
        <v>45374.600000000006</v>
      </c>
    </row>
    <row r="650" spans="1:13" s="7" customFormat="1" ht="18.75" customHeight="1" x14ac:dyDescent="0.35">
      <c r="A650" s="11"/>
      <c r="B650" s="24" t="s">
        <v>191</v>
      </c>
      <c r="C650" s="25" t="s">
        <v>317</v>
      </c>
      <c r="D650" s="10" t="s">
        <v>227</v>
      </c>
      <c r="E650" s="10" t="s">
        <v>38</v>
      </c>
      <c r="F650" s="651"/>
      <c r="G650" s="652"/>
      <c r="H650" s="652"/>
      <c r="I650" s="653"/>
      <c r="J650" s="10"/>
      <c r="K650" s="26">
        <f>K651</f>
        <v>32307.723000000002</v>
      </c>
      <c r="L650" s="26">
        <f>L651</f>
        <v>162.10000000000036</v>
      </c>
      <c r="M650" s="26">
        <f>M651</f>
        <v>32469.823</v>
      </c>
    </row>
    <row r="651" spans="1:13" s="7" customFormat="1" ht="56.25" customHeight="1" x14ac:dyDescent="0.35">
      <c r="A651" s="11"/>
      <c r="B651" s="30" t="s">
        <v>214</v>
      </c>
      <c r="C651" s="25" t="s">
        <v>317</v>
      </c>
      <c r="D651" s="10" t="s">
        <v>227</v>
      </c>
      <c r="E651" s="10" t="s">
        <v>38</v>
      </c>
      <c r="F651" s="651" t="s">
        <v>64</v>
      </c>
      <c r="G651" s="652" t="s">
        <v>43</v>
      </c>
      <c r="H651" s="652" t="s">
        <v>44</v>
      </c>
      <c r="I651" s="653" t="s">
        <v>45</v>
      </c>
      <c r="J651" s="10"/>
      <c r="K651" s="26">
        <f>K652+K671</f>
        <v>32307.723000000002</v>
      </c>
      <c r="L651" s="26">
        <f>L652+L671</f>
        <v>162.10000000000036</v>
      </c>
      <c r="M651" s="26">
        <f>M652+M671</f>
        <v>32469.823</v>
      </c>
    </row>
    <row r="652" spans="1:13" s="7" customFormat="1" ht="75" customHeight="1" x14ac:dyDescent="0.35">
      <c r="A652" s="11"/>
      <c r="B652" s="30" t="s">
        <v>215</v>
      </c>
      <c r="C652" s="25" t="s">
        <v>317</v>
      </c>
      <c r="D652" s="10" t="s">
        <v>227</v>
      </c>
      <c r="E652" s="10" t="s">
        <v>38</v>
      </c>
      <c r="F652" s="34" t="s">
        <v>64</v>
      </c>
      <c r="G652" s="117" t="s">
        <v>46</v>
      </c>
      <c r="H652" s="117" t="s">
        <v>44</v>
      </c>
      <c r="I652" s="118" t="s">
        <v>45</v>
      </c>
      <c r="J652" s="119"/>
      <c r="K652" s="26">
        <f>K653+K662</f>
        <v>31958.235000000001</v>
      </c>
      <c r="L652" s="26">
        <f>L653+L662</f>
        <v>162.10000000000036</v>
      </c>
      <c r="M652" s="26">
        <f>M653+M662</f>
        <v>32120.334999999999</v>
      </c>
    </row>
    <row r="653" spans="1:13" s="7" customFormat="1" ht="18.75" customHeight="1" x14ac:dyDescent="0.35">
      <c r="A653" s="11"/>
      <c r="B653" s="24" t="s">
        <v>320</v>
      </c>
      <c r="C653" s="25" t="s">
        <v>317</v>
      </c>
      <c r="D653" s="10" t="s">
        <v>227</v>
      </c>
      <c r="E653" s="10" t="s">
        <v>38</v>
      </c>
      <c r="F653" s="34" t="s">
        <v>64</v>
      </c>
      <c r="G653" s="117" t="s">
        <v>46</v>
      </c>
      <c r="H653" s="117" t="s">
        <v>64</v>
      </c>
      <c r="I653" s="118" t="s">
        <v>45</v>
      </c>
      <c r="J653" s="119"/>
      <c r="K653" s="26">
        <f>K654+K656+K658+K660</f>
        <v>12765.723</v>
      </c>
      <c r="L653" s="26">
        <f>L654+L656+L658+L660</f>
        <v>64.600000000000364</v>
      </c>
      <c r="M653" s="26">
        <f>M654+M656+M658+M660</f>
        <v>12830.323</v>
      </c>
    </row>
    <row r="654" spans="1:13" s="7" customFormat="1" ht="35.25" customHeight="1" x14ac:dyDescent="0.35">
      <c r="A654" s="11"/>
      <c r="B654" s="27" t="s">
        <v>490</v>
      </c>
      <c r="C654" s="25" t="s">
        <v>317</v>
      </c>
      <c r="D654" s="10" t="s">
        <v>227</v>
      </c>
      <c r="E654" s="10" t="s">
        <v>38</v>
      </c>
      <c r="F654" s="34" t="s">
        <v>64</v>
      </c>
      <c r="G654" s="117" t="s">
        <v>46</v>
      </c>
      <c r="H654" s="117" t="s">
        <v>64</v>
      </c>
      <c r="I654" s="118" t="s">
        <v>92</v>
      </c>
      <c r="J654" s="119"/>
      <c r="K654" s="26">
        <f>K655</f>
        <v>11475.3</v>
      </c>
      <c r="L654" s="26">
        <f>L655</f>
        <v>64.600000000000364</v>
      </c>
      <c r="M654" s="26">
        <f>M655</f>
        <v>11539.9</v>
      </c>
    </row>
    <row r="655" spans="1:13" s="7" customFormat="1" ht="56.25" customHeight="1" x14ac:dyDescent="0.35">
      <c r="A655" s="11"/>
      <c r="B655" s="28" t="s">
        <v>77</v>
      </c>
      <c r="C655" s="25" t="s">
        <v>317</v>
      </c>
      <c r="D655" s="10" t="s">
        <v>227</v>
      </c>
      <c r="E655" s="10" t="s">
        <v>38</v>
      </c>
      <c r="F655" s="651" t="s">
        <v>64</v>
      </c>
      <c r="G655" s="652" t="s">
        <v>46</v>
      </c>
      <c r="H655" s="652" t="s">
        <v>64</v>
      </c>
      <c r="I655" s="653" t="s">
        <v>92</v>
      </c>
      <c r="J655" s="10" t="s">
        <v>78</v>
      </c>
      <c r="K655" s="26">
        <f>11234+219.5+21.8</f>
        <v>11475.3</v>
      </c>
      <c r="L655" s="26">
        <f>M655-K655</f>
        <v>64.600000000000364</v>
      </c>
      <c r="M655" s="26">
        <f>11234+219.5+21.8+64.6</f>
        <v>11539.9</v>
      </c>
    </row>
    <row r="656" spans="1:13" s="7" customFormat="1" ht="37.5" customHeight="1" x14ac:dyDescent="0.35">
      <c r="A656" s="11"/>
      <c r="B656" s="28" t="s">
        <v>318</v>
      </c>
      <c r="C656" s="25" t="s">
        <v>317</v>
      </c>
      <c r="D656" s="10" t="s">
        <v>227</v>
      </c>
      <c r="E656" s="10" t="s">
        <v>38</v>
      </c>
      <c r="F656" s="34" t="s">
        <v>64</v>
      </c>
      <c r="G656" s="117" t="s">
        <v>46</v>
      </c>
      <c r="H656" s="117" t="s">
        <v>64</v>
      </c>
      <c r="I656" s="118" t="s">
        <v>319</v>
      </c>
      <c r="J656" s="119"/>
      <c r="K656" s="26">
        <f>K657</f>
        <v>258.2</v>
      </c>
      <c r="L656" s="26">
        <f>L657</f>
        <v>0</v>
      </c>
      <c r="M656" s="26">
        <f>M657</f>
        <v>258.2</v>
      </c>
    </row>
    <row r="657" spans="1:13" s="7" customFormat="1" ht="56.25" customHeight="1" x14ac:dyDescent="0.35">
      <c r="A657" s="11"/>
      <c r="B657" s="28" t="s">
        <v>77</v>
      </c>
      <c r="C657" s="25" t="s">
        <v>317</v>
      </c>
      <c r="D657" s="10" t="s">
        <v>227</v>
      </c>
      <c r="E657" s="10" t="s">
        <v>38</v>
      </c>
      <c r="F657" s="34" t="s">
        <v>64</v>
      </c>
      <c r="G657" s="117" t="s">
        <v>46</v>
      </c>
      <c r="H657" s="117" t="s">
        <v>64</v>
      </c>
      <c r="I657" s="118" t="s">
        <v>319</v>
      </c>
      <c r="J657" s="119" t="s">
        <v>78</v>
      </c>
      <c r="K657" s="26">
        <v>258.2</v>
      </c>
      <c r="L657" s="26">
        <f>M657-K657</f>
        <v>0</v>
      </c>
      <c r="M657" s="26">
        <v>258.2</v>
      </c>
    </row>
    <row r="658" spans="1:13" s="7" customFormat="1" ht="56.25" customHeight="1" x14ac:dyDescent="0.35">
      <c r="A658" s="11"/>
      <c r="B658" s="28" t="s">
        <v>216</v>
      </c>
      <c r="C658" s="25" t="s">
        <v>317</v>
      </c>
      <c r="D658" s="10" t="s">
        <v>227</v>
      </c>
      <c r="E658" s="10" t="s">
        <v>38</v>
      </c>
      <c r="F658" s="651" t="s">
        <v>64</v>
      </c>
      <c r="G658" s="652" t="s">
        <v>46</v>
      </c>
      <c r="H658" s="652" t="s">
        <v>64</v>
      </c>
      <c r="I658" s="653" t="s">
        <v>321</v>
      </c>
      <c r="J658" s="10"/>
      <c r="K658" s="26">
        <f>K659</f>
        <v>471</v>
      </c>
      <c r="L658" s="26">
        <f>L659</f>
        <v>0</v>
      </c>
      <c r="M658" s="26">
        <f>M659</f>
        <v>471</v>
      </c>
    </row>
    <row r="659" spans="1:13" s="7" customFormat="1" ht="56.25" customHeight="1" x14ac:dyDescent="0.35">
      <c r="A659" s="11"/>
      <c r="B659" s="28" t="s">
        <v>77</v>
      </c>
      <c r="C659" s="25" t="s">
        <v>317</v>
      </c>
      <c r="D659" s="10" t="s">
        <v>227</v>
      </c>
      <c r="E659" s="10" t="s">
        <v>38</v>
      </c>
      <c r="F659" s="651" t="s">
        <v>64</v>
      </c>
      <c r="G659" s="652" t="s">
        <v>46</v>
      </c>
      <c r="H659" s="652" t="s">
        <v>64</v>
      </c>
      <c r="I659" s="653" t="s">
        <v>321</v>
      </c>
      <c r="J659" s="10" t="s">
        <v>78</v>
      </c>
      <c r="K659" s="26">
        <v>471</v>
      </c>
      <c r="L659" s="26">
        <f>M659-K659</f>
        <v>0</v>
      </c>
      <c r="M659" s="26">
        <v>471</v>
      </c>
    </row>
    <row r="660" spans="1:13" s="7" customFormat="1" ht="18" x14ac:dyDescent="0.35">
      <c r="A660" s="11"/>
      <c r="B660" s="28" t="s">
        <v>664</v>
      </c>
      <c r="C660" s="25" t="s">
        <v>317</v>
      </c>
      <c r="D660" s="10" t="s">
        <v>227</v>
      </c>
      <c r="E660" s="10" t="s">
        <v>38</v>
      </c>
      <c r="F660" s="651" t="s">
        <v>64</v>
      </c>
      <c r="G660" s="652" t="s">
        <v>46</v>
      </c>
      <c r="H660" s="652" t="s">
        <v>64</v>
      </c>
      <c r="I660" s="653" t="s">
        <v>663</v>
      </c>
      <c r="J660" s="10"/>
      <c r="K660" s="26">
        <f>K661</f>
        <v>561.22300000000007</v>
      </c>
      <c r="L660" s="26">
        <f>L661</f>
        <v>0</v>
      </c>
      <c r="M660" s="26">
        <f>M661</f>
        <v>561.22300000000007</v>
      </c>
    </row>
    <row r="661" spans="1:13" s="7" customFormat="1" ht="56.25" customHeight="1" x14ac:dyDescent="0.35">
      <c r="A661" s="11"/>
      <c r="B661" s="28" t="s">
        <v>77</v>
      </c>
      <c r="C661" s="25" t="s">
        <v>317</v>
      </c>
      <c r="D661" s="10" t="s">
        <v>227</v>
      </c>
      <c r="E661" s="10" t="s">
        <v>38</v>
      </c>
      <c r="F661" s="651" t="s">
        <v>64</v>
      </c>
      <c r="G661" s="652" t="s">
        <v>46</v>
      </c>
      <c r="H661" s="652" t="s">
        <v>64</v>
      </c>
      <c r="I661" s="653" t="s">
        <v>663</v>
      </c>
      <c r="J661" s="10" t="s">
        <v>78</v>
      </c>
      <c r="K661" s="26">
        <f>505.1+56.123</f>
        <v>561.22300000000007</v>
      </c>
      <c r="L661" s="26">
        <f>M661-K661</f>
        <v>0</v>
      </c>
      <c r="M661" s="26">
        <f>505.1+56.123</f>
        <v>561.22300000000007</v>
      </c>
    </row>
    <row r="662" spans="1:13" s="7" customFormat="1" ht="37.5" customHeight="1" x14ac:dyDescent="0.35">
      <c r="A662" s="11"/>
      <c r="B662" s="28" t="s">
        <v>322</v>
      </c>
      <c r="C662" s="25" t="s">
        <v>317</v>
      </c>
      <c r="D662" s="10" t="s">
        <v>227</v>
      </c>
      <c r="E662" s="10" t="s">
        <v>38</v>
      </c>
      <c r="F662" s="34" t="s">
        <v>64</v>
      </c>
      <c r="G662" s="117" t="s">
        <v>46</v>
      </c>
      <c r="H662" s="117" t="s">
        <v>53</v>
      </c>
      <c r="I662" s="653" t="s">
        <v>45</v>
      </c>
      <c r="J662" s="10"/>
      <c r="K662" s="26">
        <f>K663+K667+K669</f>
        <v>19192.511999999999</v>
      </c>
      <c r="L662" s="26">
        <f>L663+L667+L669</f>
        <v>97.5</v>
      </c>
      <c r="M662" s="26">
        <f>M663+M667+M669</f>
        <v>19290.011999999999</v>
      </c>
    </row>
    <row r="663" spans="1:13" s="7" customFormat="1" ht="44.25" customHeight="1" x14ac:dyDescent="0.35">
      <c r="A663" s="11"/>
      <c r="B663" s="27" t="s">
        <v>490</v>
      </c>
      <c r="C663" s="25" t="s">
        <v>317</v>
      </c>
      <c r="D663" s="10" t="s">
        <v>227</v>
      </c>
      <c r="E663" s="10" t="s">
        <v>38</v>
      </c>
      <c r="F663" s="34" t="s">
        <v>64</v>
      </c>
      <c r="G663" s="117" t="s">
        <v>46</v>
      </c>
      <c r="H663" s="117" t="s">
        <v>53</v>
      </c>
      <c r="I663" s="118" t="s">
        <v>92</v>
      </c>
      <c r="J663" s="119"/>
      <c r="K663" s="26">
        <f>K664+K665+K666</f>
        <v>13245.4</v>
      </c>
      <c r="L663" s="26">
        <f>L664+L665+L666</f>
        <v>97.5</v>
      </c>
      <c r="M663" s="26">
        <f>M664+M665+M666</f>
        <v>13342.9</v>
      </c>
    </row>
    <row r="664" spans="1:13" s="7" customFormat="1" ht="87" customHeight="1" x14ac:dyDescent="0.35">
      <c r="A664" s="11"/>
      <c r="B664" s="24" t="s">
        <v>50</v>
      </c>
      <c r="C664" s="25" t="s">
        <v>317</v>
      </c>
      <c r="D664" s="10" t="s">
        <v>227</v>
      </c>
      <c r="E664" s="10" t="s">
        <v>38</v>
      </c>
      <c r="F664" s="651" t="s">
        <v>64</v>
      </c>
      <c r="G664" s="652" t="s">
        <v>46</v>
      </c>
      <c r="H664" s="652" t="s">
        <v>53</v>
      </c>
      <c r="I664" s="653" t="s">
        <v>92</v>
      </c>
      <c r="J664" s="10" t="s">
        <v>51</v>
      </c>
      <c r="K664" s="26">
        <f>11895.6+206.3+39.2</f>
        <v>12141.1</v>
      </c>
      <c r="L664" s="26">
        <f>M664-K664</f>
        <v>97.5</v>
      </c>
      <c r="M664" s="26">
        <f>11895.6+206.3+39.2+97.5</f>
        <v>12238.6</v>
      </c>
    </row>
    <row r="665" spans="1:13" s="7" customFormat="1" ht="54" x14ac:dyDescent="0.35">
      <c r="A665" s="11"/>
      <c r="B665" s="24" t="s">
        <v>56</v>
      </c>
      <c r="C665" s="25" t="s">
        <v>317</v>
      </c>
      <c r="D665" s="10" t="s">
        <v>227</v>
      </c>
      <c r="E665" s="10" t="s">
        <v>38</v>
      </c>
      <c r="F665" s="651" t="s">
        <v>64</v>
      </c>
      <c r="G665" s="652" t="s">
        <v>46</v>
      </c>
      <c r="H665" s="652" t="s">
        <v>53</v>
      </c>
      <c r="I665" s="653" t="s">
        <v>92</v>
      </c>
      <c r="J665" s="10" t="s">
        <v>57</v>
      </c>
      <c r="K665" s="26">
        <v>1057.3</v>
      </c>
      <c r="L665" s="26">
        <f>M665-K665</f>
        <v>0</v>
      </c>
      <c r="M665" s="26">
        <v>1057.3</v>
      </c>
    </row>
    <row r="666" spans="1:13" s="7" customFormat="1" ht="18.75" customHeight="1" x14ac:dyDescent="0.35">
      <c r="A666" s="11"/>
      <c r="B666" s="24" t="s">
        <v>58</v>
      </c>
      <c r="C666" s="25" t="s">
        <v>317</v>
      </c>
      <c r="D666" s="10" t="s">
        <v>227</v>
      </c>
      <c r="E666" s="10" t="s">
        <v>38</v>
      </c>
      <c r="F666" s="651" t="s">
        <v>64</v>
      </c>
      <c r="G666" s="652" t="s">
        <v>46</v>
      </c>
      <c r="H666" s="652" t="s">
        <v>53</v>
      </c>
      <c r="I666" s="653" t="s">
        <v>92</v>
      </c>
      <c r="J666" s="10" t="s">
        <v>59</v>
      </c>
      <c r="K666" s="26">
        <v>47</v>
      </c>
      <c r="L666" s="26">
        <f>M666-K666</f>
        <v>0</v>
      </c>
      <c r="M666" s="26">
        <v>47</v>
      </c>
    </row>
    <row r="667" spans="1:13" s="7" customFormat="1" ht="18.75" customHeight="1" x14ac:dyDescent="0.35">
      <c r="A667" s="11"/>
      <c r="B667" s="24" t="s">
        <v>491</v>
      </c>
      <c r="C667" s="25" t="s">
        <v>317</v>
      </c>
      <c r="D667" s="10" t="s">
        <v>227</v>
      </c>
      <c r="E667" s="10" t="s">
        <v>38</v>
      </c>
      <c r="F667" s="651" t="s">
        <v>64</v>
      </c>
      <c r="G667" s="652" t="s">
        <v>46</v>
      </c>
      <c r="H667" s="652" t="s">
        <v>53</v>
      </c>
      <c r="I667" s="653" t="s">
        <v>394</v>
      </c>
      <c r="J667" s="10"/>
      <c r="K667" s="26">
        <f>K668</f>
        <v>1700</v>
      </c>
      <c r="L667" s="26">
        <f>L668</f>
        <v>0</v>
      </c>
      <c r="M667" s="26">
        <f>M668</f>
        <v>1700</v>
      </c>
    </row>
    <row r="668" spans="1:13" s="7" customFormat="1" ht="52.2" customHeight="1" x14ac:dyDescent="0.35">
      <c r="A668" s="11"/>
      <c r="B668" s="24" t="s">
        <v>56</v>
      </c>
      <c r="C668" s="25" t="s">
        <v>317</v>
      </c>
      <c r="D668" s="10" t="s">
        <v>227</v>
      </c>
      <c r="E668" s="10" t="s">
        <v>38</v>
      </c>
      <c r="F668" s="651" t="s">
        <v>64</v>
      </c>
      <c r="G668" s="652" t="s">
        <v>46</v>
      </c>
      <c r="H668" s="652" t="s">
        <v>53</v>
      </c>
      <c r="I668" s="653" t="s">
        <v>394</v>
      </c>
      <c r="J668" s="10" t="s">
        <v>57</v>
      </c>
      <c r="K668" s="26">
        <v>1700</v>
      </c>
      <c r="L668" s="26">
        <f>M668-K668</f>
        <v>0</v>
      </c>
      <c r="M668" s="26">
        <v>1700</v>
      </c>
    </row>
    <row r="669" spans="1:13" s="7" customFormat="1" ht="90.6" customHeight="1" x14ac:dyDescent="0.35">
      <c r="A669" s="11"/>
      <c r="B669" s="24" t="s">
        <v>604</v>
      </c>
      <c r="C669" s="25" t="s">
        <v>317</v>
      </c>
      <c r="D669" s="10" t="s">
        <v>227</v>
      </c>
      <c r="E669" s="10" t="s">
        <v>38</v>
      </c>
      <c r="F669" s="651" t="s">
        <v>64</v>
      </c>
      <c r="G669" s="652" t="s">
        <v>46</v>
      </c>
      <c r="H669" s="652" t="s">
        <v>53</v>
      </c>
      <c r="I669" s="653" t="s">
        <v>605</v>
      </c>
      <c r="J669" s="10"/>
      <c r="K669" s="26">
        <f>K670</f>
        <v>4247.1120000000001</v>
      </c>
      <c r="L669" s="26">
        <f>L670</f>
        <v>0</v>
      </c>
      <c r="M669" s="26">
        <f>M670</f>
        <v>4247.1120000000001</v>
      </c>
    </row>
    <row r="670" spans="1:13" s="7" customFormat="1" ht="49.95" customHeight="1" x14ac:dyDescent="0.35">
      <c r="A670" s="11"/>
      <c r="B670" s="24" t="s">
        <v>56</v>
      </c>
      <c r="C670" s="25" t="s">
        <v>317</v>
      </c>
      <c r="D670" s="10" t="s">
        <v>227</v>
      </c>
      <c r="E670" s="10" t="s">
        <v>38</v>
      </c>
      <c r="F670" s="651" t="s">
        <v>64</v>
      </c>
      <c r="G670" s="652" t="s">
        <v>46</v>
      </c>
      <c r="H670" s="652" t="s">
        <v>53</v>
      </c>
      <c r="I670" s="653" t="s">
        <v>605</v>
      </c>
      <c r="J670" s="10" t="s">
        <v>57</v>
      </c>
      <c r="K670" s="26">
        <v>4247.1120000000001</v>
      </c>
      <c r="L670" s="26">
        <f>M670-K670</f>
        <v>0</v>
      </c>
      <c r="M670" s="26">
        <v>4247.1120000000001</v>
      </c>
    </row>
    <row r="671" spans="1:13" s="7" customFormat="1" ht="56.4" customHeight="1" x14ac:dyDescent="0.35">
      <c r="A671" s="11"/>
      <c r="B671" s="24" t="s">
        <v>330</v>
      </c>
      <c r="C671" s="25" t="s">
        <v>317</v>
      </c>
      <c r="D671" s="10" t="s">
        <v>227</v>
      </c>
      <c r="E671" s="10" t="s">
        <v>38</v>
      </c>
      <c r="F671" s="34" t="s">
        <v>64</v>
      </c>
      <c r="G671" s="117" t="s">
        <v>90</v>
      </c>
      <c r="H671" s="117" t="s">
        <v>44</v>
      </c>
      <c r="I671" s="653" t="s">
        <v>45</v>
      </c>
      <c r="J671" s="10"/>
      <c r="K671" s="26">
        <f>K672</f>
        <v>349.488</v>
      </c>
      <c r="L671" s="26">
        <f>L672</f>
        <v>0</v>
      </c>
      <c r="M671" s="26">
        <f>M672</f>
        <v>349.488</v>
      </c>
    </row>
    <row r="672" spans="1:13" s="7" customFormat="1" ht="92.25" customHeight="1" x14ac:dyDescent="0.35">
      <c r="A672" s="11"/>
      <c r="B672" s="28" t="s">
        <v>323</v>
      </c>
      <c r="C672" s="25" t="s">
        <v>317</v>
      </c>
      <c r="D672" s="10" t="s">
        <v>227</v>
      </c>
      <c r="E672" s="10" t="s">
        <v>38</v>
      </c>
      <c r="F672" s="34" t="s">
        <v>64</v>
      </c>
      <c r="G672" s="117" t="s">
        <v>90</v>
      </c>
      <c r="H672" s="117" t="s">
        <v>64</v>
      </c>
      <c r="I672" s="653" t="s">
        <v>45</v>
      </c>
      <c r="J672" s="10"/>
      <c r="K672" s="26">
        <f>K673+K676</f>
        <v>349.488</v>
      </c>
      <c r="L672" s="26">
        <f>L673+L676</f>
        <v>0</v>
      </c>
      <c r="M672" s="26">
        <f>M673+M676</f>
        <v>349.488</v>
      </c>
    </row>
    <row r="673" spans="1:13" s="7" customFormat="1" ht="37.5" customHeight="1" x14ac:dyDescent="0.35">
      <c r="A673" s="11"/>
      <c r="B673" s="28" t="s">
        <v>318</v>
      </c>
      <c r="C673" s="25" t="s">
        <v>317</v>
      </c>
      <c r="D673" s="10" t="s">
        <v>227</v>
      </c>
      <c r="E673" s="10" t="s">
        <v>38</v>
      </c>
      <c r="F673" s="34" t="s">
        <v>64</v>
      </c>
      <c r="G673" s="117" t="s">
        <v>90</v>
      </c>
      <c r="H673" s="117" t="s">
        <v>64</v>
      </c>
      <c r="I673" s="118" t="s">
        <v>319</v>
      </c>
      <c r="J673" s="119"/>
      <c r="K673" s="26">
        <f>K675+K674</f>
        <v>307.38200000000001</v>
      </c>
      <c r="L673" s="26">
        <f>L675+L674</f>
        <v>0</v>
      </c>
      <c r="M673" s="26">
        <f>M675+M674</f>
        <v>307.38200000000001</v>
      </c>
    </row>
    <row r="674" spans="1:13" s="7" customFormat="1" ht="54" x14ac:dyDescent="0.35">
      <c r="A674" s="11"/>
      <c r="B674" s="28" t="s">
        <v>56</v>
      </c>
      <c r="C674" s="25" t="s">
        <v>317</v>
      </c>
      <c r="D674" s="10" t="s">
        <v>227</v>
      </c>
      <c r="E674" s="10" t="s">
        <v>38</v>
      </c>
      <c r="F674" s="34" t="s">
        <v>64</v>
      </c>
      <c r="G674" s="117" t="s">
        <v>90</v>
      </c>
      <c r="H674" s="117" t="s">
        <v>64</v>
      </c>
      <c r="I674" s="118" t="s">
        <v>319</v>
      </c>
      <c r="J674" s="119" t="s">
        <v>57</v>
      </c>
      <c r="K674" s="26">
        <f>289.488</f>
        <v>289.488</v>
      </c>
      <c r="L674" s="26">
        <f>M674-K674</f>
        <v>0</v>
      </c>
      <c r="M674" s="26">
        <f>289.488</f>
        <v>289.488</v>
      </c>
    </row>
    <row r="675" spans="1:13" s="7" customFormat="1" ht="56.25" customHeight="1" x14ac:dyDescent="0.35">
      <c r="A675" s="11"/>
      <c r="B675" s="28" t="s">
        <v>77</v>
      </c>
      <c r="C675" s="25" t="s">
        <v>317</v>
      </c>
      <c r="D675" s="10" t="s">
        <v>227</v>
      </c>
      <c r="E675" s="10" t="s">
        <v>38</v>
      </c>
      <c r="F675" s="651" t="s">
        <v>64</v>
      </c>
      <c r="G675" s="652" t="s">
        <v>90</v>
      </c>
      <c r="H675" s="652" t="s">
        <v>64</v>
      </c>
      <c r="I675" s="653" t="s">
        <v>319</v>
      </c>
      <c r="J675" s="10" t="s">
        <v>78</v>
      </c>
      <c r="K675" s="26">
        <f>17.9-0.006</f>
        <v>17.893999999999998</v>
      </c>
      <c r="L675" s="26">
        <f>M675-K675</f>
        <v>0</v>
      </c>
      <c r="M675" s="26">
        <f>17.9-0.006</f>
        <v>17.893999999999998</v>
      </c>
    </row>
    <row r="676" spans="1:13" s="7" customFormat="1" ht="56.25" customHeight="1" x14ac:dyDescent="0.35">
      <c r="A676" s="11"/>
      <c r="B676" s="28" t="s">
        <v>433</v>
      </c>
      <c r="C676" s="25" t="s">
        <v>317</v>
      </c>
      <c r="D676" s="10" t="s">
        <v>227</v>
      </c>
      <c r="E676" s="10" t="s">
        <v>38</v>
      </c>
      <c r="F676" s="651" t="s">
        <v>64</v>
      </c>
      <c r="G676" s="652" t="s">
        <v>90</v>
      </c>
      <c r="H676" s="652" t="s">
        <v>64</v>
      </c>
      <c r="I676" s="653" t="s">
        <v>434</v>
      </c>
      <c r="J676" s="10"/>
      <c r="K676" s="26">
        <f>K677</f>
        <v>42.106000000000002</v>
      </c>
      <c r="L676" s="26">
        <f>L677</f>
        <v>0</v>
      </c>
      <c r="M676" s="26">
        <f>M677</f>
        <v>42.106000000000002</v>
      </c>
    </row>
    <row r="677" spans="1:13" s="7" customFormat="1" ht="56.25" customHeight="1" x14ac:dyDescent="0.35">
      <c r="A677" s="11"/>
      <c r="B677" s="28" t="s">
        <v>77</v>
      </c>
      <c r="C677" s="25" t="s">
        <v>317</v>
      </c>
      <c r="D677" s="10" t="s">
        <v>227</v>
      </c>
      <c r="E677" s="10" t="s">
        <v>38</v>
      </c>
      <c r="F677" s="651" t="s">
        <v>64</v>
      </c>
      <c r="G677" s="652" t="s">
        <v>90</v>
      </c>
      <c r="H677" s="652" t="s">
        <v>64</v>
      </c>
      <c r="I677" s="653" t="s">
        <v>434</v>
      </c>
      <c r="J677" s="10" t="s">
        <v>78</v>
      </c>
      <c r="K677" s="26">
        <f>42.1+0.006</f>
        <v>42.106000000000002</v>
      </c>
      <c r="L677" s="26">
        <f>M677-K677</f>
        <v>0</v>
      </c>
      <c r="M677" s="26">
        <f>42.1+0.006</f>
        <v>42.106000000000002</v>
      </c>
    </row>
    <row r="678" spans="1:13" s="7" customFormat="1" ht="37.5" customHeight="1" x14ac:dyDescent="0.35">
      <c r="A678" s="11"/>
      <c r="B678" s="24" t="s">
        <v>324</v>
      </c>
      <c r="C678" s="25" t="s">
        <v>317</v>
      </c>
      <c r="D678" s="10" t="s">
        <v>227</v>
      </c>
      <c r="E678" s="10" t="s">
        <v>53</v>
      </c>
      <c r="F678" s="34"/>
      <c r="G678" s="117"/>
      <c r="H678" s="117"/>
      <c r="I678" s="118"/>
      <c r="J678" s="119"/>
      <c r="K678" s="26">
        <f>K679</f>
        <v>11957.577000000001</v>
      </c>
      <c r="L678" s="26">
        <f>L679</f>
        <v>947.2</v>
      </c>
      <c r="M678" s="26">
        <f>M679</f>
        <v>12904.777000000002</v>
      </c>
    </row>
    <row r="679" spans="1:13" s="7" customFormat="1" ht="56.25" customHeight="1" x14ac:dyDescent="0.35">
      <c r="A679" s="11"/>
      <c r="B679" s="30" t="s">
        <v>214</v>
      </c>
      <c r="C679" s="25" t="s">
        <v>317</v>
      </c>
      <c r="D679" s="10" t="s">
        <v>227</v>
      </c>
      <c r="E679" s="10" t="s">
        <v>53</v>
      </c>
      <c r="F679" s="34" t="s">
        <v>64</v>
      </c>
      <c r="G679" s="117" t="s">
        <v>43</v>
      </c>
      <c r="H679" s="117" t="s">
        <v>44</v>
      </c>
      <c r="I679" s="118" t="s">
        <v>45</v>
      </c>
      <c r="J679" s="119"/>
      <c r="K679" s="26">
        <f>K684+K680</f>
        <v>11957.577000000001</v>
      </c>
      <c r="L679" s="26">
        <f>L684+L680</f>
        <v>947.2</v>
      </c>
      <c r="M679" s="26">
        <f>M684+M680</f>
        <v>12904.777000000002</v>
      </c>
    </row>
    <row r="680" spans="1:13" s="7" customFormat="1" ht="54" x14ac:dyDescent="0.35">
      <c r="A680" s="11"/>
      <c r="B680" s="24" t="s">
        <v>330</v>
      </c>
      <c r="C680" s="25" t="s">
        <v>317</v>
      </c>
      <c r="D680" s="10" t="s">
        <v>227</v>
      </c>
      <c r="E680" s="10" t="s">
        <v>53</v>
      </c>
      <c r="F680" s="651" t="s">
        <v>64</v>
      </c>
      <c r="G680" s="652" t="s">
        <v>90</v>
      </c>
      <c r="H680" s="652" t="s">
        <v>44</v>
      </c>
      <c r="I680" s="653" t="s">
        <v>45</v>
      </c>
      <c r="J680" s="10"/>
      <c r="K680" s="26">
        <f t="shared" ref="K680:M682" si="87">K681</f>
        <v>658.37699999999995</v>
      </c>
      <c r="L680" s="26">
        <f t="shared" si="87"/>
        <v>869.5</v>
      </c>
      <c r="M680" s="26">
        <f t="shared" si="87"/>
        <v>1527.877</v>
      </c>
    </row>
    <row r="681" spans="1:13" s="7" customFormat="1" ht="87" customHeight="1" x14ac:dyDescent="0.35">
      <c r="A681" s="11"/>
      <c r="B681" s="106" t="s">
        <v>323</v>
      </c>
      <c r="C681" s="25" t="s">
        <v>317</v>
      </c>
      <c r="D681" s="10" t="s">
        <v>227</v>
      </c>
      <c r="E681" s="10" t="s">
        <v>53</v>
      </c>
      <c r="F681" s="651" t="s">
        <v>64</v>
      </c>
      <c r="G681" s="652" t="s">
        <v>90</v>
      </c>
      <c r="H681" s="652" t="s">
        <v>64</v>
      </c>
      <c r="I681" s="653" t="s">
        <v>45</v>
      </c>
      <c r="J681" s="10"/>
      <c r="K681" s="26">
        <f t="shared" si="87"/>
        <v>658.37699999999995</v>
      </c>
      <c r="L681" s="26">
        <f t="shared" si="87"/>
        <v>869.5</v>
      </c>
      <c r="M681" s="26">
        <f t="shared" si="87"/>
        <v>1527.877</v>
      </c>
    </row>
    <row r="682" spans="1:13" s="7" customFormat="1" ht="37.5" customHeight="1" x14ac:dyDescent="0.35">
      <c r="A682" s="11"/>
      <c r="B682" s="28" t="s">
        <v>318</v>
      </c>
      <c r="C682" s="25" t="s">
        <v>317</v>
      </c>
      <c r="D682" s="10" t="s">
        <v>227</v>
      </c>
      <c r="E682" s="10" t="s">
        <v>53</v>
      </c>
      <c r="F682" s="651" t="s">
        <v>64</v>
      </c>
      <c r="G682" s="652" t="s">
        <v>90</v>
      </c>
      <c r="H682" s="652" t="s">
        <v>64</v>
      </c>
      <c r="I682" s="653" t="s">
        <v>319</v>
      </c>
      <c r="J682" s="10"/>
      <c r="K682" s="26">
        <f t="shared" si="87"/>
        <v>658.37699999999995</v>
      </c>
      <c r="L682" s="26">
        <f t="shared" si="87"/>
        <v>869.5</v>
      </c>
      <c r="M682" s="26">
        <f t="shared" si="87"/>
        <v>1527.877</v>
      </c>
    </row>
    <row r="683" spans="1:13" s="7" customFormat="1" ht="54" x14ac:dyDescent="0.35">
      <c r="A683" s="11"/>
      <c r="B683" s="24" t="s">
        <v>56</v>
      </c>
      <c r="C683" s="25" t="s">
        <v>317</v>
      </c>
      <c r="D683" s="10" t="s">
        <v>227</v>
      </c>
      <c r="E683" s="10" t="s">
        <v>53</v>
      </c>
      <c r="F683" s="651" t="s">
        <v>64</v>
      </c>
      <c r="G683" s="652" t="s">
        <v>90</v>
      </c>
      <c r="H683" s="652" t="s">
        <v>64</v>
      </c>
      <c r="I683" s="653" t="s">
        <v>319</v>
      </c>
      <c r="J683" s="10" t="s">
        <v>57</v>
      </c>
      <c r="K683" s="26">
        <f>589.4-56.123-460.3+198+99+288.4</f>
        <v>658.37699999999995</v>
      </c>
      <c r="L683" s="26">
        <f>M683-K683</f>
        <v>869.5</v>
      </c>
      <c r="M683" s="26">
        <f>589.4-56.123-460.3+198+99+288.4+554+98.7+216.8</f>
        <v>1527.877</v>
      </c>
    </row>
    <row r="684" spans="1:13" s="7" customFormat="1" ht="56.25" customHeight="1" x14ac:dyDescent="0.35">
      <c r="A684" s="11"/>
      <c r="B684" s="24" t="s">
        <v>217</v>
      </c>
      <c r="C684" s="25" t="s">
        <v>317</v>
      </c>
      <c r="D684" s="10" t="s">
        <v>227</v>
      </c>
      <c r="E684" s="10" t="s">
        <v>53</v>
      </c>
      <c r="F684" s="651" t="s">
        <v>64</v>
      </c>
      <c r="G684" s="652" t="s">
        <v>31</v>
      </c>
      <c r="H684" s="652" t="s">
        <v>44</v>
      </c>
      <c r="I684" s="653" t="s">
        <v>45</v>
      </c>
      <c r="J684" s="10"/>
      <c r="K684" s="26">
        <f>K685</f>
        <v>11299.2</v>
      </c>
      <c r="L684" s="26">
        <f>L685</f>
        <v>77.700000000000045</v>
      </c>
      <c r="M684" s="26">
        <f>M685</f>
        <v>11376.900000000001</v>
      </c>
    </row>
    <row r="685" spans="1:13" s="7" customFormat="1" ht="37.5" customHeight="1" x14ac:dyDescent="0.35">
      <c r="A685" s="11"/>
      <c r="B685" s="24" t="s">
        <v>283</v>
      </c>
      <c r="C685" s="25" t="s">
        <v>317</v>
      </c>
      <c r="D685" s="10" t="s">
        <v>227</v>
      </c>
      <c r="E685" s="10" t="s">
        <v>53</v>
      </c>
      <c r="F685" s="651" t="s">
        <v>64</v>
      </c>
      <c r="G685" s="652" t="s">
        <v>31</v>
      </c>
      <c r="H685" s="652" t="s">
        <v>38</v>
      </c>
      <c r="I685" s="653" t="s">
        <v>45</v>
      </c>
      <c r="J685" s="10"/>
      <c r="K685" s="26">
        <f>K686+K690+K694</f>
        <v>11299.2</v>
      </c>
      <c r="L685" s="26">
        <f>L686+L690+L694</f>
        <v>77.700000000000045</v>
      </c>
      <c r="M685" s="26">
        <f>M686+M690+M694</f>
        <v>11376.900000000001</v>
      </c>
    </row>
    <row r="686" spans="1:13" s="7" customFormat="1" ht="37.5" customHeight="1" x14ac:dyDescent="0.35">
      <c r="A686" s="11"/>
      <c r="B686" s="24" t="s">
        <v>48</v>
      </c>
      <c r="C686" s="25" t="s">
        <v>317</v>
      </c>
      <c r="D686" s="10" t="s">
        <v>227</v>
      </c>
      <c r="E686" s="10" t="s">
        <v>53</v>
      </c>
      <c r="F686" s="651" t="s">
        <v>64</v>
      </c>
      <c r="G686" s="652" t="s">
        <v>31</v>
      </c>
      <c r="H686" s="652" t="s">
        <v>38</v>
      </c>
      <c r="I686" s="653" t="s">
        <v>49</v>
      </c>
      <c r="J686" s="119"/>
      <c r="K686" s="26">
        <f>K687+K688+K689</f>
        <v>3290.1</v>
      </c>
      <c r="L686" s="26">
        <f>L687+L688+L689</f>
        <v>0</v>
      </c>
      <c r="M686" s="26">
        <f>M687+M688+M689</f>
        <v>3290.1</v>
      </c>
    </row>
    <row r="687" spans="1:13" s="7" customFormat="1" ht="112.5" customHeight="1" x14ac:dyDescent="0.35">
      <c r="A687" s="11"/>
      <c r="B687" s="24" t="s">
        <v>50</v>
      </c>
      <c r="C687" s="25" t="s">
        <v>317</v>
      </c>
      <c r="D687" s="10" t="s">
        <v>227</v>
      </c>
      <c r="E687" s="10" t="s">
        <v>53</v>
      </c>
      <c r="F687" s="651" t="s">
        <v>64</v>
      </c>
      <c r="G687" s="652" t="s">
        <v>31</v>
      </c>
      <c r="H687" s="652" t="s">
        <v>38</v>
      </c>
      <c r="I687" s="653" t="s">
        <v>49</v>
      </c>
      <c r="J687" s="119" t="s">
        <v>51</v>
      </c>
      <c r="K687" s="26">
        <f>2633.6+402.7+36.1</f>
        <v>3072.3999999999996</v>
      </c>
      <c r="L687" s="26">
        <f>M687-K687</f>
        <v>37</v>
      </c>
      <c r="M687" s="26">
        <f>2633.6+402.7+36.1-98.1+98.1+37</f>
        <v>3109.3999999999996</v>
      </c>
    </row>
    <row r="688" spans="1:13" s="7" customFormat="1" ht="49.2" customHeight="1" x14ac:dyDescent="0.35">
      <c r="A688" s="11"/>
      <c r="B688" s="24" t="s">
        <v>56</v>
      </c>
      <c r="C688" s="25" t="s">
        <v>317</v>
      </c>
      <c r="D688" s="10" t="s">
        <v>227</v>
      </c>
      <c r="E688" s="10" t="s">
        <v>53</v>
      </c>
      <c r="F688" s="651" t="s">
        <v>64</v>
      </c>
      <c r="G688" s="652" t="s">
        <v>31</v>
      </c>
      <c r="H688" s="652" t="s">
        <v>38</v>
      </c>
      <c r="I688" s="653" t="s">
        <v>49</v>
      </c>
      <c r="J688" s="119" t="s">
        <v>57</v>
      </c>
      <c r="K688" s="26">
        <f>249.4-36.1</f>
        <v>213.3</v>
      </c>
      <c r="L688" s="26">
        <f>M688-K688</f>
        <v>-37</v>
      </c>
      <c r="M688" s="26">
        <f>249.4-36.1-37</f>
        <v>176.3</v>
      </c>
    </row>
    <row r="689" spans="1:13" s="7" customFormat="1" ht="18.75" customHeight="1" x14ac:dyDescent="0.35">
      <c r="A689" s="11"/>
      <c r="B689" s="24" t="s">
        <v>58</v>
      </c>
      <c r="C689" s="25" t="s">
        <v>317</v>
      </c>
      <c r="D689" s="10" t="s">
        <v>227</v>
      </c>
      <c r="E689" s="10" t="s">
        <v>53</v>
      </c>
      <c r="F689" s="651" t="s">
        <v>64</v>
      </c>
      <c r="G689" s="652" t="s">
        <v>31</v>
      </c>
      <c r="H689" s="652" t="s">
        <v>38</v>
      </c>
      <c r="I689" s="653" t="s">
        <v>49</v>
      </c>
      <c r="J689" s="10" t="s">
        <v>59</v>
      </c>
      <c r="K689" s="26">
        <v>4.4000000000000004</v>
      </c>
      <c r="L689" s="26">
        <f>M689-K689</f>
        <v>0</v>
      </c>
      <c r="M689" s="26">
        <f>4.4+98.1-98.1</f>
        <v>4.4000000000000057</v>
      </c>
    </row>
    <row r="690" spans="1:13" s="7" customFormat="1" ht="39" customHeight="1" x14ac:dyDescent="0.35">
      <c r="A690" s="11"/>
      <c r="B690" s="27" t="s">
        <v>490</v>
      </c>
      <c r="C690" s="25" t="s">
        <v>317</v>
      </c>
      <c r="D690" s="10" t="s">
        <v>227</v>
      </c>
      <c r="E690" s="10" t="s">
        <v>53</v>
      </c>
      <c r="F690" s="651" t="s">
        <v>64</v>
      </c>
      <c r="G690" s="652" t="s">
        <v>31</v>
      </c>
      <c r="H690" s="652" t="s">
        <v>38</v>
      </c>
      <c r="I690" s="653" t="s">
        <v>92</v>
      </c>
      <c r="J690" s="10"/>
      <c r="K690" s="26">
        <f>K691+K692+K693</f>
        <v>7608.5</v>
      </c>
      <c r="L690" s="26">
        <f>L691+L692+L693</f>
        <v>77.700000000000045</v>
      </c>
      <c r="M690" s="26">
        <f>M691+M692+M693</f>
        <v>7686.2000000000007</v>
      </c>
    </row>
    <row r="691" spans="1:13" s="7" customFormat="1" ht="112.5" customHeight="1" x14ac:dyDescent="0.35">
      <c r="A691" s="11"/>
      <c r="B691" s="24" t="s">
        <v>50</v>
      </c>
      <c r="C691" s="181" t="s">
        <v>317</v>
      </c>
      <c r="D691" s="119" t="s">
        <v>227</v>
      </c>
      <c r="E691" s="119" t="s">
        <v>53</v>
      </c>
      <c r="F691" s="651" t="s">
        <v>64</v>
      </c>
      <c r="G691" s="652" t="s">
        <v>31</v>
      </c>
      <c r="H691" s="652" t="s">
        <v>38</v>
      </c>
      <c r="I691" s="653" t="s">
        <v>92</v>
      </c>
      <c r="J691" s="119" t="s">
        <v>51</v>
      </c>
      <c r="K691" s="26">
        <f>5944.1+1006.2+38.6</f>
        <v>6988.9000000000005</v>
      </c>
      <c r="L691" s="26">
        <f>M691-K691</f>
        <v>8</v>
      </c>
      <c r="M691" s="26">
        <f>5944.1+1006.2+38.6+8</f>
        <v>6996.9000000000005</v>
      </c>
    </row>
    <row r="692" spans="1:13" s="7" customFormat="1" ht="54" x14ac:dyDescent="0.35">
      <c r="A692" s="11"/>
      <c r="B692" s="24" t="s">
        <v>56</v>
      </c>
      <c r="C692" s="181" t="s">
        <v>317</v>
      </c>
      <c r="D692" s="119" t="s">
        <v>227</v>
      </c>
      <c r="E692" s="119" t="s">
        <v>53</v>
      </c>
      <c r="F692" s="651" t="s">
        <v>64</v>
      </c>
      <c r="G692" s="652" t="s">
        <v>31</v>
      </c>
      <c r="H692" s="652" t="s">
        <v>38</v>
      </c>
      <c r="I692" s="653" t="s">
        <v>92</v>
      </c>
      <c r="J692" s="119" t="s">
        <v>57</v>
      </c>
      <c r="K692" s="26">
        <f>546.5+39.9+31.5</f>
        <v>617.9</v>
      </c>
      <c r="L692" s="26">
        <f>M692-K692</f>
        <v>69.700000000000045</v>
      </c>
      <c r="M692" s="26">
        <f>546.5+39.9+31.5+69.7</f>
        <v>687.6</v>
      </c>
    </row>
    <row r="693" spans="1:13" s="7" customFormat="1" ht="18.75" customHeight="1" x14ac:dyDescent="0.35">
      <c r="A693" s="11"/>
      <c r="B693" s="24" t="s">
        <v>58</v>
      </c>
      <c r="C693" s="181" t="s">
        <v>317</v>
      </c>
      <c r="D693" s="119" t="s">
        <v>227</v>
      </c>
      <c r="E693" s="119" t="s">
        <v>53</v>
      </c>
      <c r="F693" s="651" t="s">
        <v>64</v>
      </c>
      <c r="G693" s="652" t="s">
        <v>31</v>
      </c>
      <c r="H693" s="652" t="s">
        <v>38</v>
      </c>
      <c r="I693" s="653" t="s">
        <v>92</v>
      </c>
      <c r="J693" s="10" t="s">
        <v>59</v>
      </c>
      <c r="K693" s="26">
        <v>1.7</v>
      </c>
      <c r="L693" s="26">
        <f>M693-K693</f>
        <v>0</v>
      </c>
      <c r="M693" s="26">
        <v>1.7</v>
      </c>
    </row>
    <row r="694" spans="1:13" s="164" customFormat="1" ht="18.75" customHeight="1" x14ac:dyDescent="0.35">
      <c r="A694" s="260"/>
      <c r="B694" s="261" t="s">
        <v>491</v>
      </c>
      <c r="C694" s="181" t="s">
        <v>317</v>
      </c>
      <c r="D694" s="119" t="s">
        <v>227</v>
      </c>
      <c r="E694" s="119" t="s">
        <v>53</v>
      </c>
      <c r="F694" s="651" t="s">
        <v>64</v>
      </c>
      <c r="G694" s="652" t="s">
        <v>31</v>
      </c>
      <c r="H694" s="652" t="s">
        <v>38</v>
      </c>
      <c r="I694" s="197" t="s">
        <v>394</v>
      </c>
      <c r="J694" s="257"/>
      <c r="K694" s="240">
        <f>K695</f>
        <v>400.6</v>
      </c>
      <c r="L694" s="240">
        <f>L695</f>
        <v>0</v>
      </c>
      <c r="M694" s="240">
        <f>M695</f>
        <v>400.6</v>
      </c>
    </row>
    <row r="695" spans="1:13" s="164" customFormat="1" ht="54" x14ac:dyDescent="0.35">
      <c r="A695" s="262"/>
      <c r="B695" s="24" t="s">
        <v>56</v>
      </c>
      <c r="C695" s="181" t="s">
        <v>317</v>
      </c>
      <c r="D695" s="119" t="s">
        <v>227</v>
      </c>
      <c r="E695" s="119" t="s">
        <v>53</v>
      </c>
      <c r="F695" s="651" t="s">
        <v>64</v>
      </c>
      <c r="G695" s="652" t="s">
        <v>31</v>
      </c>
      <c r="H695" s="652" t="s">
        <v>38</v>
      </c>
      <c r="I695" s="259" t="s">
        <v>394</v>
      </c>
      <c r="J695" s="258" t="s">
        <v>57</v>
      </c>
      <c r="K695" s="323">
        <f>311.5-31.5+120.6</f>
        <v>400.6</v>
      </c>
      <c r="L695" s="26">
        <f>M695-K695</f>
        <v>0</v>
      </c>
      <c r="M695" s="323">
        <f>311.5-31.5+120.6</f>
        <v>400.6</v>
      </c>
    </row>
    <row r="696" spans="1:13" s="164" customFormat="1" ht="18.75" customHeight="1" x14ac:dyDescent="0.35">
      <c r="A696" s="262"/>
      <c r="B696" s="255"/>
      <c r="C696" s="181"/>
      <c r="D696" s="119"/>
      <c r="E696" s="119"/>
      <c r="F696" s="651"/>
      <c r="G696" s="652"/>
      <c r="H696" s="652"/>
      <c r="I696" s="256"/>
      <c r="J696" s="258"/>
      <c r="K696" s="323"/>
      <c r="L696" s="323"/>
      <c r="M696" s="323"/>
    </row>
    <row r="697" spans="1:13" s="143" customFormat="1" ht="56.25" customHeight="1" x14ac:dyDescent="0.3">
      <c r="A697" s="142">
        <v>7</v>
      </c>
      <c r="B697" s="18" t="s">
        <v>10</v>
      </c>
      <c r="C697" s="19" t="s">
        <v>292</v>
      </c>
      <c r="D697" s="20"/>
      <c r="E697" s="20"/>
      <c r="F697" s="21"/>
      <c r="G697" s="22"/>
      <c r="H697" s="22"/>
      <c r="I697" s="23"/>
      <c r="J697" s="20"/>
      <c r="K697" s="40">
        <f>K705+K698</f>
        <v>50898.299999999996</v>
      </c>
      <c r="L697" s="40">
        <f>L705+L698</f>
        <v>-4467.2999999999993</v>
      </c>
      <c r="M697" s="40">
        <f>M705+M698</f>
        <v>46430.999999999993</v>
      </c>
    </row>
    <row r="698" spans="1:13" s="143" customFormat="1" ht="21.6" customHeight="1" x14ac:dyDescent="0.35">
      <c r="A698" s="142"/>
      <c r="B698" s="264" t="s">
        <v>37</v>
      </c>
      <c r="C698" s="265" t="s">
        <v>292</v>
      </c>
      <c r="D698" s="35" t="s">
        <v>38</v>
      </c>
      <c r="E698" s="35"/>
      <c r="F698" s="251"/>
      <c r="G698" s="252"/>
      <c r="H698" s="252"/>
      <c r="I698" s="253"/>
      <c r="J698" s="35"/>
      <c r="K698" s="254">
        <f t="shared" ref="K698:M702" si="88">K699</f>
        <v>35.6</v>
      </c>
      <c r="L698" s="254">
        <f t="shared" si="88"/>
        <v>0</v>
      </c>
      <c r="M698" s="254">
        <f t="shared" si="88"/>
        <v>35.6</v>
      </c>
    </row>
    <row r="699" spans="1:13" s="143" customFormat="1" ht="23.25" customHeight="1" x14ac:dyDescent="0.35">
      <c r="A699" s="142"/>
      <c r="B699" s="264" t="s">
        <v>71</v>
      </c>
      <c r="C699" s="265" t="s">
        <v>292</v>
      </c>
      <c r="D699" s="35" t="s">
        <v>38</v>
      </c>
      <c r="E699" s="35" t="s">
        <v>72</v>
      </c>
      <c r="F699" s="251"/>
      <c r="G699" s="252"/>
      <c r="H699" s="252"/>
      <c r="I699" s="253"/>
      <c r="J699" s="35"/>
      <c r="K699" s="254">
        <f t="shared" si="88"/>
        <v>35.6</v>
      </c>
      <c r="L699" s="254">
        <f t="shared" si="88"/>
        <v>0</v>
      </c>
      <c r="M699" s="254">
        <f t="shared" si="88"/>
        <v>35.6</v>
      </c>
    </row>
    <row r="700" spans="1:13" s="143" customFormat="1" ht="56.25" customHeight="1" x14ac:dyDescent="0.35">
      <c r="A700" s="142"/>
      <c r="B700" s="24" t="s">
        <v>218</v>
      </c>
      <c r="C700" s="265" t="s">
        <v>292</v>
      </c>
      <c r="D700" s="35" t="s">
        <v>38</v>
      </c>
      <c r="E700" s="35" t="s">
        <v>72</v>
      </c>
      <c r="F700" s="251" t="s">
        <v>53</v>
      </c>
      <c r="G700" s="252" t="s">
        <v>43</v>
      </c>
      <c r="H700" s="252" t="s">
        <v>44</v>
      </c>
      <c r="I700" s="253" t="s">
        <v>45</v>
      </c>
      <c r="J700" s="35"/>
      <c r="K700" s="254">
        <f t="shared" si="88"/>
        <v>35.6</v>
      </c>
      <c r="L700" s="254">
        <f t="shared" si="88"/>
        <v>0</v>
      </c>
      <c r="M700" s="254">
        <f t="shared" si="88"/>
        <v>35.6</v>
      </c>
    </row>
    <row r="701" spans="1:13" s="143" customFormat="1" ht="37.5" customHeight="1" x14ac:dyDescent="0.35">
      <c r="A701" s="142"/>
      <c r="B701" s="24" t="s">
        <v>221</v>
      </c>
      <c r="C701" s="265" t="s">
        <v>292</v>
      </c>
      <c r="D701" s="35" t="s">
        <v>38</v>
      </c>
      <c r="E701" s="35" t="s">
        <v>72</v>
      </c>
      <c r="F701" s="251" t="s">
        <v>53</v>
      </c>
      <c r="G701" s="252" t="s">
        <v>90</v>
      </c>
      <c r="H701" s="252" t="s">
        <v>44</v>
      </c>
      <c r="I701" s="253" t="s">
        <v>45</v>
      </c>
      <c r="J701" s="35"/>
      <c r="K701" s="254">
        <f t="shared" si="88"/>
        <v>35.6</v>
      </c>
      <c r="L701" s="254">
        <f t="shared" si="88"/>
        <v>0</v>
      </c>
      <c r="M701" s="254">
        <f t="shared" si="88"/>
        <v>35.6</v>
      </c>
    </row>
    <row r="702" spans="1:13" s="143" customFormat="1" ht="41.25" customHeight="1" x14ac:dyDescent="0.35">
      <c r="A702" s="142"/>
      <c r="B702" s="264" t="s">
        <v>358</v>
      </c>
      <c r="C702" s="265" t="s">
        <v>292</v>
      </c>
      <c r="D702" s="35" t="s">
        <v>38</v>
      </c>
      <c r="E702" s="35" t="s">
        <v>72</v>
      </c>
      <c r="F702" s="251" t="s">
        <v>53</v>
      </c>
      <c r="G702" s="252" t="s">
        <v>90</v>
      </c>
      <c r="H702" s="252" t="s">
        <v>64</v>
      </c>
      <c r="I702" s="253" t="s">
        <v>45</v>
      </c>
      <c r="J702" s="35"/>
      <c r="K702" s="254">
        <f t="shared" si="88"/>
        <v>35.6</v>
      </c>
      <c r="L702" s="254">
        <f t="shared" si="88"/>
        <v>0</v>
      </c>
      <c r="M702" s="254">
        <f t="shared" si="88"/>
        <v>35.6</v>
      </c>
    </row>
    <row r="703" spans="1:13" s="143" customFormat="1" ht="56.25" customHeight="1" x14ac:dyDescent="0.35">
      <c r="A703" s="142"/>
      <c r="B703" s="292" t="s">
        <v>359</v>
      </c>
      <c r="C703" s="265" t="s">
        <v>292</v>
      </c>
      <c r="D703" s="35" t="s">
        <v>38</v>
      </c>
      <c r="E703" s="35" t="s">
        <v>72</v>
      </c>
      <c r="F703" s="251" t="s">
        <v>53</v>
      </c>
      <c r="G703" s="252" t="s">
        <v>90</v>
      </c>
      <c r="H703" s="252" t="s">
        <v>64</v>
      </c>
      <c r="I703" s="253" t="s">
        <v>106</v>
      </c>
      <c r="J703" s="35"/>
      <c r="K703" s="254">
        <f>K704</f>
        <v>35.6</v>
      </c>
      <c r="L703" s="254">
        <f>L704</f>
        <v>0</v>
      </c>
      <c r="M703" s="254">
        <f>M704</f>
        <v>35.6</v>
      </c>
    </row>
    <row r="704" spans="1:13" s="143" customFormat="1" ht="54" x14ac:dyDescent="0.35">
      <c r="A704" s="142"/>
      <c r="B704" s="24" t="s">
        <v>56</v>
      </c>
      <c r="C704" s="265" t="s">
        <v>292</v>
      </c>
      <c r="D704" s="35" t="s">
        <v>38</v>
      </c>
      <c r="E704" s="35" t="s">
        <v>72</v>
      </c>
      <c r="F704" s="251" t="s">
        <v>53</v>
      </c>
      <c r="G704" s="252" t="s">
        <v>90</v>
      </c>
      <c r="H704" s="252" t="s">
        <v>64</v>
      </c>
      <c r="I704" s="253" t="s">
        <v>106</v>
      </c>
      <c r="J704" s="35" t="s">
        <v>57</v>
      </c>
      <c r="K704" s="254">
        <v>35.6</v>
      </c>
      <c r="L704" s="26">
        <f>M704-K704</f>
        <v>0</v>
      </c>
      <c r="M704" s="254">
        <v>35.6</v>
      </c>
    </row>
    <row r="705" spans="1:13" s="7" customFormat="1" ht="18.75" customHeight="1" x14ac:dyDescent="0.35">
      <c r="A705" s="11"/>
      <c r="B705" s="30" t="s">
        <v>325</v>
      </c>
      <c r="C705" s="25" t="s">
        <v>292</v>
      </c>
      <c r="D705" s="10" t="s">
        <v>68</v>
      </c>
      <c r="E705" s="10"/>
      <c r="F705" s="651"/>
      <c r="G705" s="652"/>
      <c r="H705" s="652"/>
      <c r="I705" s="653"/>
      <c r="J705" s="10"/>
      <c r="K705" s="26">
        <f>K706+K739+K745</f>
        <v>50862.7</v>
      </c>
      <c r="L705" s="26">
        <f>L706+L739+L745</f>
        <v>-4467.2999999999993</v>
      </c>
      <c r="M705" s="26">
        <f>M706+M739+M745</f>
        <v>46395.399999999994</v>
      </c>
    </row>
    <row r="706" spans="1:13" s="143" customFormat="1" ht="18.75" customHeight="1" x14ac:dyDescent="0.35">
      <c r="A706" s="11"/>
      <c r="B706" s="30" t="s">
        <v>367</v>
      </c>
      <c r="C706" s="25" t="s">
        <v>292</v>
      </c>
      <c r="D706" s="10" t="s">
        <v>68</v>
      </c>
      <c r="E706" s="10" t="s">
        <v>38</v>
      </c>
      <c r="F706" s="651"/>
      <c r="G706" s="652"/>
      <c r="H706" s="652"/>
      <c r="I706" s="653"/>
      <c r="J706" s="10"/>
      <c r="K706" s="26">
        <f>K707</f>
        <v>47326.299999999996</v>
      </c>
      <c r="L706" s="26">
        <f>L707</f>
        <v>-4652.8999999999996</v>
      </c>
      <c r="M706" s="26">
        <f>M707</f>
        <v>42673.399999999994</v>
      </c>
    </row>
    <row r="707" spans="1:13" s="143" customFormat="1" ht="57" customHeight="1" x14ac:dyDescent="0.35">
      <c r="A707" s="11"/>
      <c r="B707" s="24" t="s">
        <v>218</v>
      </c>
      <c r="C707" s="25" t="s">
        <v>292</v>
      </c>
      <c r="D707" s="10" t="s">
        <v>68</v>
      </c>
      <c r="E707" s="10" t="s">
        <v>38</v>
      </c>
      <c r="F707" s="651" t="s">
        <v>53</v>
      </c>
      <c r="G707" s="652" t="s">
        <v>43</v>
      </c>
      <c r="H707" s="652" t="s">
        <v>44</v>
      </c>
      <c r="I707" s="653" t="s">
        <v>45</v>
      </c>
      <c r="J707" s="10"/>
      <c r="K707" s="26">
        <f>K708+K712+K735</f>
        <v>47326.299999999996</v>
      </c>
      <c r="L707" s="26">
        <f>L708+L712+L735</f>
        <v>-4652.8999999999996</v>
      </c>
      <c r="M707" s="26">
        <f>M708+M712+M735</f>
        <v>42673.399999999994</v>
      </c>
    </row>
    <row r="708" spans="1:13" s="143" customFormat="1" ht="37.5" customHeight="1" x14ac:dyDescent="0.35">
      <c r="A708" s="11"/>
      <c r="B708" s="30" t="s">
        <v>219</v>
      </c>
      <c r="C708" s="25" t="s">
        <v>292</v>
      </c>
      <c r="D708" s="10" t="s">
        <v>68</v>
      </c>
      <c r="E708" s="10" t="s">
        <v>38</v>
      </c>
      <c r="F708" s="651" t="s">
        <v>53</v>
      </c>
      <c r="G708" s="652" t="s">
        <v>46</v>
      </c>
      <c r="H708" s="652" t="s">
        <v>44</v>
      </c>
      <c r="I708" s="653" t="s">
        <v>45</v>
      </c>
      <c r="J708" s="10"/>
      <c r="K708" s="26">
        <f>K709</f>
        <v>171</v>
      </c>
      <c r="L708" s="26">
        <f>L709</f>
        <v>60</v>
      </c>
      <c r="M708" s="26">
        <f>M709</f>
        <v>231</v>
      </c>
    </row>
    <row r="709" spans="1:13" s="143" customFormat="1" ht="18.75" customHeight="1" x14ac:dyDescent="0.35">
      <c r="A709" s="11"/>
      <c r="B709" s="24" t="s">
        <v>278</v>
      </c>
      <c r="C709" s="25" t="s">
        <v>292</v>
      </c>
      <c r="D709" s="10" t="s">
        <v>68</v>
      </c>
      <c r="E709" s="10" t="s">
        <v>38</v>
      </c>
      <c r="F709" s="651" t="s">
        <v>53</v>
      </c>
      <c r="G709" s="652" t="s">
        <v>46</v>
      </c>
      <c r="H709" s="652" t="s">
        <v>38</v>
      </c>
      <c r="I709" s="653" t="s">
        <v>45</v>
      </c>
      <c r="J709" s="10"/>
      <c r="K709" s="26">
        <f t="shared" ref="K709:M710" si="89">K710</f>
        <v>171</v>
      </c>
      <c r="L709" s="26">
        <f t="shared" si="89"/>
        <v>60</v>
      </c>
      <c r="M709" s="26">
        <f t="shared" si="89"/>
        <v>231</v>
      </c>
    </row>
    <row r="710" spans="1:13" s="143" customFormat="1" ht="36" x14ac:dyDescent="0.35">
      <c r="A710" s="11"/>
      <c r="B710" s="24" t="s">
        <v>279</v>
      </c>
      <c r="C710" s="25" t="s">
        <v>292</v>
      </c>
      <c r="D710" s="10" t="s">
        <v>68</v>
      </c>
      <c r="E710" s="10" t="s">
        <v>38</v>
      </c>
      <c r="F710" s="651" t="s">
        <v>53</v>
      </c>
      <c r="G710" s="652" t="s">
        <v>46</v>
      </c>
      <c r="H710" s="652" t="s">
        <v>38</v>
      </c>
      <c r="I710" s="653" t="s">
        <v>280</v>
      </c>
      <c r="J710" s="10"/>
      <c r="K710" s="26">
        <f t="shared" si="89"/>
        <v>171</v>
      </c>
      <c r="L710" s="26">
        <f t="shared" si="89"/>
        <v>60</v>
      </c>
      <c r="M710" s="26">
        <f t="shared" si="89"/>
        <v>231</v>
      </c>
    </row>
    <row r="711" spans="1:13" s="143" customFormat="1" ht="37.5" customHeight="1" x14ac:dyDescent="0.35">
      <c r="A711" s="11"/>
      <c r="B711" s="24" t="s">
        <v>121</v>
      </c>
      <c r="C711" s="25" t="s">
        <v>292</v>
      </c>
      <c r="D711" s="10" t="s">
        <v>68</v>
      </c>
      <c r="E711" s="10" t="s">
        <v>38</v>
      </c>
      <c r="F711" s="651" t="s">
        <v>53</v>
      </c>
      <c r="G711" s="652" t="s">
        <v>46</v>
      </c>
      <c r="H711" s="652" t="s">
        <v>38</v>
      </c>
      <c r="I711" s="653" t="s">
        <v>280</v>
      </c>
      <c r="J711" s="10" t="s">
        <v>122</v>
      </c>
      <c r="K711" s="26">
        <v>171</v>
      </c>
      <c r="L711" s="26">
        <f>M711-K711</f>
        <v>60</v>
      </c>
      <c r="M711" s="26">
        <f>171+60</f>
        <v>231</v>
      </c>
    </row>
    <row r="712" spans="1:13" s="7" customFormat="1" ht="37.5" customHeight="1" x14ac:dyDescent="0.35">
      <c r="A712" s="11"/>
      <c r="B712" s="24" t="s">
        <v>221</v>
      </c>
      <c r="C712" s="25" t="s">
        <v>292</v>
      </c>
      <c r="D712" s="10" t="s">
        <v>68</v>
      </c>
      <c r="E712" s="10" t="s">
        <v>38</v>
      </c>
      <c r="F712" s="651" t="s">
        <v>53</v>
      </c>
      <c r="G712" s="652" t="s">
        <v>90</v>
      </c>
      <c r="H712" s="652" t="s">
        <v>44</v>
      </c>
      <c r="I712" s="653" t="s">
        <v>45</v>
      </c>
      <c r="J712" s="10"/>
      <c r="K712" s="26">
        <f>K713+K728</f>
        <v>46080.999999999993</v>
      </c>
      <c r="L712" s="26">
        <f>L713+L728</f>
        <v>-4712.8999999999996</v>
      </c>
      <c r="M712" s="26">
        <f>M713+M728</f>
        <v>41368.099999999991</v>
      </c>
    </row>
    <row r="713" spans="1:13" s="143" customFormat="1" ht="34.200000000000003" customHeight="1" x14ac:dyDescent="0.35">
      <c r="A713" s="11"/>
      <c r="B713" s="24" t="s">
        <v>368</v>
      </c>
      <c r="C713" s="25" t="s">
        <v>292</v>
      </c>
      <c r="D713" s="10" t="s">
        <v>68</v>
      </c>
      <c r="E713" s="10" t="s">
        <v>38</v>
      </c>
      <c r="F713" s="651" t="s">
        <v>53</v>
      </c>
      <c r="G713" s="652" t="s">
        <v>90</v>
      </c>
      <c r="H713" s="652" t="s">
        <v>40</v>
      </c>
      <c r="I713" s="653" t="s">
        <v>45</v>
      </c>
      <c r="J713" s="10"/>
      <c r="K713" s="26">
        <f>K714+K718+K724+K720+K722+K726</f>
        <v>42319.999999999993</v>
      </c>
      <c r="L713" s="26">
        <f>L714+L718+L724+L720+L722+L726</f>
        <v>-4725.5999999999995</v>
      </c>
      <c r="M713" s="26">
        <f>M714+M718+M724+M720+M722+M726</f>
        <v>37594.399999999994</v>
      </c>
    </row>
    <row r="714" spans="1:13" s="143" customFormat="1" ht="39" customHeight="1" x14ac:dyDescent="0.35">
      <c r="A714" s="11"/>
      <c r="B714" s="27" t="s">
        <v>490</v>
      </c>
      <c r="C714" s="25" t="s">
        <v>292</v>
      </c>
      <c r="D714" s="10" t="s">
        <v>68</v>
      </c>
      <c r="E714" s="10" t="s">
        <v>38</v>
      </c>
      <c r="F714" s="651" t="s">
        <v>53</v>
      </c>
      <c r="G714" s="652" t="s">
        <v>90</v>
      </c>
      <c r="H714" s="652" t="s">
        <v>40</v>
      </c>
      <c r="I714" s="653" t="s">
        <v>92</v>
      </c>
      <c r="J714" s="10"/>
      <c r="K714" s="26">
        <f>K715+K716+K717</f>
        <v>24061.999999999996</v>
      </c>
      <c r="L714" s="26">
        <f>L715+L716+L717</f>
        <v>426.90000000000055</v>
      </c>
      <c r="M714" s="26">
        <f>M715+M716+M717</f>
        <v>24488.899999999998</v>
      </c>
    </row>
    <row r="715" spans="1:13" s="143" customFormat="1" ht="112.5" customHeight="1" x14ac:dyDescent="0.35">
      <c r="A715" s="11"/>
      <c r="B715" s="24" t="s">
        <v>50</v>
      </c>
      <c r="C715" s="25" t="s">
        <v>292</v>
      </c>
      <c r="D715" s="10" t="s">
        <v>68</v>
      </c>
      <c r="E715" s="10" t="s">
        <v>38</v>
      </c>
      <c r="F715" s="651" t="s">
        <v>53</v>
      </c>
      <c r="G715" s="652" t="s">
        <v>90</v>
      </c>
      <c r="H715" s="652" t="s">
        <v>40</v>
      </c>
      <c r="I715" s="653" t="s">
        <v>92</v>
      </c>
      <c r="J715" s="10" t="s">
        <v>51</v>
      </c>
      <c r="K715" s="26">
        <f>17974.3+25.6+213.9+225.8</f>
        <v>18439.599999999999</v>
      </c>
      <c r="L715" s="26">
        <f>M715-K715</f>
        <v>172.5</v>
      </c>
      <c r="M715" s="26">
        <f>17974.3+25.6+213.9+225.8+86.9+15+70.6</f>
        <v>18612.099999999999</v>
      </c>
    </row>
    <row r="716" spans="1:13" s="7" customFormat="1" ht="54" x14ac:dyDescent="0.35">
      <c r="A716" s="11"/>
      <c r="B716" s="24" t="s">
        <v>56</v>
      </c>
      <c r="C716" s="25" t="s">
        <v>292</v>
      </c>
      <c r="D716" s="10" t="s">
        <v>68</v>
      </c>
      <c r="E716" s="10" t="s">
        <v>38</v>
      </c>
      <c r="F716" s="651" t="s">
        <v>53</v>
      </c>
      <c r="G716" s="652" t="s">
        <v>90</v>
      </c>
      <c r="H716" s="652" t="s">
        <v>40</v>
      </c>
      <c r="I716" s="653" t="s">
        <v>92</v>
      </c>
      <c r="J716" s="10" t="s">
        <v>57</v>
      </c>
      <c r="K716" s="26">
        <f>5686.2-0.1-225.8+69.5+26.3</f>
        <v>5556.0999999999995</v>
      </c>
      <c r="L716" s="26">
        <f>M716-K716</f>
        <v>254.40000000000055</v>
      </c>
      <c r="M716" s="26">
        <f>5686.2-0.1-225.8+69.5+26.3+108.8+145.6</f>
        <v>5810.5</v>
      </c>
    </row>
    <row r="717" spans="1:13" s="143" customFormat="1" ht="18.75" customHeight="1" x14ac:dyDescent="0.35">
      <c r="A717" s="11"/>
      <c r="B717" s="24" t="s">
        <v>58</v>
      </c>
      <c r="C717" s="25" t="s">
        <v>292</v>
      </c>
      <c r="D717" s="10" t="s">
        <v>68</v>
      </c>
      <c r="E717" s="10" t="s">
        <v>38</v>
      </c>
      <c r="F717" s="651" t="s">
        <v>53</v>
      </c>
      <c r="G717" s="652" t="s">
        <v>90</v>
      </c>
      <c r="H717" s="652" t="s">
        <v>40</v>
      </c>
      <c r="I717" s="653" t="s">
        <v>92</v>
      </c>
      <c r="J717" s="10" t="s">
        <v>59</v>
      </c>
      <c r="K717" s="26">
        <v>66.3</v>
      </c>
      <c r="L717" s="26">
        <f>M717-K717</f>
        <v>0</v>
      </c>
      <c r="M717" s="26">
        <v>66.3</v>
      </c>
    </row>
    <row r="718" spans="1:13" s="143" customFormat="1" ht="22.5" customHeight="1" x14ac:dyDescent="0.35">
      <c r="A718" s="11"/>
      <c r="B718" s="24" t="s">
        <v>491</v>
      </c>
      <c r="C718" s="25" t="s">
        <v>292</v>
      </c>
      <c r="D718" s="10" t="s">
        <v>68</v>
      </c>
      <c r="E718" s="10" t="s">
        <v>38</v>
      </c>
      <c r="F718" s="651" t="s">
        <v>53</v>
      </c>
      <c r="G718" s="652" t="s">
        <v>90</v>
      </c>
      <c r="H718" s="652" t="s">
        <v>40</v>
      </c>
      <c r="I718" s="653" t="s">
        <v>394</v>
      </c>
      <c r="J718" s="10"/>
      <c r="K718" s="26">
        <f>K719</f>
        <v>5058.8</v>
      </c>
      <c r="L718" s="26">
        <f>L719</f>
        <v>-5058.8</v>
      </c>
      <c r="M718" s="26">
        <f>M719</f>
        <v>0</v>
      </c>
    </row>
    <row r="719" spans="1:13" s="143" customFormat="1" ht="54" x14ac:dyDescent="0.35">
      <c r="A719" s="11"/>
      <c r="B719" s="24" t="s">
        <v>56</v>
      </c>
      <c r="C719" s="25" t="s">
        <v>292</v>
      </c>
      <c r="D719" s="10" t="s">
        <v>68</v>
      </c>
      <c r="E719" s="10" t="s">
        <v>38</v>
      </c>
      <c r="F719" s="651" t="s">
        <v>53</v>
      </c>
      <c r="G719" s="652" t="s">
        <v>90</v>
      </c>
      <c r="H719" s="652" t="s">
        <v>40</v>
      </c>
      <c r="I719" s="653" t="s">
        <v>394</v>
      </c>
      <c r="J719" s="10" t="s">
        <v>57</v>
      </c>
      <c r="K719" s="26">
        <v>5058.8</v>
      </c>
      <c r="L719" s="26">
        <f>M719-K719</f>
        <v>-5058.8</v>
      </c>
      <c r="M719" s="26">
        <f>5058.8-5058.8</f>
        <v>0</v>
      </c>
    </row>
    <row r="720" spans="1:13" s="143" customFormat="1" ht="56.25" customHeight="1" x14ac:dyDescent="0.35">
      <c r="A720" s="11"/>
      <c r="B720" s="24" t="s">
        <v>220</v>
      </c>
      <c r="C720" s="25" t="s">
        <v>292</v>
      </c>
      <c r="D720" s="10" t="s">
        <v>68</v>
      </c>
      <c r="E720" s="10" t="s">
        <v>38</v>
      </c>
      <c r="F720" s="651" t="s">
        <v>53</v>
      </c>
      <c r="G720" s="652" t="s">
        <v>90</v>
      </c>
      <c r="H720" s="652" t="s">
        <v>40</v>
      </c>
      <c r="I720" s="653" t="s">
        <v>294</v>
      </c>
      <c r="J720" s="10"/>
      <c r="K720" s="26">
        <f>K721</f>
        <v>6801.2</v>
      </c>
      <c r="L720" s="26">
        <f>L721</f>
        <v>0</v>
      </c>
      <c r="M720" s="26">
        <f>M721</f>
        <v>6801.2</v>
      </c>
    </row>
    <row r="721" spans="1:13" s="143" customFormat="1" ht="54" x14ac:dyDescent="0.35">
      <c r="A721" s="11"/>
      <c r="B721" s="24" t="s">
        <v>56</v>
      </c>
      <c r="C721" s="25" t="s">
        <v>292</v>
      </c>
      <c r="D721" s="10" t="s">
        <v>68</v>
      </c>
      <c r="E721" s="10" t="s">
        <v>38</v>
      </c>
      <c r="F721" s="651" t="s">
        <v>53</v>
      </c>
      <c r="G721" s="652" t="s">
        <v>90</v>
      </c>
      <c r="H721" s="652" t="s">
        <v>40</v>
      </c>
      <c r="I721" s="653" t="s">
        <v>294</v>
      </c>
      <c r="J721" s="10" t="s">
        <v>57</v>
      </c>
      <c r="K721" s="26">
        <f>2375.5+1356.4+1734.5-81.7+1416.5</f>
        <v>6801.2</v>
      </c>
      <c r="L721" s="26">
        <f>M721-K721</f>
        <v>0</v>
      </c>
      <c r="M721" s="26">
        <f>2375.5+1356.4+1734.5-81.7+1416.5</f>
        <v>6801.2</v>
      </c>
    </row>
    <row r="722" spans="1:13" s="143" customFormat="1" ht="181.95" customHeight="1" x14ac:dyDescent="0.35">
      <c r="A722" s="11"/>
      <c r="B722" s="24" t="s">
        <v>460</v>
      </c>
      <c r="C722" s="25" t="s">
        <v>292</v>
      </c>
      <c r="D722" s="10" t="s">
        <v>68</v>
      </c>
      <c r="E722" s="10" t="s">
        <v>38</v>
      </c>
      <c r="F722" s="651" t="s">
        <v>53</v>
      </c>
      <c r="G722" s="652" t="s">
        <v>90</v>
      </c>
      <c r="H722" s="652" t="s">
        <v>40</v>
      </c>
      <c r="I722" s="653" t="s">
        <v>409</v>
      </c>
      <c r="J722" s="10"/>
      <c r="K722" s="26">
        <f>K723</f>
        <v>250</v>
      </c>
      <c r="L722" s="26">
        <f>L723</f>
        <v>-93.699999999999989</v>
      </c>
      <c r="M722" s="26">
        <f>M723</f>
        <v>156.30000000000001</v>
      </c>
    </row>
    <row r="723" spans="1:13" s="143" customFormat="1" ht="109.5" customHeight="1" x14ac:dyDescent="0.35">
      <c r="A723" s="11"/>
      <c r="B723" s="24" t="s">
        <v>50</v>
      </c>
      <c r="C723" s="25" t="s">
        <v>292</v>
      </c>
      <c r="D723" s="10" t="s">
        <v>68</v>
      </c>
      <c r="E723" s="10" t="s">
        <v>38</v>
      </c>
      <c r="F723" s="651" t="s">
        <v>53</v>
      </c>
      <c r="G723" s="652" t="s">
        <v>90</v>
      </c>
      <c r="H723" s="652" t="s">
        <v>40</v>
      </c>
      <c r="I723" s="653" t="s">
        <v>409</v>
      </c>
      <c r="J723" s="10" t="s">
        <v>51</v>
      </c>
      <c r="K723" s="26">
        <v>250</v>
      </c>
      <c r="L723" s="26">
        <f>M723-K723</f>
        <v>-93.699999999999989</v>
      </c>
      <c r="M723" s="26">
        <f>250-93.7</f>
        <v>156.30000000000001</v>
      </c>
    </row>
    <row r="724" spans="1:13" s="143" customFormat="1" ht="58.5" customHeight="1" x14ac:dyDescent="0.35">
      <c r="A724" s="11"/>
      <c r="B724" s="24" t="s">
        <v>462</v>
      </c>
      <c r="C724" s="25" t="s">
        <v>292</v>
      </c>
      <c r="D724" s="10" t="s">
        <v>68</v>
      </c>
      <c r="E724" s="10" t="s">
        <v>38</v>
      </c>
      <c r="F724" s="651" t="s">
        <v>53</v>
      </c>
      <c r="G724" s="652" t="s">
        <v>90</v>
      </c>
      <c r="H724" s="652" t="s">
        <v>40</v>
      </c>
      <c r="I724" s="653" t="s">
        <v>430</v>
      </c>
      <c r="J724" s="10"/>
      <c r="K724" s="26">
        <f>K725</f>
        <v>1028</v>
      </c>
      <c r="L724" s="26">
        <f>L725</f>
        <v>0</v>
      </c>
      <c r="M724" s="26">
        <f>M725</f>
        <v>1028</v>
      </c>
    </row>
    <row r="725" spans="1:13" s="143" customFormat="1" ht="112.5" customHeight="1" x14ac:dyDescent="0.35">
      <c r="A725" s="11"/>
      <c r="B725" s="24" t="s">
        <v>50</v>
      </c>
      <c r="C725" s="25" t="s">
        <v>292</v>
      </c>
      <c r="D725" s="10" t="s">
        <v>68</v>
      </c>
      <c r="E725" s="10" t="s">
        <v>38</v>
      </c>
      <c r="F725" s="651" t="s">
        <v>53</v>
      </c>
      <c r="G725" s="652" t="s">
        <v>90</v>
      </c>
      <c r="H725" s="652" t="s">
        <v>40</v>
      </c>
      <c r="I725" s="653" t="s">
        <v>430</v>
      </c>
      <c r="J725" s="10" t="s">
        <v>51</v>
      </c>
      <c r="K725" s="26">
        <f>999.3+0.1+77.2-48.6</f>
        <v>1028</v>
      </c>
      <c r="L725" s="26">
        <f>M725-K725</f>
        <v>0</v>
      </c>
      <c r="M725" s="26">
        <f>999.3+0.1+77.2-48.6</f>
        <v>1028</v>
      </c>
    </row>
    <row r="726" spans="1:13" s="143" customFormat="1" ht="162" x14ac:dyDescent="0.35">
      <c r="A726" s="11"/>
      <c r="B726" s="24" t="s">
        <v>682</v>
      </c>
      <c r="C726" s="25" t="s">
        <v>292</v>
      </c>
      <c r="D726" s="10" t="s">
        <v>68</v>
      </c>
      <c r="E726" s="10" t="s">
        <v>38</v>
      </c>
      <c r="F726" s="651" t="s">
        <v>53</v>
      </c>
      <c r="G726" s="652" t="s">
        <v>90</v>
      </c>
      <c r="H726" s="652" t="s">
        <v>40</v>
      </c>
      <c r="I726" s="653" t="s">
        <v>676</v>
      </c>
      <c r="J726" s="10"/>
      <c r="K726" s="26">
        <f>K727</f>
        <v>5120</v>
      </c>
      <c r="L726" s="26">
        <f>L727</f>
        <v>0</v>
      </c>
      <c r="M726" s="26">
        <f>M727</f>
        <v>5120</v>
      </c>
    </row>
    <row r="727" spans="1:13" s="143" customFormat="1" ht="54" x14ac:dyDescent="0.35">
      <c r="A727" s="11"/>
      <c r="B727" s="24" t="s">
        <v>56</v>
      </c>
      <c r="C727" s="25" t="s">
        <v>292</v>
      </c>
      <c r="D727" s="10" t="s">
        <v>68</v>
      </c>
      <c r="E727" s="10" t="s">
        <v>38</v>
      </c>
      <c r="F727" s="651" t="s">
        <v>53</v>
      </c>
      <c r="G727" s="652" t="s">
        <v>90</v>
      </c>
      <c r="H727" s="652" t="s">
        <v>40</v>
      </c>
      <c r="I727" s="653" t="s">
        <v>676</v>
      </c>
      <c r="J727" s="10" t="s">
        <v>57</v>
      </c>
      <c r="K727" s="26">
        <f>4966.4+153.6</f>
        <v>5120</v>
      </c>
      <c r="L727" s="26">
        <f>M727-K727</f>
        <v>0</v>
      </c>
      <c r="M727" s="26">
        <f>4966.4+153.6</f>
        <v>5120</v>
      </c>
    </row>
    <row r="728" spans="1:13" s="143" customFormat="1" ht="36" x14ac:dyDescent="0.35">
      <c r="A728" s="11"/>
      <c r="B728" s="24" t="s">
        <v>643</v>
      </c>
      <c r="C728" s="25" t="s">
        <v>292</v>
      </c>
      <c r="D728" s="10" t="s">
        <v>68</v>
      </c>
      <c r="E728" s="10" t="s">
        <v>38</v>
      </c>
      <c r="F728" s="651" t="s">
        <v>53</v>
      </c>
      <c r="G728" s="652" t="s">
        <v>90</v>
      </c>
      <c r="H728" s="652" t="s">
        <v>53</v>
      </c>
      <c r="I728" s="653" t="s">
        <v>45</v>
      </c>
      <c r="J728" s="10"/>
      <c r="K728" s="26">
        <f>K729+K733</f>
        <v>3761</v>
      </c>
      <c r="L728" s="26">
        <f>L729+L733</f>
        <v>12.700000000000045</v>
      </c>
      <c r="M728" s="26">
        <f>M729+M733</f>
        <v>3773.7000000000003</v>
      </c>
    </row>
    <row r="729" spans="1:13" s="143" customFormat="1" ht="36" x14ac:dyDescent="0.35">
      <c r="A729" s="11"/>
      <c r="B729" s="24" t="s">
        <v>490</v>
      </c>
      <c r="C729" s="25" t="s">
        <v>292</v>
      </c>
      <c r="D729" s="10" t="s">
        <v>68</v>
      </c>
      <c r="E729" s="10" t="s">
        <v>38</v>
      </c>
      <c r="F729" s="651" t="s">
        <v>53</v>
      </c>
      <c r="G729" s="652" t="s">
        <v>90</v>
      </c>
      <c r="H729" s="652" t="s">
        <v>53</v>
      </c>
      <c r="I729" s="653" t="s">
        <v>92</v>
      </c>
      <c r="J729" s="10"/>
      <c r="K729" s="26">
        <f>K730+K731+K732</f>
        <v>3121</v>
      </c>
      <c r="L729" s="26">
        <f>L730+L731+L732</f>
        <v>12.700000000000045</v>
      </c>
      <c r="M729" s="26">
        <f>M730+M731+M732</f>
        <v>3133.7000000000003</v>
      </c>
    </row>
    <row r="730" spans="1:13" s="143" customFormat="1" ht="108" x14ac:dyDescent="0.35">
      <c r="A730" s="11"/>
      <c r="B730" s="24" t="s">
        <v>50</v>
      </c>
      <c r="C730" s="25" t="s">
        <v>292</v>
      </c>
      <c r="D730" s="10" t="s">
        <v>68</v>
      </c>
      <c r="E730" s="10" t="s">
        <v>38</v>
      </c>
      <c r="F730" s="651" t="s">
        <v>53</v>
      </c>
      <c r="G730" s="652" t="s">
        <v>90</v>
      </c>
      <c r="H730" s="652" t="s">
        <v>53</v>
      </c>
      <c r="I730" s="653" t="s">
        <v>92</v>
      </c>
      <c r="J730" s="10" t="s">
        <v>51</v>
      </c>
      <c r="K730" s="26">
        <f>1779.7-69.5-26.3</f>
        <v>1683.9</v>
      </c>
      <c r="L730" s="26">
        <f>M730-K730</f>
        <v>12.700000000000045</v>
      </c>
      <c r="M730" s="26">
        <f>1779.7-69.5-26.3+12.7</f>
        <v>1696.6000000000001</v>
      </c>
    </row>
    <row r="731" spans="1:13" s="143" customFormat="1" ht="40.950000000000003" customHeight="1" x14ac:dyDescent="0.35">
      <c r="A731" s="11"/>
      <c r="B731" s="24" t="s">
        <v>56</v>
      </c>
      <c r="C731" s="25" t="s">
        <v>292</v>
      </c>
      <c r="D731" s="10" t="s">
        <v>68</v>
      </c>
      <c r="E731" s="10" t="s">
        <v>38</v>
      </c>
      <c r="F731" s="651" t="s">
        <v>53</v>
      </c>
      <c r="G731" s="652" t="s">
        <v>90</v>
      </c>
      <c r="H731" s="652" t="s">
        <v>53</v>
      </c>
      <c r="I731" s="653" t="s">
        <v>92</v>
      </c>
      <c r="J731" s="10" t="s">
        <v>57</v>
      </c>
      <c r="K731" s="26">
        <v>1313.8</v>
      </c>
      <c r="L731" s="26">
        <f>M731-K731</f>
        <v>0</v>
      </c>
      <c r="M731" s="26">
        <v>1313.8</v>
      </c>
    </row>
    <row r="732" spans="1:13" s="143" customFormat="1" ht="18" x14ac:dyDescent="0.35">
      <c r="A732" s="11"/>
      <c r="B732" s="24" t="s">
        <v>58</v>
      </c>
      <c r="C732" s="25" t="s">
        <v>292</v>
      </c>
      <c r="D732" s="10" t="s">
        <v>68</v>
      </c>
      <c r="E732" s="10" t="s">
        <v>38</v>
      </c>
      <c r="F732" s="651" t="s">
        <v>53</v>
      </c>
      <c r="G732" s="652" t="s">
        <v>90</v>
      </c>
      <c r="H732" s="652" t="s">
        <v>53</v>
      </c>
      <c r="I732" s="653" t="s">
        <v>92</v>
      </c>
      <c r="J732" s="10" t="s">
        <v>59</v>
      </c>
      <c r="K732" s="26">
        <v>123.3</v>
      </c>
      <c r="L732" s="26">
        <f>M732-K732</f>
        <v>0</v>
      </c>
      <c r="M732" s="26">
        <v>123.3</v>
      </c>
    </row>
    <row r="733" spans="1:13" s="143" customFormat="1" ht="54" x14ac:dyDescent="0.35">
      <c r="A733" s="11"/>
      <c r="B733" s="24" t="s">
        <v>220</v>
      </c>
      <c r="C733" s="25" t="s">
        <v>292</v>
      </c>
      <c r="D733" s="10" t="s">
        <v>68</v>
      </c>
      <c r="E733" s="10" t="s">
        <v>38</v>
      </c>
      <c r="F733" s="651" t="s">
        <v>53</v>
      </c>
      <c r="G733" s="652" t="s">
        <v>90</v>
      </c>
      <c r="H733" s="652" t="s">
        <v>53</v>
      </c>
      <c r="I733" s="653" t="s">
        <v>294</v>
      </c>
      <c r="J733" s="10"/>
      <c r="K733" s="26">
        <f>K734</f>
        <v>640</v>
      </c>
      <c r="L733" s="26">
        <f>L734</f>
        <v>0</v>
      </c>
      <c r="M733" s="26">
        <f>M734</f>
        <v>640</v>
      </c>
    </row>
    <row r="734" spans="1:13" s="143" customFormat="1" ht="54" x14ac:dyDescent="0.35">
      <c r="A734" s="11"/>
      <c r="B734" s="24" t="s">
        <v>56</v>
      </c>
      <c r="C734" s="25" t="s">
        <v>292</v>
      </c>
      <c r="D734" s="10" t="s">
        <v>68</v>
      </c>
      <c r="E734" s="10" t="s">
        <v>38</v>
      </c>
      <c r="F734" s="651" t="s">
        <v>53</v>
      </c>
      <c r="G734" s="652" t="s">
        <v>90</v>
      </c>
      <c r="H734" s="652" t="s">
        <v>53</v>
      </c>
      <c r="I734" s="653" t="s">
        <v>294</v>
      </c>
      <c r="J734" s="10" t="s">
        <v>57</v>
      </c>
      <c r="K734" s="26">
        <f>793.6-153.6</f>
        <v>640</v>
      </c>
      <c r="L734" s="26">
        <f>M734-K734</f>
        <v>0</v>
      </c>
      <c r="M734" s="26">
        <f>793.6-153.6</f>
        <v>640</v>
      </c>
    </row>
    <row r="735" spans="1:13" s="143" customFormat="1" ht="36" x14ac:dyDescent="0.35">
      <c r="A735" s="11"/>
      <c r="B735" s="24" t="s">
        <v>343</v>
      </c>
      <c r="C735" s="25" t="s">
        <v>292</v>
      </c>
      <c r="D735" s="10" t="s">
        <v>68</v>
      </c>
      <c r="E735" s="10" t="s">
        <v>38</v>
      </c>
      <c r="F735" s="651" t="s">
        <v>53</v>
      </c>
      <c r="G735" s="652" t="s">
        <v>32</v>
      </c>
      <c r="H735" s="652" t="s">
        <v>44</v>
      </c>
      <c r="I735" s="653" t="s">
        <v>45</v>
      </c>
      <c r="J735" s="10"/>
      <c r="K735" s="26">
        <f>K736</f>
        <v>1074.3</v>
      </c>
      <c r="L735" s="26">
        <f t="shared" ref="K735:M737" si="90">L736</f>
        <v>0</v>
      </c>
      <c r="M735" s="26">
        <f>M736</f>
        <v>1074.3</v>
      </c>
    </row>
    <row r="736" spans="1:13" s="143" customFormat="1" ht="72" x14ac:dyDescent="0.35">
      <c r="A736" s="11"/>
      <c r="B736" s="24" t="s">
        <v>431</v>
      </c>
      <c r="C736" s="25" t="s">
        <v>292</v>
      </c>
      <c r="D736" s="10" t="s">
        <v>68</v>
      </c>
      <c r="E736" s="10" t="s">
        <v>38</v>
      </c>
      <c r="F736" s="651" t="s">
        <v>53</v>
      </c>
      <c r="G736" s="652" t="s">
        <v>32</v>
      </c>
      <c r="H736" s="652" t="s">
        <v>64</v>
      </c>
      <c r="I736" s="653" t="s">
        <v>45</v>
      </c>
      <c r="J736" s="10"/>
      <c r="K736" s="26">
        <f t="shared" si="90"/>
        <v>1074.3</v>
      </c>
      <c r="L736" s="26">
        <f t="shared" si="90"/>
        <v>0</v>
      </c>
      <c r="M736" s="26">
        <f t="shared" si="90"/>
        <v>1074.3</v>
      </c>
    </row>
    <row r="737" spans="1:14" s="143" customFormat="1" ht="54" x14ac:dyDescent="0.35">
      <c r="A737" s="11"/>
      <c r="B737" s="24" t="s">
        <v>220</v>
      </c>
      <c r="C737" s="25" t="s">
        <v>292</v>
      </c>
      <c r="D737" s="10" t="s">
        <v>68</v>
      </c>
      <c r="E737" s="10" t="s">
        <v>38</v>
      </c>
      <c r="F737" s="651" t="s">
        <v>53</v>
      </c>
      <c r="G737" s="652" t="s">
        <v>32</v>
      </c>
      <c r="H737" s="652" t="s">
        <v>64</v>
      </c>
      <c r="I737" s="653" t="s">
        <v>294</v>
      </c>
      <c r="J737" s="10"/>
      <c r="K737" s="26">
        <f t="shared" si="90"/>
        <v>1074.3</v>
      </c>
      <c r="L737" s="26">
        <f t="shared" si="90"/>
        <v>0</v>
      </c>
      <c r="M737" s="26">
        <f t="shared" si="90"/>
        <v>1074.3</v>
      </c>
    </row>
    <row r="738" spans="1:14" s="143" customFormat="1" ht="54" x14ac:dyDescent="0.35">
      <c r="A738" s="11"/>
      <c r="B738" s="24" t="s">
        <v>204</v>
      </c>
      <c r="C738" s="25" t="s">
        <v>292</v>
      </c>
      <c r="D738" s="10" t="s">
        <v>68</v>
      </c>
      <c r="E738" s="10" t="s">
        <v>38</v>
      </c>
      <c r="F738" s="651" t="s">
        <v>53</v>
      </c>
      <c r="G738" s="652" t="s">
        <v>32</v>
      </c>
      <c r="H738" s="652" t="s">
        <v>64</v>
      </c>
      <c r="I738" s="653" t="s">
        <v>294</v>
      </c>
      <c r="J738" s="10" t="s">
        <v>205</v>
      </c>
      <c r="K738" s="26">
        <f>992.6+81.7</f>
        <v>1074.3</v>
      </c>
      <c r="L738" s="26">
        <f>M738-K738</f>
        <v>0</v>
      </c>
      <c r="M738" s="26">
        <f>992.6+81.7</f>
        <v>1074.3</v>
      </c>
    </row>
    <row r="739" spans="1:14" s="7" customFormat="1" ht="18.75" customHeight="1" x14ac:dyDescent="0.35">
      <c r="A739" s="11"/>
      <c r="B739" s="30" t="s">
        <v>295</v>
      </c>
      <c r="C739" s="25" t="s">
        <v>292</v>
      </c>
      <c r="D739" s="10" t="s">
        <v>68</v>
      </c>
      <c r="E739" s="10" t="s">
        <v>40</v>
      </c>
      <c r="F739" s="651"/>
      <c r="G739" s="652"/>
      <c r="H739" s="652"/>
      <c r="I739" s="653"/>
      <c r="J739" s="10"/>
      <c r="K739" s="26">
        <f t="shared" ref="K739:M740" si="91">K740</f>
        <v>678.30000000000007</v>
      </c>
      <c r="L739" s="26">
        <f t="shared" si="91"/>
        <v>185.60000000000002</v>
      </c>
      <c r="M739" s="26">
        <f t="shared" si="91"/>
        <v>863.90000000000009</v>
      </c>
      <c r="N739" s="191"/>
    </row>
    <row r="740" spans="1:14" s="7" customFormat="1" ht="56.25" customHeight="1" x14ac:dyDescent="0.35">
      <c r="A740" s="11"/>
      <c r="B740" s="24" t="s">
        <v>218</v>
      </c>
      <c r="C740" s="25" t="s">
        <v>292</v>
      </c>
      <c r="D740" s="10" t="s">
        <v>68</v>
      </c>
      <c r="E740" s="10" t="s">
        <v>40</v>
      </c>
      <c r="F740" s="651" t="s">
        <v>53</v>
      </c>
      <c r="G740" s="652" t="s">
        <v>43</v>
      </c>
      <c r="H740" s="652" t="s">
        <v>44</v>
      </c>
      <c r="I740" s="653" t="s">
        <v>45</v>
      </c>
      <c r="J740" s="10"/>
      <c r="K740" s="26">
        <f t="shared" si="91"/>
        <v>678.30000000000007</v>
      </c>
      <c r="L740" s="26">
        <f t="shared" si="91"/>
        <v>185.60000000000002</v>
      </c>
      <c r="M740" s="26">
        <f t="shared" si="91"/>
        <v>863.90000000000009</v>
      </c>
    </row>
    <row r="741" spans="1:14" s="7" customFormat="1" ht="37.5" customHeight="1" x14ac:dyDescent="0.35">
      <c r="A741" s="11"/>
      <c r="B741" s="30" t="s">
        <v>219</v>
      </c>
      <c r="C741" s="25" t="s">
        <v>292</v>
      </c>
      <c r="D741" s="10" t="s">
        <v>68</v>
      </c>
      <c r="E741" s="10" t="s">
        <v>40</v>
      </c>
      <c r="F741" s="651" t="s">
        <v>53</v>
      </c>
      <c r="G741" s="652" t="s">
        <v>46</v>
      </c>
      <c r="H741" s="652" t="s">
        <v>44</v>
      </c>
      <c r="I741" s="653" t="s">
        <v>45</v>
      </c>
      <c r="J741" s="10"/>
      <c r="K741" s="26">
        <f t="shared" ref="K741:M742" si="92">K742</f>
        <v>678.30000000000007</v>
      </c>
      <c r="L741" s="26">
        <f t="shared" si="92"/>
        <v>185.60000000000002</v>
      </c>
      <c r="M741" s="26">
        <f t="shared" si="92"/>
        <v>863.90000000000009</v>
      </c>
      <c r="N741" s="191"/>
    </row>
    <row r="742" spans="1:14" s="7" customFormat="1" ht="56.25" customHeight="1" x14ac:dyDescent="0.35">
      <c r="A742" s="11"/>
      <c r="B742" s="24" t="s">
        <v>293</v>
      </c>
      <c r="C742" s="25" t="s">
        <v>292</v>
      </c>
      <c r="D742" s="10" t="s">
        <v>68</v>
      </c>
      <c r="E742" s="10" t="s">
        <v>40</v>
      </c>
      <c r="F742" s="651" t="s">
        <v>53</v>
      </c>
      <c r="G742" s="652" t="s">
        <v>46</v>
      </c>
      <c r="H742" s="652" t="s">
        <v>40</v>
      </c>
      <c r="I742" s="653" t="s">
        <v>45</v>
      </c>
      <c r="J742" s="10"/>
      <c r="K742" s="26">
        <f t="shared" si="92"/>
        <v>678.30000000000007</v>
      </c>
      <c r="L742" s="26">
        <f t="shared" si="92"/>
        <v>185.60000000000002</v>
      </c>
      <c r="M742" s="26">
        <f t="shared" si="92"/>
        <v>863.90000000000009</v>
      </c>
      <c r="N742" s="191"/>
    </row>
    <row r="743" spans="1:14" s="7" customFormat="1" ht="56.25" customHeight="1" x14ac:dyDescent="0.35">
      <c r="A743" s="11"/>
      <c r="B743" s="24" t="s">
        <v>220</v>
      </c>
      <c r="C743" s="25" t="s">
        <v>292</v>
      </c>
      <c r="D743" s="10" t="s">
        <v>68</v>
      </c>
      <c r="E743" s="10" t="s">
        <v>40</v>
      </c>
      <c r="F743" s="651" t="s">
        <v>53</v>
      </c>
      <c r="G743" s="652" t="s">
        <v>46</v>
      </c>
      <c r="H743" s="652" t="s">
        <v>40</v>
      </c>
      <c r="I743" s="653" t="s">
        <v>294</v>
      </c>
      <c r="J743" s="10"/>
      <c r="K743" s="26">
        <f>SUM(K744:K744)</f>
        <v>678.30000000000007</v>
      </c>
      <c r="L743" s="26">
        <f>SUM(L744:L744)</f>
        <v>185.60000000000002</v>
      </c>
      <c r="M743" s="26">
        <f>SUM(M744:M744)</f>
        <v>863.90000000000009</v>
      </c>
    </row>
    <row r="744" spans="1:14" s="7" customFormat="1" ht="54" x14ac:dyDescent="0.35">
      <c r="A744" s="11"/>
      <c r="B744" s="24" t="s">
        <v>56</v>
      </c>
      <c r="C744" s="25" t="s">
        <v>292</v>
      </c>
      <c r="D744" s="10" t="s">
        <v>68</v>
      </c>
      <c r="E744" s="10" t="s">
        <v>40</v>
      </c>
      <c r="F744" s="651" t="s">
        <v>53</v>
      </c>
      <c r="G744" s="652" t="s">
        <v>46</v>
      </c>
      <c r="H744" s="652" t="s">
        <v>40</v>
      </c>
      <c r="I744" s="653" t="s">
        <v>294</v>
      </c>
      <c r="J744" s="10" t="s">
        <v>57</v>
      </c>
      <c r="K744" s="26">
        <f>68+561.7+48.6</f>
        <v>678.30000000000007</v>
      </c>
      <c r="L744" s="26">
        <f>M744-K744</f>
        <v>185.60000000000002</v>
      </c>
      <c r="M744" s="26">
        <f>68+561.7+48.6+185.6</f>
        <v>863.90000000000009</v>
      </c>
      <c r="N744" s="191"/>
    </row>
    <row r="745" spans="1:14" s="7" customFormat="1" ht="37.5" customHeight="1" x14ac:dyDescent="0.35">
      <c r="A745" s="11"/>
      <c r="B745" s="30" t="s">
        <v>200</v>
      </c>
      <c r="C745" s="25" t="s">
        <v>292</v>
      </c>
      <c r="D745" s="10" t="s">
        <v>68</v>
      </c>
      <c r="E745" s="10" t="s">
        <v>66</v>
      </c>
      <c r="F745" s="651"/>
      <c r="G745" s="652"/>
      <c r="H745" s="652"/>
      <c r="I745" s="653"/>
      <c r="J745" s="10"/>
      <c r="K745" s="26">
        <f t="shared" ref="K745:M748" si="93">K746</f>
        <v>2858.1</v>
      </c>
      <c r="L745" s="26">
        <f t="shared" si="93"/>
        <v>0</v>
      </c>
      <c r="M745" s="26">
        <f t="shared" si="93"/>
        <v>2858.1</v>
      </c>
      <c r="N745" s="191"/>
    </row>
    <row r="746" spans="1:14" s="7" customFormat="1" ht="61.5" customHeight="1" x14ac:dyDescent="0.35">
      <c r="A746" s="11"/>
      <c r="B746" s="24" t="s">
        <v>218</v>
      </c>
      <c r="C746" s="25" t="s">
        <v>292</v>
      </c>
      <c r="D746" s="10" t="s">
        <v>68</v>
      </c>
      <c r="E746" s="10" t="s">
        <v>66</v>
      </c>
      <c r="F746" s="651" t="s">
        <v>53</v>
      </c>
      <c r="G746" s="652" t="s">
        <v>43</v>
      </c>
      <c r="H746" s="652" t="s">
        <v>44</v>
      </c>
      <c r="I746" s="653" t="s">
        <v>45</v>
      </c>
      <c r="J746" s="10"/>
      <c r="K746" s="26">
        <f t="shared" si="93"/>
        <v>2858.1</v>
      </c>
      <c r="L746" s="26">
        <f t="shared" si="93"/>
        <v>0</v>
      </c>
      <c r="M746" s="26">
        <f t="shared" si="93"/>
        <v>2858.1</v>
      </c>
      <c r="N746" s="191"/>
    </row>
    <row r="747" spans="1:14" s="7" customFormat="1" ht="37.5" customHeight="1" x14ac:dyDescent="0.35">
      <c r="A747" s="11"/>
      <c r="B747" s="28" t="s">
        <v>221</v>
      </c>
      <c r="C747" s="25" t="s">
        <v>292</v>
      </c>
      <c r="D747" s="10" t="s">
        <v>68</v>
      </c>
      <c r="E747" s="10" t="s">
        <v>66</v>
      </c>
      <c r="F747" s="651" t="s">
        <v>53</v>
      </c>
      <c r="G747" s="652" t="s">
        <v>90</v>
      </c>
      <c r="H747" s="652" t="s">
        <v>44</v>
      </c>
      <c r="I747" s="653" t="s">
        <v>45</v>
      </c>
      <c r="J747" s="10"/>
      <c r="K747" s="26">
        <f t="shared" si="93"/>
        <v>2858.1</v>
      </c>
      <c r="L747" s="26">
        <f t="shared" si="93"/>
        <v>0</v>
      </c>
      <c r="M747" s="26">
        <f t="shared" si="93"/>
        <v>2858.1</v>
      </c>
      <c r="N747" s="191"/>
    </row>
    <row r="748" spans="1:14" s="7" customFormat="1" ht="37.5" customHeight="1" x14ac:dyDescent="0.35">
      <c r="A748" s="11"/>
      <c r="B748" s="24" t="s">
        <v>283</v>
      </c>
      <c r="C748" s="25" t="s">
        <v>292</v>
      </c>
      <c r="D748" s="10" t="s">
        <v>68</v>
      </c>
      <c r="E748" s="10" t="s">
        <v>66</v>
      </c>
      <c r="F748" s="651" t="s">
        <v>53</v>
      </c>
      <c r="G748" s="652" t="s">
        <v>90</v>
      </c>
      <c r="H748" s="652" t="s">
        <v>38</v>
      </c>
      <c r="I748" s="653" t="s">
        <v>45</v>
      </c>
      <c r="J748" s="10"/>
      <c r="K748" s="26">
        <f t="shared" si="93"/>
        <v>2858.1</v>
      </c>
      <c r="L748" s="26">
        <f t="shared" si="93"/>
        <v>0</v>
      </c>
      <c r="M748" s="26">
        <f t="shared" si="93"/>
        <v>2858.1</v>
      </c>
      <c r="N748" s="191"/>
    </row>
    <row r="749" spans="1:14" s="7" customFormat="1" ht="37.5" customHeight="1" x14ac:dyDescent="0.35">
      <c r="A749" s="11"/>
      <c r="B749" s="24" t="s">
        <v>48</v>
      </c>
      <c r="C749" s="25" t="s">
        <v>292</v>
      </c>
      <c r="D749" s="10" t="s">
        <v>68</v>
      </c>
      <c r="E749" s="10" t="s">
        <v>66</v>
      </c>
      <c r="F749" s="651" t="s">
        <v>53</v>
      </c>
      <c r="G749" s="652" t="s">
        <v>90</v>
      </c>
      <c r="H749" s="652" t="s">
        <v>38</v>
      </c>
      <c r="I749" s="653" t="s">
        <v>49</v>
      </c>
      <c r="J749" s="10"/>
      <c r="K749" s="26">
        <f>K750+K751+K752</f>
        <v>2858.1</v>
      </c>
      <c r="L749" s="26">
        <f>L750+L751+L752</f>
        <v>0</v>
      </c>
      <c r="M749" s="26">
        <f>M750+M751+M752</f>
        <v>2858.1</v>
      </c>
      <c r="N749" s="191"/>
    </row>
    <row r="750" spans="1:14" s="7" customFormat="1" ht="112.5" customHeight="1" x14ac:dyDescent="0.35">
      <c r="A750" s="11"/>
      <c r="B750" s="24" t="s">
        <v>50</v>
      </c>
      <c r="C750" s="25" t="s">
        <v>292</v>
      </c>
      <c r="D750" s="10" t="s">
        <v>68</v>
      </c>
      <c r="E750" s="10" t="s">
        <v>66</v>
      </c>
      <c r="F750" s="651" t="s">
        <v>53</v>
      </c>
      <c r="G750" s="652" t="s">
        <v>90</v>
      </c>
      <c r="H750" s="652" t="s">
        <v>38</v>
      </c>
      <c r="I750" s="653" t="s">
        <v>49</v>
      </c>
      <c r="J750" s="10" t="s">
        <v>51</v>
      </c>
      <c r="K750" s="26">
        <f>2371.8+427.1</f>
        <v>2798.9</v>
      </c>
      <c r="L750" s="26">
        <f>M750-K750</f>
        <v>0</v>
      </c>
      <c r="M750" s="26">
        <f>2371.8+427.1</f>
        <v>2798.9</v>
      </c>
      <c r="N750" s="191"/>
    </row>
    <row r="751" spans="1:14" s="7" customFormat="1" ht="54" x14ac:dyDescent="0.35">
      <c r="A751" s="11"/>
      <c r="B751" s="24" t="s">
        <v>56</v>
      </c>
      <c r="C751" s="25" t="s">
        <v>292</v>
      </c>
      <c r="D751" s="10" t="s">
        <v>68</v>
      </c>
      <c r="E751" s="10" t="s">
        <v>66</v>
      </c>
      <c r="F751" s="651" t="s">
        <v>53</v>
      </c>
      <c r="G751" s="652" t="s">
        <v>90</v>
      </c>
      <c r="H751" s="652" t="s">
        <v>38</v>
      </c>
      <c r="I751" s="653" t="s">
        <v>49</v>
      </c>
      <c r="J751" s="10" t="s">
        <v>57</v>
      </c>
      <c r="K751" s="26">
        <v>57.2</v>
      </c>
      <c r="L751" s="26">
        <f>M751-K751</f>
        <v>0</v>
      </c>
      <c r="M751" s="26">
        <v>57.2</v>
      </c>
      <c r="N751" s="191"/>
    </row>
    <row r="752" spans="1:14" s="7" customFormat="1" ht="18.75" customHeight="1" x14ac:dyDescent="0.35">
      <c r="A752" s="11"/>
      <c r="B752" s="24" t="s">
        <v>58</v>
      </c>
      <c r="C752" s="25" t="s">
        <v>292</v>
      </c>
      <c r="D752" s="10" t="s">
        <v>68</v>
      </c>
      <c r="E752" s="10" t="s">
        <v>66</v>
      </c>
      <c r="F752" s="651" t="s">
        <v>53</v>
      </c>
      <c r="G752" s="652" t="s">
        <v>90</v>
      </c>
      <c r="H752" s="652" t="s">
        <v>38</v>
      </c>
      <c r="I752" s="653" t="s">
        <v>49</v>
      </c>
      <c r="J752" s="10" t="s">
        <v>59</v>
      </c>
      <c r="K752" s="26">
        <v>2</v>
      </c>
      <c r="L752" s="26">
        <f>M752-K752</f>
        <v>0</v>
      </c>
      <c r="M752" s="26">
        <v>2</v>
      </c>
      <c r="N752" s="191"/>
    </row>
    <row r="753" spans="1:14" s="7" customFormat="1" ht="18.75" customHeight="1" x14ac:dyDescent="0.35">
      <c r="A753" s="11"/>
      <c r="B753" s="24"/>
      <c r="C753" s="25"/>
      <c r="D753" s="10"/>
      <c r="E753" s="10"/>
      <c r="F753" s="651"/>
      <c r="G753" s="652"/>
      <c r="H753" s="652"/>
      <c r="I753" s="653"/>
      <c r="J753" s="10"/>
      <c r="K753" s="26"/>
      <c r="L753" s="26"/>
      <c r="M753" s="26"/>
      <c r="N753" s="191"/>
    </row>
    <row r="754" spans="1:14" s="143" customFormat="1" ht="56.25" customHeight="1" x14ac:dyDescent="0.3">
      <c r="A754" s="142">
        <v>8</v>
      </c>
      <c r="B754" s="18" t="s">
        <v>11</v>
      </c>
      <c r="C754" s="19" t="s">
        <v>288</v>
      </c>
      <c r="D754" s="20"/>
      <c r="E754" s="20"/>
      <c r="F754" s="21"/>
      <c r="G754" s="22"/>
      <c r="H754" s="22"/>
      <c r="I754" s="23"/>
      <c r="J754" s="20"/>
      <c r="K754" s="40">
        <f>K768+K755</f>
        <v>7695.8</v>
      </c>
      <c r="L754" s="40">
        <f>L768+L755</f>
        <v>43</v>
      </c>
      <c r="M754" s="40">
        <f>M768+M755</f>
        <v>7738.8</v>
      </c>
    </row>
    <row r="755" spans="1:14" s="143" customFormat="1" ht="18.75" customHeight="1" x14ac:dyDescent="0.35">
      <c r="A755" s="142"/>
      <c r="B755" s="24" t="s">
        <v>37</v>
      </c>
      <c r="C755" s="25" t="s">
        <v>288</v>
      </c>
      <c r="D755" s="10" t="s">
        <v>38</v>
      </c>
      <c r="E755" s="10"/>
      <c r="F755" s="651"/>
      <c r="G755" s="652"/>
      <c r="H755" s="652"/>
      <c r="I755" s="653"/>
      <c r="J755" s="10"/>
      <c r="K755" s="254">
        <f t="shared" ref="K755:M757" si="94">K756</f>
        <v>122.7</v>
      </c>
      <c r="L755" s="254">
        <f t="shared" si="94"/>
        <v>0</v>
      </c>
      <c r="M755" s="254">
        <f t="shared" si="94"/>
        <v>122.7</v>
      </c>
    </row>
    <row r="756" spans="1:14" s="143" customFormat="1" ht="21.75" customHeight="1" x14ac:dyDescent="0.35">
      <c r="A756" s="142"/>
      <c r="B756" s="24" t="s">
        <v>71</v>
      </c>
      <c r="C756" s="25" t="s">
        <v>288</v>
      </c>
      <c r="D756" s="10" t="s">
        <v>38</v>
      </c>
      <c r="E756" s="10" t="s">
        <v>72</v>
      </c>
      <c r="F756" s="651"/>
      <c r="G756" s="652"/>
      <c r="H756" s="652"/>
      <c r="I756" s="653"/>
      <c r="J756" s="10"/>
      <c r="K756" s="254">
        <f t="shared" si="94"/>
        <v>122.7</v>
      </c>
      <c r="L756" s="254">
        <f t="shared" si="94"/>
        <v>0</v>
      </c>
      <c r="M756" s="254">
        <f t="shared" si="94"/>
        <v>122.7</v>
      </c>
    </row>
    <row r="757" spans="1:14" s="143" customFormat="1" ht="58.95" customHeight="1" x14ac:dyDescent="0.35">
      <c r="A757" s="142"/>
      <c r="B757" s="24" t="s">
        <v>222</v>
      </c>
      <c r="C757" s="25" t="s">
        <v>288</v>
      </c>
      <c r="D757" s="10" t="s">
        <v>38</v>
      </c>
      <c r="E757" s="10" t="s">
        <v>72</v>
      </c>
      <c r="F757" s="651" t="s">
        <v>66</v>
      </c>
      <c r="G757" s="652" t="s">
        <v>43</v>
      </c>
      <c r="H757" s="652" t="s">
        <v>44</v>
      </c>
      <c r="I757" s="653" t="s">
        <v>45</v>
      </c>
      <c r="J757" s="10"/>
      <c r="K757" s="254">
        <f t="shared" si="94"/>
        <v>122.7</v>
      </c>
      <c r="L757" s="254">
        <f t="shared" si="94"/>
        <v>0</v>
      </c>
      <c r="M757" s="254">
        <f t="shared" si="94"/>
        <v>122.7</v>
      </c>
    </row>
    <row r="758" spans="1:14" s="143" customFormat="1" ht="37.200000000000003" customHeight="1" x14ac:dyDescent="0.35">
      <c r="A758" s="142"/>
      <c r="B758" s="24" t="s">
        <v>221</v>
      </c>
      <c r="C758" s="25" t="s">
        <v>288</v>
      </c>
      <c r="D758" s="10" t="s">
        <v>38</v>
      </c>
      <c r="E758" s="10" t="s">
        <v>72</v>
      </c>
      <c r="F758" s="651" t="s">
        <v>66</v>
      </c>
      <c r="G758" s="652" t="s">
        <v>90</v>
      </c>
      <c r="H758" s="652" t="s">
        <v>44</v>
      </c>
      <c r="I758" s="653" t="s">
        <v>45</v>
      </c>
      <c r="J758" s="10"/>
      <c r="K758" s="254">
        <f>K759+K762+K765</f>
        <v>122.7</v>
      </c>
      <c r="L758" s="254">
        <f>L759+L762+L765</f>
        <v>0</v>
      </c>
      <c r="M758" s="254">
        <f>M759+M762+M765</f>
        <v>122.7</v>
      </c>
    </row>
    <row r="759" spans="1:14" s="143" customFormat="1" ht="48" customHeight="1" x14ac:dyDescent="0.35">
      <c r="A759" s="142"/>
      <c r="B759" s="292" t="s">
        <v>358</v>
      </c>
      <c r="C759" s="25" t="s">
        <v>288</v>
      </c>
      <c r="D759" s="10" t="s">
        <v>38</v>
      </c>
      <c r="E759" s="10" t="s">
        <v>72</v>
      </c>
      <c r="F759" s="651" t="s">
        <v>66</v>
      </c>
      <c r="G759" s="652" t="s">
        <v>90</v>
      </c>
      <c r="H759" s="652" t="s">
        <v>40</v>
      </c>
      <c r="I759" s="653" t="s">
        <v>45</v>
      </c>
      <c r="J759" s="10"/>
      <c r="K759" s="254">
        <f t="shared" ref="K759:M760" si="95">K760</f>
        <v>65.400000000000006</v>
      </c>
      <c r="L759" s="254">
        <f t="shared" si="95"/>
        <v>0</v>
      </c>
      <c r="M759" s="254">
        <f t="shared" si="95"/>
        <v>65.400000000000006</v>
      </c>
    </row>
    <row r="760" spans="1:14" s="143" customFormat="1" ht="58.95" customHeight="1" x14ac:dyDescent="0.35">
      <c r="A760" s="142"/>
      <c r="B760" s="292" t="s">
        <v>359</v>
      </c>
      <c r="C760" s="25" t="s">
        <v>288</v>
      </c>
      <c r="D760" s="10" t="s">
        <v>38</v>
      </c>
      <c r="E760" s="10" t="s">
        <v>72</v>
      </c>
      <c r="F760" s="651" t="s">
        <v>66</v>
      </c>
      <c r="G760" s="652" t="s">
        <v>90</v>
      </c>
      <c r="H760" s="652" t="s">
        <v>40</v>
      </c>
      <c r="I760" s="653" t="s">
        <v>106</v>
      </c>
      <c r="J760" s="10"/>
      <c r="K760" s="254">
        <f t="shared" si="95"/>
        <v>65.400000000000006</v>
      </c>
      <c r="L760" s="254">
        <f t="shared" si="95"/>
        <v>0</v>
      </c>
      <c r="M760" s="254">
        <f t="shared" si="95"/>
        <v>65.400000000000006</v>
      </c>
    </row>
    <row r="761" spans="1:14" s="143" customFormat="1" ht="54" x14ac:dyDescent="0.35">
      <c r="A761" s="142"/>
      <c r="B761" s="292" t="s">
        <v>56</v>
      </c>
      <c r="C761" s="25" t="s">
        <v>288</v>
      </c>
      <c r="D761" s="10" t="s">
        <v>38</v>
      </c>
      <c r="E761" s="10" t="s">
        <v>72</v>
      </c>
      <c r="F761" s="651" t="s">
        <v>66</v>
      </c>
      <c r="G761" s="652" t="s">
        <v>90</v>
      </c>
      <c r="H761" s="652" t="s">
        <v>40</v>
      </c>
      <c r="I761" s="653" t="s">
        <v>106</v>
      </c>
      <c r="J761" s="10" t="s">
        <v>57</v>
      </c>
      <c r="K761" s="254">
        <v>65.400000000000006</v>
      </c>
      <c r="L761" s="26">
        <f>M761-K761</f>
        <v>0</v>
      </c>
      <c r="M761" s="254">
        <v>65.400000000000006</v>
      </c>
    </row>
    <row r="762" spans="1:14" s="143" customFormat="1" ht="42" customHeight="1" x14ac:dyDescent="0.35">
      <c r="A762" s="142"/>
      <c r="B762" s="24" t="s">
        <v>494</v>
      </c>
      <c r="C762" s="25" t="s">
        <v>288</v>
      </c>
      <c r="D762" s="10" t="s">
        <v>38</v>
      </c>
      <c r="E762" s="10" t="s">
        <v>72</v>
      </c>
      <c r="F762" s="651" t="s">
        <v>66</v>
      </c>
      <c r="G762" s="652" t="s">
        <v>90</v>
      </c>
      <c r="H762" s="652" t="s">
        <v>64</v>
      </c>
      <c r="I762" s="653" t="s">
        <v>45</v>
      </c>
      <c r="J762" s="10"/>
      <c r="K762" s="254">
        <f t="shared" ref="K762:M763" si="96">K763</f>
        <v>14.8</v>
      </c>
      <c r="L762" s="254">
        <f t="shared" si="96"/>
        <v>0</v>
      </c>
      <c r="M762" s="254">
        <f t="shared" si="96"/>
        <v>14.8</v>
      </c>
    </row>
    <row r="763" spans="1:14" s="143" customFormat="1" ht="21" customHeight="1" x14ac:dyDescent="0.35">
      <c r="A763" s="142"/>
      <c r="B763" s="24" t="s">
        <v>492</v>
      </c>
      <c r="C763" s="25" t="s">
        <v>288</v>
      </c>
      <c r="D763" s="10" t="s">
        <v>38</v>
      </c>
      <c r="E763" s="10" t="s">
        <v>72</v>
      </c>
      <c r="F763" s="651" t="s">
        <v>66</v>
      </c>
      <c r="G763" s="652" t="s">
        <v>90</v>
      </c>
      <c r="H763" s="652" t="s">
        <v>64</v>
      </c>
      <c r="I763" s="653" t="s">
        <v>493</v>
      </c>
      <c r="J763" s="10"/>
      <c r="K763" s="254">
        <f t="shared" si="96"/>
        <v>14.8</v>
      </c>
      <c r="L763" s="254">
        <f t="shared" si="96"/>
        <v>0</v>
      </c>
      <c r="M763" s="254">
        <f t="shared" si="96"/>
        <v>14.8</v>
      </c>
    </row>
    <row r="764" spans="1:14" s="143" customFormat="1" ht="54" x14ac:dyDescent="0.35">
      <c r="A764" s="142"/>
      <c r="B764" s="292" t="s">
        <v>56</v>
      </c>
      <c r="C764" s="25" t="s">
        <v>288</v>
      </c>
      <c r="D764" s="10" t="s">
        <v>38</v>
      </c>
      <c r="E764" s="10" t="s">
        <v>72</v>
      </c>
      <c r="F764" s="651" t="s">
        <v>66</v>
      </c>
      <c r="G764" s="652" t="s">
        <v>90</v>
      </c>
      <c r="H764" s="652" t="s">
        <v>64</v>
      </c>
      <c r="I764" s="653" t="s">
        <v>493</v>
      </c>
      <c r="J764" s="35" t="s">
        <v>57</v>
      </c>
      <c r="K764" s="254">
        <v>14.8</v>
      </c>
      <c r="L764" s="26">
        <f>M764-K764</f>
        <v>0</v>
      </c>
      <c r="M764" s="254">
        <v>14.8</v>
      </c>
    </row>
    <row r="765" spans="1:14" s="143" customFormat="1" ht="41.25" customHeight="1" x14ac:dyDescent="0.35">
      <c r="A765" s="142"/>
      <c r="B765" s="292" t="s">
        <v>504</v>
      </c>
      <c r="C765" s="25" t="s">
        <v>288</v>
      </c>
      <c r="D765" s="10" t="s">
        <v>38</v>
      </c>
      <c r="E765" s="10" t="s">
        <v>72</v>
      </c>
      <c r="F765" s="651" t="s">
        <v>66</v>
      </c>
      <c r="G765" s="652" t="s">
        <v>90</v>
      </c>
      <c r="H765" s="652" t="s">
        <v>53</v>
      </c>
      <c r="I765" s="653" t="s">
        <v>45</v>
      </c>
      <c r="J765" s="20"/>
      <c r="K765" s="254">
        <f t="shared" ref="K765:M766" si="97">K766</f>
        <v>42.5</v>
      </c>
      <c r="L765" s="254">
        <f t="shared" si="97"/>
        <v>0</v>
      </c>
      <c r="M765" s="254">
        <f t="shared" si="97"/>
        <v>42.5</v>
      </c>
    </row>
    <row r="766" spans="1:14" s="143" customFormat="1" ht="38.25" customHeight="1" x14ac:dyDescent="0.35">
      <c r="A766" s="142"/>
      <c r="B766" s="263" t="s">
        <v>128</v>
      </c>
      <c r="C766" s="25" t="s">
        <v>288</v>
      </c>
      <c r="D766" s="10" t="s">
        <v>38</v>
      </c>
      <c r="E766" s="10" t="s">
        <v>72</v>
      </c>
      <c r="F766" s="651" t="s">
        <v>66</v>
      </c>
      <c r="G766" s="652" t="s">
        <v>90</v>
      </c>
      <c r="H766" s="652" t="s">
        <v>53</v>
      </c>
      <c r="I766" s="653" t="s">
        <v>91</v>
      </c>
      <c r="J766" s="20"/>
      <c r="K766" s="254">
        <f t="shared" si="97"/>
        <v>42.5</v>
      </c>
      <c r="L766" s="254">
        <f t="shared" si="97"/>
        <v>0</v>
      </c>
      <c r="M766" s="254">
        <f t="shared" si="97"/>
        <v>42.5</v>
      </c>
    </row>
    <row r="767" spans="1:14" s="143" customFormat="1" ht="54" x14ac:dyDescent="0.35">
      <c r="A767" s="142"/>
      <c r="B767" s="292" t="s">
        <v>56</v>
      </c>
      <c r="C767" s="25" t="s">
        <v>288</v>
      </c>
      <c r="D767" s="10" t="s">
        <v>38</v>
      </c>
      <c r="E767" s="10" t="s">
        <v>72</v>
      </c>
      <c r="F767" s="651" t="s">
        <v>66</v>
      </c>
      <c r="G767" s="652" t="s">
        <v>90</v>
      </c>
      <c r="H767" s="652" t="s">
        <v>53</v>
      </c>
      <c r="I767" s="653" t="s">
        <v>91</v>
      </c>
      <c r="J767" s="35" t="s">
        <v>57</v>
      </c>
      <c r="K767" s="254">
        <v>42.5</v>
      </c>
      <c r="L767" s="26">
        <f>M767-K767</f>
        <v>0</v>
      </c>
      <c r="M767" s="254">
        <v>42.5</v>
      </c>
    </row>
    <row r="768" spans="1:14" s="7" customFormat="1" ht="21.6" customHeight="1" x14ac:dyDescent="0.35">
      <c r="A768" s="142"/>
      <c r="B768" s="24" t="s">
        <v>180</v>
      </c>
      <c r="C768" s="25" t="s">
        <v>288</v>
      </c>
      <c r="D768" s="10" t="s">
        <v>225</v>
      </c>
      <c r="E768" s="10"/>
      <c r="F768" s="651"/>
      <c r="G768" s="652"/>
      <c r="H768" s="652"/>
      <c r="I768" s="653"/>
      <c r="J768" s="10"/>
      <c r="K768" s="26">
        <f>K769+K779</f>
        <v>7573.1</v>
      </c>
      <c r="L768" s="26">
        <f>L769+L779</f>
        <v>43</v>
      </c>
      <c r="M768" s="26">
        <f>M769+M779</f>
        <v>7616.1</v>
      </c>
    </row>
    <row r="769" spans="1:14" s="143" customFormat="1" ht="21.6" customHeight="1" x14ac:dyDescent="0.35">
      <c r="A769" s="142"/>
      <c r="B769" s="24" t="s">
        <v>357</v>
      </c>
      <c r="C769" s="25" t="s">
        <v>288</v>
      </c>
      <c r="D769" s="10" t="s">
        <v>225</v>
      </c>
      <c r="E769" s="10" t="s">
        <v>225</v>
      </c>
      <c r="F769" s="651"/>
      <c r="G769" s="652"/>
      <c r="H769" s="652"/>
      <c r="I769" s="653"/>
      <c r="J769" s="10"/>
      <c r="K769" s="26">
        <f t="shared" ref="K769:M771" si="98">K770</f>
        <v>4176.5</v>
      </c>
      <c r="L769" s="26">
        <f t="shared" si="98"/>
        <v>43</v>
      </c>
      <c r="M769" s="26">
        <f t="shared" si="98"/>
        <v>4219.5</v>
      </c>
    </row>
    <row r="770" spans="1:14" s="143" customFormat="1" ht="61.95" customHeight="1" x14ac:dyDescent="0.35">
      <c r="A770" s="142"/>
      <c r="B770" s="24" t="s">
        <v>222</v>
      </c>
      <c r="C770" s="25" t="s">
        <v>288</v>
      </c>
      <c r="D770" s="10" t="s">
        <v>225</v>
      </c>
      <c r="E770" s="10" t="s">
        <v>225</v>
      </c>
      <c r="F770" s="651" t="s">
        <v>66</v>
      </c>
      <c r="G770" s="652" t="s">
        <v>43</v>
      </c>
      <c r="H770" s="652" t="s">
        <v>44</v>
      </c>
      <c r="I770" s="653" t="s">
        <v>45</v>
      </c>
      <c r="J770" s="10"/>
      <c r="K770" s="26">
        <f t="shared" si="98"/>
        <v>4176.5</v>
      </c>
      <c r="L770" s="26">
        <f t="shared" si="98"/>
        <v>43</v>
      </c>
      <c r="M770" s="26">
        <f t="shared" si="98"/>
        <v>4219.5</v>
      </c>
    </row>
    <row r="771" spans="1:14" s="143" customFormat="1" ht="27.6" customHeight="1" x14ac:dyDescent="0.35">
      <c r="A771" s="142"/>
      <c r="B771" s="24" t="s">
        <v>223</v>
      </c>
      <c r="C771" s="25" t="s">
        <v>288</v>
      </c>
      <c r="D771" s="10" t="s">
        <v>225</v>
      </c>
      <c r="E771" s="10" t="s">
        <v>225</v>
      </c>
      <c r="F771" s="651" t="s">
        <v>66</v>
      </c>
      <c r="G771" s="652" t="s">
        <v>46</v>
      </c>
      <c r="H771" s="652" t="s">
        <v>44</v>
      </c>
      <c r="I771" s="653" t="s">
        <v>45</v>
      </c>
      <c r="J771" s="10"/>
      <c r="K771" s="26">
        <f t="shared" si="98"/>
        <v>4176.5</v>
      </c>
      <c r="L771" s="26">
        <f t="shared" si="98"/>
        <v>43</v>
      </c>
      <c r="M771" s="26">
        <f t="shared" si="98"/>
        <v>4219.5</v>
      </c>
    </row>
    <row r="772" spans="1:14" s="143" customFormat="1" ht="79.2" customHeight="1" x14ac:dyDescent="0.35">
      <c r="A772" s="142"/>
      <c r="B772" s="24" t="s">
        <v>289</v>
      </c>
      <c r="C772" s="25" t="s">
        <v>288</v>
      </c>
      <c r="D772" s="10" t="s">
        <v>225</v>
      </c>
      <c r="E772" s="10" t="s">
        <v>225</v>
      </c>
      <c r="F772" s="651" t="s">
        <v>66</v>
      </c>
      <c r="G772" s="652" t="s">
        <v>46</v>
      </c>
      <c r="H772" s="652" t="s">
        <v>38</v>
      </c>
      <c r="I772" s="653" t="s">
        <v>45</v>
      </c>
      <c r="J772" s="10"/>
      <c r="K772" s="26">
        <f>K773+K777</f>
        <v>4176.5</v>
      </c>
      <c r="L772" s="26">
        <f>L773+L777</f>
        <v>43</v>
      </c>
      <c r="M772" s="26">
        <f>M773+M777</f>
        <v>4219.5</v>
      </c>
    </row>
    <row r="773" spans="1:14" s="143" customFormat="1" ht="45.6" customHeight="1" x14ac:dyDescent="0.35">
      <c r="A773" s="142"/>
      <c r="B773" s="27" t="s">
        <v>490</v>
      </c>
      <c r="C773" s="25" t="s">
        <v>288</v>
      </c>
      <c r="D773" s="10" t="s">
        <v>225</v>
      </c>
      <c r="E773" s="10" t="s">
        <v>225</v>
      </c>
      <c r="F773" s="651" t="s">
        <v>66</v>
      </c>
      <c r="G773" s="652" t="s">
        <v>46</v>
      </c>
      <c r="H773" s="652" t="s">
        <v>38</v>
      </c>
      <c r="I773" s="653" t="s">
        <v>92</v>
      </c>
      <c r="J773" s="10"/>
      <c r="K773" s="26">
        <f>K774+K775+K776</f>
        <v>3591.2</v>
      </c>
      <c r="L773" s="26">
        <f>L774+L775+L776</f>
        <v>0</v>
      </c>
      <c r="M773" s="26">
        <f>M774+M775+M776</f>
        <v>3591.2</v>
      </c>
    </row>
    <row r="774" spans="1:14" s="143" customFormat="1" ht="115.2" customHeight="1" x14ac:dyDescent="0.35">
      <c r="A774" s="11"/>
      <c r="B774" s="24" t="s">
        <v>50</v>
      </c>
      <c r="C774" s="25" t="s">
        <v>288</v>
      </c>
      <c r="D774" s="10" t="s">
        <v>225</v>
      </c>
      <c r="E774" s="10" t="s">
        <v>225</v>
      </c>
      <c r="F774" s="651" t="s">
        <v>66</v>
      </c>
      <c r="G774" s="652" t="s">
        <v>46</v>
      </c>
      <c r="H774" s="652" t="s">
        <v>38</v>
      </c>
      <c r="I774" s="653" t="s">
        <v>92</v>
      </c>
      <c r="J774" s="10" t="s">
        <v>51</v>
      </c>
      <c r="K774" s="26">
        <v>3276.8</v>
      </c>
      <c r="L774" s="26">
        <f>M774-K774</f>
        <v>0</v>
      </c>
      <c r="M774" s="26">
        <v>3276.8</v>
      </c>
    </row>
    <row r="775" spans="1:14" s="7" customFormat="1" ht="54" x14ac:dyDescent="0.35">
      <c r="A775" s="11"/>
      <c r="B775" s="24" t="s">
        <v>56</v>
      </c>
      <c r="C775" s="25" t="s">
        <v>288</v>
      </c>
      <c r="D775" s="10" t="s">
        <v>225</v>
      </c>
      <c r="E775" s="10" t="s">
        <v>225</v>
      </c>
      <c r="F775" s="651" t="s">
        <v>66</v>
      </c>
      <c r="G775" s="652" t="s">
        <v>46</v>
      </c>
      <c r="H775" s="652" t="s">
        <v>38</v>
      </c>
      <c r="I775" s="653" t="s">
        <v>92</v>
      </c>
      <c r="J775" s="10" t="s">
        <v>57</v>
      </c>
      <c r="K775" s="26">
        <v>311.7</v>
      </c>
      <c r="L775" s="26">
        <f>M775-K775</f>
        <v>0</v>
      </c>
      <c r="M775" s="26">
        <v>311.7</v>
      </c>
    </row>
    <row r="776" spans="1:14" s="7" customFormat="1" ht="18.75" customHeight="1" x14ac:dyDescent="0.35">
      <c r="A776" s="11"/>
      <c r="B776" s="24" t="s">
        <v>58</v>
      </c>
      <c r="C776" s="25" t="s">
        <v>288</v>
      </c>
      <c r="D776" s="10" t="s">
        <v>225</v>
      </c>
      <c r="E776" s="10" t="s">
        <v>225</v>
      </c>
      <c r="F776" s="651" t="s">
        <v>66</v>
      </c>
      <c r="G776" s="652" t="s">
        <v>46</v>
      </c>
      <c r="H776" s="652" t="s">
        <v>38</v>
      </c>
      <c r="I776" s="653" t="s">
        <v>92</v>
      </c>
      <c r="J776" s="10" t="s">
        <v>59</v>
      </c>
      <c r="K776" s="26">
        <v>2.7</v>
      </c>
      <c r="L776" s="26">
        <f>M776-K776</f>
        <v>0</v>
      </c>
      <c r="M776" s="26">
        <v>2.7</v>
      </c>
    </row>
    <row r="777" spans="1:14" s="7" customFormat="1" ht="34.5" customHeight="1" x14ac:dyDescent="0.35">
      <c r="A777" s="11"/>
      <c r="B777" s="24" t="s">
        <v>290</v>
      </c>
      <c r="C777" s="25" t="s">
        <v>288</v>
      </c>
      <c r="D777" s="10" t="s">
        <v>225</v>
      </c>
      <c r="E777" s="10" t="s">
        <v>225</v>
      </c>
      <c r="F777" s="651" t="s">
        <v>66</v>
      </c>
      <c r="G777" s="652" t="s">
        <v>46</v>
      </c>
      <c r="H777" s="652" t="s">
        <v>38</v>
      </c>
      <c r="I777" s="653" t="s">
        <v>291</v>
      </c>
      <c r="J777" s="10"/>
      <c r="K777" s="26">
        <f>K778</f>
        <v>585.29999999999995</v>
      </c>
      <c r="L777" s="26">
        <f>L778</f>
        <v>43</v>
      </c>
      <c r="M777" s="26">
        <f>M778</f>
        <v>628.29999999999995</v>
      </c>
    </row>
    <row r="778" spans="1:14" s="7" customFormat="1" ht="54" x14ac:dyDescent="0.35">
      <c r="A778" s="11"/>
      <c r="B778" s="24" t="s">
        <v>56</v>
      </c>
      <c r="C778" s="25" t="s">
        <v>288</v>
      </c>
      <c r="D778" s="10" t="s">
        <v>225</v>
      </c>
      <c r="E778" s="10" t="s">
        <v>225</v>
      </c>
      <c r="F778" s="651" t="s">
        <v>66</v>
      </c>
      <c r="G778" s="652" t="s">
        <v>46</v>
      </c>
      <c r="H778" s="652" t="s">
        <v>38</v>
      </c>
      <c r="I778" s="653" t="s">
        <v>291</v>
      </c>
      <c r="J778" s="10" t="s">
        <v>57</v>
      </c>
      <c r="K778" s="26">
        <f>435.3+150</f>
        <v>585.29999999999995</v>
      </c>
      <c r="L778" s="26">
        <f>M778-K778</f>
        <v>43</v>
      </c>
      <c r="M778" s="26">
        <f>435.3+150+43</f>
        <v>628.29999999999995</v>
      </c>
    </row>
    <row r="779" spans="1:14" s="7" customFormat="1" ht="20.399999999999999" customHeight="1" x14ac:dyDescent="0.35">
      <c r="A779" s="11"/>
      <c r="B779" s="24" t="s">
        <v>187</v>
      </c>
      <c r="C779" s="181" t="s">
        <v>288</v>
      </c>
      <c r="D779" s="10" t="s">
        <v>225</v>
      </c>
      <c r="E779" s="10" t="s">
        <v>80</v>
      </c>
      <c r="F779" s="651"/>
      <c r="G779" s="652"/>
      <c r="H779" s="652"/>
      <c r="I779" s="653"/>
      <c r="J779" s="10"/>
      <c r="K779" s="26">
        <f t="shared" ref="K779:M781" si="99">K780</f>
        <v>3396.6000000000004</v>
      </c>
      <c r="L779" s="26">
        <f t="shared" si="99"/>
        <v>0</v>
      </c>
      <c r="M779" s="26">
        <f t="shared" si="99"/>
        <v>3396.6000000000004</v>
      </c>
      <c r="N779" s="191"/>
    </row>
    <row r="780" spans="1:14" s="7" customFormat="1" ht="62.4" customHeight="1" x14ac:dyDescent="0.35">
      <c r="A780" s="11"/>
      <c r="B780" s="24" t="s">
        <v>222</v>
      </c>
      <c r="C780" s="181" t="s">
        <v>288</v>
      </c>
      <c r="D780" s="10" t="s">
        <v>225</v>
      </c>
      <c r="E780" s="10" t="s">
        <v>80</v>
      </c>
      <c r="F780" s="651" t="s">
        <v>66</v>
      </c>
      <c r="G780" s="652" t="s">
        <v>43</v>
      </c>
      <c r="H780" s="652" t="s">
        <v>44</v>
      </c>
      <c r="I780" s="653" t="s">
        <v>45</v>
      </c>
      <c r="J780" s="10"/>
      <c r="K780" s="26">
        <f t="shared" si="99"/>
        <v>3396.6000000000004</v>
      </c>
      <c r="L780" s="26">
        <f t="shared" si="99"/>
        <v>0</v>
      </c>
      <c r="M780" s="26">
        <f t="shared" si="99"/>
        <v>3396.6000000000004</v>
      </c>
      <c r="N780" s="191"/>
    </row>
    <row r="781" spans="1:14" s="7" customFormat="1" ht="41.4" customHeight="1" x14ac:dyDescent="0.35">
      <c r="A781" s="11"/>
      <c r="B781" s="24" t="s">
        <v>221</v>
      </c>
      <c r="C781" s="25" t="s">
        <v>288</v>
      </c>
      <c r="D781" s="10" t="s">
        <v>225</v>
      </c>
      <c r="E781" s="10" t="s">
        <v>80</v>
      </c>
      <c r="F781" s="651" t="s">
        <v>66</v>
      </c>
      <c r="G781" s="652" t="s">
        <v>90</v>
      </c>
      <c r="H781" s="652" t="s">
        <v>44</v>
      </c>
      <c r="I781" s="653" t="s">
        <v>45</v>
      </c>
      <c r="J781" s="10"/>
      <c r="K781" s="26">
        <f t="shared" si="99"/>
        <v>3396.6000000000004</v>
      </c>
      <c r="L781" s="26">
        <f t="shared" si="99"/>
        <v>0</v>
      </c>
      <c r="M781" s="26">
        <f t="shared" si="99"/>
        <v>3396.6000000000004</v>
      </c>
    </row>
    <row r="782" spans="1:14" s="143" customFormat="1" ht="42" customHeight="1" x14ac:dyDescent="0.35">
      <c r="A782" s="11"/>
      <c r="B782" s="24" t="s">
        <v>283</v>
      </c>
      <c r="C782" s="25" t="s">
        <v>288</v>
      </c>
      <c r="D782" s="10" t="s">
        <v>225</v>
      </c>
      <c r="E782" s="10" t="s">
        <v>80</v>
      </c>
      <c r="F782" s="651" t="s">
        <v>66</v>
      </c>
      <c r="G782" s="652" t="s">
        <v>90</v>
      </c>
      <c r="H782" s="652" t="s">
        <v>38</v>
      </c>
      <c r="I782" s="653" t="s">
        <v>45</v>
      </c>
      <c r="J782" s="10"/>
      <c r="K782" s="26">
        <f>K783</f>
        <v>3396.6000000000004</v>
      </c>
      <c r="L782" s="26">
        <f>L783</f>
        <v>0</v>
      </c>
      <c r="M782" s="26">
        <f>M783</f>
        <v>3396.6000000000004</v>
      </c>
    </row>
    <row r="783" spans="1:14" s="7" customFormat="1" ht="43.2" customHeight="1" x14ac:dyDescent="0.35">
      <c r="A783" s="11"/>
      <c r="B783" s="24" t="s">
        <v>48</v>
      </c>
      <c r="C783" s="25" t="s">
        <v>288</v>
      </c>
      <c r="D783" s="10" t="s">
        <v>225</v>
      </c>
      <c r="E783" s="10" t="s">
        <v>80</v>
      </c>
      <c r="F783" s="651" t="s">
        <v>66</v>
      </c>
      <c r="G783" s="652" t="s">
        <v>90</v>
      </c>
      <c r="H783" s="652" t="s">
        <v>38</v>
      </c>
      <c r="I783" s="653" t="s">
        <v>49</v>
      </c>
      <c r="J783" s="10"/>
      <c r="K783" s="26">
        <f>K784+K785+K786</f>
        <v>3396.6000000000004</v>
      </c>
      <c r="L783" s="26">
        <f>L784+L785+L786</f>
        <v>0</v>
      </c>
      <c r="M783" s="26">
        <f>M784+M785+M786</f>
        <v>3396.6000000000004</v>
      </c>
    </row>
    <row r="784" spans="1:14" s="7" customFormat="1" ht="116.4" customHeight="1" x14ac:dyDescent="0.35">
      <c r="A784" s="11"/>
      <c r="B784" s="24" t="s">
        <v>50</v>
      </c>
      <c r="C784" s="25" t="s">
        <v>288</v>
      </c>
      <c r="D784" s="10" t="s">
        <v>225</v>
      </c>
      <c r="E784" s="10" t="s">
        <v>80</v>
      </c>
      <c r="F784" s="651" t="s">
        <v>66</v>
      </c>
      <c r="G784" s="652" t="s">
        <v>90</v>
      </c>
      <c r="H784" s="652" t="s">
        <v>38</v>
      </c>
      <c r="I784" s="653" t="s">
        <v>49</v>
      </c>
      <c r="J784" s="10" t="s">
        <v>51</v>
      </c>
      <c r="K784" s="26">
        <f>2656.5+389</f>
        <v>3045.5</v>
      </c>
      <c r="L784" s="26">
        <f>M784-K784</f>
        <v>0</v>
      </c>
      <c r="M784" s="26">
        <f>2656.5+389</f>
        <v>3045.5</v>
      </c>
      <c r="N784" s="191"/>
    </row>
    <row r="785" spans="1:14" s="7" customFormat="1" ht="54" x14ac:dyDescent="0.35">
      <c r="A785" s="11"/>
      <c r="B785" s="24" t="s">
        <v>56</v>
      </c>
      <c r="C785" s="181" t="s">
        <v>288</v>
      </c>
      <c r="D785" s="119" t="s">
        <v>225</v>
      </c>
      <c r="E785" s="119" t="s">
        <v>80</v>
      </c>
      <c r="F785" s="651" t="s">
        <v>66</v>
      </c>
      <c r="G785" s="652" t="s">
        <v>90</v>
      </c>
      <c r="H785" s="652" t="s">
        <v>38</v>
      </c>
      <c r="I785" s="653" t="s">
        <v>49</v>
      </c>
      <c r="J785" s="10" t="s">
        <v>57</v>
      </c>
      <c r="K785" s="26">
        <v>349.8</v>
      </c>
      <c r="L785" s="26">
        <f>M785-K785</f>
        <v>0</v>
      </c>
      <c r="M785" s="26">
        <v>349.8</v>
      </c>
    </row>
    <row r="786" spans="1:14" s="7" customFormat="1" ht="20.399999999999999" customHeight="1" x14ac:dyDescent="0.35">
      <c r="A786" s="11"/>
      <c r="B786" s="24" t="s">
        <v>58</v>
      </c>
      <c r="C786" s="181" t="s">
        <v>288</v>
      </c>
      <c r="D786" s="119" t="s">
        <v>225</v>
      </c>
      <c r="E786" s="119" t="s">
        <v>80</v>
      </c>
      <c r="F786" s="651" t="s">
        <v>66</v>
      </c>
      <c r="G786" s="652" t="s">
        <v>90</v>
      </c>
      <c r="H786" s="652" t="s">
        <v>38</v>
      </c>
      <c r="I786" s="653" t="s">
        <v>49</v>
      </c>
      <c r="J786" s="10" t="s">
        <v>59</v>
      </c>
      <c r="K786" s="26">
        <v>1.3</v>
      </c>
      <c r="L786" s="26">
        <f>M786-K786</f>
        <v>0</v>
      </c>
      <c r="M786" s="26">
        <v>1.3</v>
      </c>
      <c r="N786" s="191"/>
    </row>
    <row r="787" spans="1:14" s="7" customFormat="1" ht="14.25" customHeight="1" x14ac:dyDescent="0.35">
      <c r="A787" s="11"/>
      <c r="B787" s="24"/>
      <c r="C787" s="181"/>
      <c r="D787" s="119"/>
      <c r="E787" s="119"/>
      <c r="F787" s="651"/>
      <c r="G787" s="652"/>
      <c r="H787" s="652"/>
      <c r="I787" s="653"/>
      <c r="J787" s="10"/>
      <c r="K787" s="26"/>
      <c r="L787" s="26"/>
      <c r="M787" s="26"/>
      <c r="N787" s="191"/>
    </row>
    <row r="788" spans="1:14" s="143" customFormat="1" ht="58.2" customHeight="1" x14ac:dyDescent="0.3">
      <c r="A788" s="142">
        <v>9</v>
      </c>
      <c r="B788" s="18" t="s">
        <v>12</v>
      </c>
      <c r="C788" s="19" t="s">
        <v>296</v>
      </c>
      <c r="D788" s="20"/>
      <c r="E788" s="20"/>
      <c r="F788" s="21"/>
      <c r="G788" s="22"/>
      <c r="H788" s="22"/>
      <c r="I788" s="23"/>
      <c r="J788" s="20"/>
      <c r="K788" s="40">
        <f>K789</f>
        <v>73911.099999999991</v>
      </c>
      <c r="L788" s="40">
        <f>L789</f>
        <v>0</v>
      </c>
      <c r="M788" s="40">
        <f>M789</f>
        <v>73911.099999999991</v>
      </c>
    </row>
    <row r="789" spans="1:14" s="7" customFormat="1" ht="20.399999999999999" customHeight="1" x14ac:dyDescent="0.35">
      <c r="A789" s="11"/>
      <c r="B789" s="30" t="s">
        <v>120</v>
      </c>
      <c r="C789" s="25" t="s">
        <v>296</v>
      </c>
      <c r="D789" s="10" t="s">
        <v>105</v>
      </c>
      <c r="E789" s="10"/>
      <c r="F789" s="651"/>
      <c r="G789" s="652"/>
      <c r="H789" s="652"/>
      <c r="I789" s="653"/>
      <c r="J789" s="10"/>
      <c r="K789" s="26">
        <f>K790+K806</f>
        <v>73911.099999999991</v>
      </c>
      <c r="L789" s="26">
        <f>L790+L806</f>
        <v>0</v>
      </c>
      <c r="M789" s="26">
        <f>M790+M806</f>
        <v>73911.099999999991</v>
      </c>
    </row>
    <row r="790" spans="1:14" s="7" customFormat="1" ht="23.4" customHeight="1" x14ac:dyDescent="0.35">
      <c r="A790" s="11"/>
      <c r="B790" s="24" t="s">
        <v>194</v>
      </c>
      <c r="C790" s="25" t="s">
        <v>296</v>
      </c>
      <c r="D790" s="10" t="s">
        <v>105</v>
      </c>
      <c r="E790" s="10" t="s">
        <v>53</v>
      </c>
      <c r="F790" s="651"/>
      <c r="G790" s="652"/>
      <c r="H790" s="652"/>
      <c r="I790" s="653"/>
      <c r="J790" s="10"/>
      <c r="K790" s="26">
        <f t="shared" ref="K790:M791" si="100">K791</f>
        <v>65283.799999999996</v>
      </c>
      <c r="L790" s="26">
        <f t="shared" si="100"/>
        <v>0</v>
      </c>
      <c r="M790" s="26">
        <f t="shared" si="100"/>
        <v>65283.799999999996</v>
      </c>
    </row>
    <row r="791" spans="1:14" s="7" customFormat="1" ht="63.6" customHeight="1" x14ac:dyDescent="0.35">
      <c r="A791" s="11"/>
      <c r="B791" s="28" t="s">
        <v>231</v>
      </c>
      <c r="C791" s="25" t="s">
        <v>296</v>
      </c>
      <c r="D791" s="10" t="s">
        <v>105</v>
      </c>
      <c r="E791" s="10" t="s">
        <v>53</v>
      </c>
      <c r="F791" s="651" t="s">
        <v>80</v>
      </c>
      <c r="G791" s="652" t="s">
        <v>43</v>
      </c>
      <c r="H791" s="652" t="s">
        <v>44</v>
      </c>
      <c r="I791" s="653" t="s">
        <v>45</v>
      </c>
      <c r="J791" s="10"/>
      <c r="K791" s="26">
        <f t="shared" si="100"/>
        <v>65283.799999999996</v>
      </c>
      <c r="L791" s="26">
        <f t="shared" si="100"/>
        <v>0</v>
      </c>
      <c r="M791" s="26">
        <f t="shared" si="100"/>
        <v>65283.799999999996</v>
      </c>
    </row>
    <row r="792" spans="1:14" s="7" customFormat="1" ht="37.200000000000003" customHeight="1" x14ac:dyDescent="0.35">
      <c r="A792" s="11"/>
      <c r="B792" s="24" t="s">
        <v>343</v>
      </c>
      <c r="C792" s="25" t="s">
        <v>296</v>
      </c>
      <c r="D792" s="10" t="s">
        <v>105</v>
      </c>
      <c r="E792" s="10" t="s">
        <v>53</v>
      </c>
      <c r="F792" s="651" t="s">
        <v>80</v>
      </c>
      <c r="G792" s="652" t="s">
        <v>46</v>
      </c>
      <c r="H792" s="652" t="s">
        <v>44</v>
      </c>
      <c r="I792" s="653" t="s">
        <v>45</v>
      </c>
      <c r="J792" s="10"/>
      <c r="K792" s="26">
        <f>K793</f>
        <v>65283.799999999996</v>
      </c>
      <c r="L792" s="26">
        <f>L793</f>
        <v>0</v>
      </c>
      <c r="M792" s="26">
        <f>M793</f>
        <v>65283.799999999996</v>
      </c>
    </row>
    <row r="793" spans="1:14" s="143" customFormat="1" ht="41.4" customHeight="1" x14ac:dyDescent="0.35">
      <c r="A793" s="11"/>
      <c r="B793" s="24" t="s">
        <v>286</v>
      </c>
      <c r="C793" s="25" t="s">
        <v>296</v>
      </c>
      <c r="D793" s="10" t="s">
        <v>105</v>
      </c>
      <c r="E793" s="10" t="s">
        <v>53</v>
      </c>
      <c r="F793" s="651" t="s">
        <v>80</v>
      </c>
      <c r="G793" s="652" t="s">
        <v>46</v>
      </c>
      <c r="H793" s="652" t="s">
        <v>38</v>
      </c>
      <c r="I793" s="653" t="s">
        <v>45</v>
      </c>
      <c r="J793" s="10"/>
      <c r="K793" s="26">
        <f>K794+K797+K800+K803</f>
        <v>65283.799999999996</v>
      </c>
      <c r="L793" s="26">
        <f>L794+L797+L800+L803</f>
        <v>0</v>
      </c>
      <c r="M793" s="26">
        <f>M794+M797+M800+M803</f>
        <v>65283.799999999996</v>
      </c>
    </row>
    <row r="794" spans="1:14" s="143" customFormat="1" ht="147.6" customHeight="1" x14ac:dyDescent="0.35">
      <c r="A794" s="11"/>
      <c r="B794" s="584" t="s">
        <v>364</v>
      </c>
      <c r="C794" s="25" t="s">
        <v>296</v>
      </c>
      <c r="D794" s="10" t="s">
        <v>105</v>
      </c>
      <c r="E794" s="10" t="s">
        <v>53</v>
      </c>
      <c r="F794" s="651" t="s">
        <v>80</v>
      </c>
      <c r="G794" s="652" t="s">
        <v>46</v>
      </c>
      <c r="H794" s="652" t="s">
        <v>38</v>
      </c>
      <c r="I794" s="653" t="s">
        <v>614</v>
      </c>
      <c r="J794" s="10"/>
      <c r="K794" s="26">
        <f>SUM(K795:K796)</f>
        <v>35369.600000000006</v>
      </c>
      <c r="L794" s="26">
        <f>SUM(L795:L796)</f>
        <v>0</v>
      </c>
      <c r="M794" s="26">
        <f>SUM(M795:M796)</f>
        <v>35369.600000000006</v>
      </c>
    </row>
    <row r="795" spans="1:14" s="143" customFormat="1" ht="52.2" customHeight="1" x14ac:dyDescent="0.35">
      <c r="A795" s="11"/>
      <c r="B795" s="24" t="s">
        <v>56</v>
      </c>
      <c r="C795" s="25" t="s">
        <v>296</v>
      </c>
      <c r="D795" s="10" t="s">
        <v>105</v>
      </c>
      <c r="E795" s="10" t="s">
        <v>53</v>
      </c>
      <c r="F795" s="651" t="s">
        <v>80</v>
      </c>
      <c r="G795" s="652" t="s">
        <v>46</v>
      </c>
      <c r="H795" s="652" t="s">
        <v>38</v>
      </c>
      <c r="I795" s="653" t="s">
        <v>614</v>
      </c>
      <c r="J795" s="10" t="s">
        <v>57</v>
      </c>
      <c r="K795" s="26">
        <v>176.8</v>
      </c>
      <c r="L795" s="26">
        <f>M795-K795</f>
        <v>0</v>
      </c>
      <c r="M795" s="26">
        <v>176.8</v>
      </c>
    </row>
    <row r="796" spans="1:14" s="143" customFormat="1" ht="44.4" customHeight="1" x14ac:dyDescent="0.35">
      <c r="A796" s="11"/>
      <c r="B796" s="24" t="s">
        <v>121</v>
      </c>
      <c r="C796" s="25" t="s">
        <v>296</v>
      </c>
      <c r="D796" s="10" t="s">
        <v>105</v>
      </c>
      <c r="E796" s="10" t="s">
        <v>53</v>
      </c>
      <c r="F796" s="651" t="s">
        <v>80</v>
      </c>
      <c r="G796" s="652" t="s">
        <v>46</v>
      </c>
      <c r="H796" s="652" t="s">
        <v>38</v>
      </c>
      <c r="I796" s="653" t="s">
        <v>614</v>
      </c>
      <c r="J796" s="10" t="s">
        <v>122</v>
      </c>
      <c r="K796" s="26">
        <v>35192.800000000003</v>
      </c>
      <c r="L796" s="26">
        <f>M796-K796</f>
        <v>0</v>
      </c>
      <c r="M796" s="26">
        <v>35192.800000000003</v>
      </c>
    </row>
    <row r="797" spans="1:14" s="143" customFormat="1" ht="103.95" customHeight="1" x14ac:dyDescent="0.35">
      <c r="A797" s="11"/>
      <c r="B797" s="24" t="s">
        <v>366</v>
      </c>
      <c r="C797" s="25" t="s">
        <v>296</v>
      </c>
      <c r="D797" s="10" t="s">
        <v>105</v>
      </c>
      <c r="E797" s="10" t="s">
        <v>53</v>
      </c>
      <c r="F797" s="651" t="s">
        <v>80</v>
      </c>
      <c r="G797" s="652" t="s">
        <v>46</v>
      </c>
      <c r="H797" s="652" t="s">
        <v>38</v>
      </c>
      <c r="I797" s="653" t="s">
        <v>616</v>
      </c>
      <c r="J797" s="10"/>
      <c r="K797" s="26">
        <f>SUM(K798:K799)</f>
        <v>1437.7</v>
      </c>
      <c r="L797" s="26">
        <f>SUM(L798:L799)</f>
        <v>0</v>
      </c>
      <c r="M797" s="26">
        <f>SUM(M798:M799)</f>
        <v>1437.7</v>
      </c>
    </row>
    <row r="798" spans="1:14" s="143" customFormat="1" ht="54" x14ac:dyDescent="0.35">
      <c r="A798" s="11"/>
      <c r="B798" s="24" t="s">
        <v>56</v>
      </c>
      <c r="C798" s="25" t="s">
        <v>296</v>
      </c>
      <c r="D798" s="10" t="s">
        <v>105</v>
      </c>
      <c r="E798" s="10" t="s">
        <v>53</v>
      </c>
      <c r="F798" s="651" t="s">
        <v>80</v>
      </c>
      <c r="G798" s="652" t="s">
        <v>46</v>
      </c>
      <c r="H798" s="652" t="s">
        <v>38</v>
      </c>
      <c r="I798" s="653" t="s">
        <v>616</v>
      </c>
      <c r="J798" s="10" t="s">
        <v>57</v>
      </c>
      <c r="K798" s="26">
        <v>7.2</v>
      </c>
      <c r="L798" s="26">
        <f>M798-K798</f>
        <v>0</v>
      </c>
      <c r="M798" s="26">
        <v>7.2</v>
      </c>
    </row>
    <row r="799" spans="1:14" s="143" customFormat="1" ht="41.4" customHeight="1" x14ac:dyDescent="0.35">
      <c r="A799" s="11"/>
      <c r="B799" s="24" t="s">
        <v>121</v>
      </c>
      <c r="C799" s="25" t="s">
        <v>296</v>
      </c>
      <c r="D799" s="10" t="s">
        <v>105</v>
      </c>
      <c r="E799" s="10" t="s">
        <v>53</v>
      </c>
      <c r="F799" s="651" t="s">
        <v>80</v>
      </c>
      <c r="G799" s="652" t="s">
        <v>46</v>
      </c>
      <c r="H799" s="652" t="s">
        <v>38</v>
      </c>
      <c r="I799" s="653" t="s">
        <v>616</v>
      </c>
      <c r="J799" s="10" t="s">
        <v>122</v>
      </c>
      <c r="K799" s="26">
        <v>1430.5</v>
      </c>
      <c r="L799" s="26">
        <f>M799-K799</f>
        <v>0</v>
      </c>
      <c r="M799" s="26">
        <v>1430.5</v>
      </c>
    </row>
    <row r="800" spans="1:14" s="143" customFormat="1" ht="102.6" customHeight="1" x14ac:dyDescent="0.35">
      <c r="A800" s="11"/>
      <c r="B800" s="24" t="s">
        <v>365</v>
      </c>
      <c r="C800" s="25" t="s">
        <v>296</v>
      </c>
      <c r="D800" s="10" t="s">
        <v>105</v>
      </c>
      <c r="E800" s="10" t="s">
        <v>53</v>
      </c>
      <c r="F800" s="651" t="s">
        <v>80</v>
      </c>
      <c r="G800" s="652" t="s">
        <v>46</v>
      </c>
      <c r="H800" s="652" t="s">
        <v>38</v>
      </c>
      <c r="I800" s="653" t="s">
        <v>615</v>
      </c>
      <c r="J800" s="10"/>
      <c r="K800" s="26">
        <f>SUM(K801:K802)</f>
        <v>26725.899999999998</v>
      </c>
      <c r="L800" s="26">
        <f>SUM(L801:L802)</f>
        <v>0</v>
      </c>
      <c r="M800" s="26">
        <f>SUM(M801:M802)</f>
        <v>26725.899999999998</v>
      </c>
    </row>
    <row r="801" spans="1:13" s="143" customFormat="1" ht="46.2" customHeight="1" x14ac:dyDescent="0.35">
      <c r="A801" s="11"/>
      <c r="B801" s="24" t="s">
        <v>56</v>
      </c>
      <c r="C801" s="25" t="s">
        <v>296</v>
      </c>
      <c r="D801" s="10" t="s">
        <v>105</v>
      </c>
      <c r="E801" s="10" t="s">
        <v>53</v>
      </c>
      <c r="F801" s="651" t="s">
        <v>80</v>
      </c>
      <c r="G801" s="652" t="s">
        <v>46</v>
      </c>
      <c r="H801" s="652" t="s">
        <v>38</v>
      </c>
      <c r="I801" s="653" t="s">
        <v>615</v>
      </c>
      <c r="J801" s="10" t="s">
        <v>57</v>
      </c>
      <c r="K801" s="26">
        <v>133.6</v>
      </c>
      <c r="L801" s="26">
        <f>M801-K801</f>
        <v>0</v>
      </c>
      <c r="M801" s="26">
        <v>133.6</v>
      </c>
    </row>
    <row r="802" spans="1:13" s="143" customFormat="1" ht="38.4" customHeight="1" x14ac:dyDescent="0.35">
      <c r="A802" s="11"/>
      <c r="B802" s="24" t="s">
        <v>121</v>
      </c>
      <c r="C802" s="25" t="s">
        <v>296</v>
      </c>
      <c r="D802" s="10" t="s">
        <v>105</v>
      </c>
      <c r="E802" s="10" t="s">
        <v>53</v>
      </c>
      <c r="F802" s="651" t="s">
        <v>80</v>
      </c>
      <c r="G802" s="652" t="s">
        <v>46</v>
      </c>
      <c r="H802" s="652" t="s">
        <v>38</v>
      </c>
      <c r="I802" s="653" t="s">
        <v>615</v>
      </c>
      <c r="J802" s="10" t="s">
        <v>122</v>
      </c>
      <c r="K802" s="26">
        <v>26592.3</v>
      </c>
      <c r="L802" s="26">
        <f>M802-K802</f>
        <v>0</v>
      </c>
      <c r="M802" s="26">
        <v>26592.3</v>
      </c>
    </row>
    <row r="803" spans="1:13" s="143" customFormat="1" ht="117.6" customHeight="1" x14ac:dyDescent="0.35">
      <c r="A803" s="11"/>
      <c r="B803" s="24" t="s">
        <v>372</v>
      </c>
      <c r="C803" s="25" t="s">
        <v>296</v>
      </c>
      <c r="D803" s="10" t="s">
        <v>105</v>
      </c>
      <c r="E803" s="10" t="s">
        <v>53</v>
      </c>
      <c r="F803" s="651" t="s">
        <v>80</v>
      </c>
      <c r="G803" s="652" t="s">
        <v>46</v>
      </c>
      <c r="H803" s="652" t="s">
        <v>38</v>
      </c>
      <c r="I803" s="653" t="s">
        <v>617</v>
      </c>
      <c r="J803" s="10"/>
      <c r="K803" s="26">
        <f>SUM(K804:K805)</f>
        <v>1750.6</v>
      </c>
      <c r="L803" s="26">
        <f>SUM(L804:L805)</f>
        <v>0</v>
      </c>
      <c r="M803" s="26">
        <f>SUM(M804:M805)</f>
        <v>1750.6</v>
      </c>
    </row>
    <row r="804" spans="1:13" s="143" customFormat="1" ht="54" x14ac:dyDescent="0.35">
      <c r="A804" s="11"/>
      <c r="B804" s="24" t="s">
        <v>56</v>
      </c>
      <c r="C804" s="25" t="s">
        <v>296</v>
      </c>
      <c r="D804" s="10" t="s">
        <v>105</v>
      </c>
      <c r="E804" s="10" t="s">
        <v>53</v>
      </c>
      <c r="F804" s="651" t="s">
        <v>80</v>
      </c>
      <c r="G804" s="652" t="s">
        <v>46</v>
      </c>
      <c r="H804" s="652" t="s">
        <v>38</v>
      </c>
      <c r="I804" s="653" t="s">
        <v>617</v>
      </c>
      <c r="J804" s="10" t="s">
        <v>57</v>
      </c>
      <c r="K804" s="26">
        <v>8.6</v>
      </c>
      <c r="L804" s="26">
        <f>M804-K804</f>
        <v>0</v>
      </c>
      <c r="M804" s="26">
        <v>8.6</v>
      </c>
    </row>
    <row r="805" spans="1:13" s="143" customFormat="1" ht="42" customHeight="1" x14ac:dyDescent="0.35">
      <c r="A805" s="11"/>
      <c r="B805" s="24" t="s">
        <v>121</v>
      </c>
      <c r="C805" s="25" t="s">
        <v>296</v>
      </c>
      <c r="D805" s="10" t="s">
        <v>105</v>
      </c>
      <c r="E805" s="10" t="s">
        <v>53</v>
      </c>
      <c r="F805" s="651" t="s">
        <v>80</v>
      </c>
      <c r="G805" s="652" t="s">
        <v>46</v>
      </c>
      <c r="H805" s="652" t="s">
        <v>38</v>
      </c>
      <c r="I805" s="653" t="s">
        <v>617</v>
      </c>
      <c r="J805" s="10" t="s">
        <v>122</v>
      </c>
      <c r="K805" s="26">
        <v>1742</v>
      </c>
      <c r="L805" s="26">
        <f>M805-K805</f>
        <v>0</v>
      </c>
      <c r="M805" s="26">
        <v>1742</v>
      </c>
    </row>
    <row r="806" spans="1:13" s="7" customFormat="1" ht="36" x14ac:dyDescent="0.35">
      <c r="A806" s="11"/>
      <c r="B806" s="24" t="s">
        <v>298</v>
      </c>
      <c r="C806" s="25" t="s">
        <v>296</v>
      </c>
      <c r="D806" s="10" t="s">
        <v>105</v>
      </c>
      <c r="E806" s="10" t="s">
        <v>82</v>
      </c>
      <c r="F806" s="651"/>
      <c r="G806" s="652"/>
      <c r="H806" s="652"/>
      <c r="I806" s="653"/>
      <c r="J806" s="10"/>
      <c r="K806" s="26">
        <f>K807</f>
        <v>8627.2999999999993</v>
      </c>
      <c r="L806" s="26">
        <f>L807</f>
        <v>0</v>
      </c>
      <c r="M806" s="26">
        <f>M807</f>
        <v>8627.2999999999993</v>
      </c>
    </row>
    <row r="807" spans="1:13" s="7" customFormat="1" ht="61.95" customHeight="1" x14ac:dyDescent="0.35">
      <c r="A807" s="11"/>
      <c r="B807" s="28" t="s">
        <v>231</v>
      </c>
      <c r="C807" s="25" t="s">
        <v>296</v>
      </c>
      <c r="D807" s="10" t="s">
        <v>105</v>
      </c>
      <c r="E807" s="10" t="s">
        <v>82</v>
      </c>
      <c r="F807" s="651" t="s">
        <v>80</v>
      </c>
      <c r="G807" s="652" t="s">
        <v>43</v>
      </c>
      <c r="H807" s="652" t="s">
        <v>44</v>
      </c>
      <c r="I807" s="653" t="s">
        <v>45</v>
      </c>
      <c r="J807" s="10"/>
      <c r="K807" s="26">
        <f t="shared" ref="K807:M808" si="101">K808</f>
        <v>8627.2999999999993</v>
      </c>
      <c r="L807" s="26">
        <f t="shared" si="101"/>
        <v>0</v>
      </c>
      <c r="M807" s="26">
        <f t="shared" si="101"/>
        <v>8627.2999999999993</v>
      </c>
    </row>
    <row r="808" spans="1:13" s="7" customFormat="1" ht="37.950000000000003" customHeight="1" x14ac:dyDescent="0.35">
      <c r="A808" s="11"/>
      <c r="B808" s="24" t="s">
        <v>343</v>
      </c>
      <c r="C808" s="25" t="s">
        <v>296</v>
      </c>
      <c r="D808" s="10" t="s">
        <v>105</v>
      </c>
      <c r="E808" s="10" t="s">
        <v>82</v>
      </c>
      <c r="F808" s="651" t="s">
        <v>80</v>
      </c>
      <c r="G808" s="652" t="s">
        <v>46</v>
      </c>
      <c r="H808" s="652" t="s">
        <v>44</v>
      </c>
      <c r="I808" s="653" t="s">
        <v>45</v>
      </c>
      <c r="J808" s="10"/>
      <c r="K808" s="26">
        <f t="shared" si="101"/>
        <v>8627.2999999999993</v>
      </c>
      <c r="L808" s="26">
        <f t="shared" si="101"/>
        <v>0</v>
      </c>
      <c r="M808" s="26">
        <f t="shared" si="101"/>
        <v>8627.2999999999993</v>
      </c>
    </row>
    <row r="809" spans="1:13" s="143" customFormat="1" ht="43.95" customHeight="1" x14ac:dyDescent="0.35">
      <c r="A809" s="11"/>
      <c r="B809" s="24" t="s">
        <v>230</v>
      </c>
      <c r="C809" s="25" t="s">
        <v>296</v>
      </c>
      <c r="D809" s="10" t="s">
        <v>105</v>
      </c>
      <c r="E809" s="10" t="s">
        <v>82</v>
      </c>
      <c r="F809" s="651" t="s">
        <v>80</v>
      </c>
      <c r="G809" s="652" t="s">
        <v>46</v>
      </c>
      <c r="H809" s="652" t="s">
        <v>64</v>
      </c>
      <c r="I809" s="653" t="s">
        <v>45</v>
      </c>
      <c r="J809" s="10"/>
      <c r="K809" s="26">
        <f>K810+K813+K816</f>
        <v>8627.2999999999993</v>
      </c>
      <c r="L809" s="26">
        <f>L810+L813+L816</f>
        <v>0</v>
      </c>
      <c r="M809" s="26">
        <f>M810+M813+M816</f>
        <v>8627.2999999999993</v>
      </c>
    </row>
    <row r="810" spans="1:13" s="143" customFormat="1" ht="252" x14ac:dyDescent="0.35">
      <c r="A810" s="11"/>
      <c r="B810" s="585" t="s">
        <v>233</v>
      </c>
      <c r="C810" s="25" t="s">
        <v>296</v>
      </c>
      <c r="D810" s="10" t="s">
        <v>105</v>
      </c>
      <c r="E810" s="10" t="s">
        <v>82</v>
      </c>
      <c r="F810" s="651" t="s">
        <v>80</v>
      </c>
      <c r="G810" s="652" t="s">
        <v>46</v>
      </c>
      <c r="H810" s="652" t="s">
        <v>64</v>
      </c>
      <c r="I810" s="653" t="s">
        <v>618</v>
      </c>
      <c r="J810" s="10"/>
      <c r="K810" s="26">
        <f>K811+K812</f>
        <v>984.5</v>
      </c>
      <c r="L810" s="26">
        <f>L811+L812</f>
        <v>0</v>
      </c>
      <c r="M810" s="26">
        <f>M811+M812</f>
        <v>984.5</v>
      </c>
    </row>
    <row r="811" spans="1:13" s="143" customFormat="1" ht="112.5" customHeight="1" x14ac:dyDescent="0.35">
      <c r="A811" s="11"/>
      <c r="B811" s="24" t="s">
        <v>50</v>
      </c>
      <c r="C811" s="25" t="s">
        <v>296</v>
      </c>
      <c r="D811" s="10" t="s">
        <v>105</v>
      </c>
      <c r="E811" s="10" t="s">
        <v>82</v>
      </c>
      <c r="F811" s="651" t="s">
        <v>80</v>
      </c>
      <c r="G811" s="652" t="s">
        <v>46</v>
      </c>
      <c r="H811" s="652" t="s">
        <v>64</v>
      </c>
      <c r="I811" s="653" t="s">
        <v>618</v>
      </c>
      <c r="J811" s="10" t="s">
        <v>51</v>
      </c>
      <c r="K811" s="26">
        <f>824.4+100.1</f>
        <v>924.5</v>
      </c>
      <c r="L811" s="26">
        <f>M811-K811</f>
        <v>36.442000000000007</v>
      </c>
      <c r="M811" s="26">
        <f>824.4+100.1+36.442</f>
        <v>960.94200000000001</v>
      </c>
    </row>
    <row r="812" spans="1:13" s="143" customFormat="1" ht="54" x14ac:dyDescent="0.35">
      <c r="A812" s="11"/>
      <c r="B812" s="24" t="s">
        <v>56</v>
      </c>
      <c r="C812" s="25" t="s">
        <v>296</v>
      </c>
      <c r="D812" s="10" t="s">
        <v>105</v>
      </c>
      <c r="E812" s="10" t="s">
        <v>82</v>
      </c>
      <c r="F812" s="651" t="s">
        <v>80</v>
      </c>
      <c r="G812" s="652" t="s">
        <v>46</v>
      </c>
      <c r="H812" s="652" t="s">
        <v>64</v>
      </c>
      <c r="I812" s="653" t="s">
        <v>618</v>
      </c>
      <c r="J812" s="10" t="s">
        <v>57</v>
      </c>
      <c r="K812" s="26">
        <v>60</v>
      </c>
      <c r="L812" s="26">
        <f>M812-K812</f>
        <v>-36.442</v>
      </c>
      <c r="M812" s="26">
        <f>60-36.442</f>
        <v>23.558</v>
      </c>
    </row>
    <row r="813" spans="1:13" s="143" customFormat="1" ht="108" x14ac:dyDescent="0.35">
      <c r="A813" s="11"/>
      <c r="B813" s="24" t="s">
        <v>485</v>
      </c>
      <c r="C813" s="25" t="s">
        <v>296</v>
      </c>
      <c r="D813" s="10" t="s">
        <v>105</v>
      </c>
      <c r="E813" s="10" t="s">
        <v>82</v>
      </c>
      <c r="F813" s="651" t="s">
        <v>80</v>
      </c>
      <c r="G813" s="652" t="s">
        <v>46</v>
      </c>
      <c r="H813" s="652" t="s">
        <v>64</v>
      </c>
      <c r="I813" s="653" t="s">
        <v>612</v>
      </c>
      <c r="J813" s="10"/>
      <c r="K813" s="26">
        <f>K814+K815</f>
        <v>723.6</v>
      </c>
      <c r="L813" s="26">
        <f>L814+L815</f>
        <v>0</v>
      </c>
      <c r="M813" s="26">
        <f>M814+M815</f>
        <v>723.6</v>
      </c>
    </row>
    <row r="814" spans="1:13" s="143" customFormat="1" ht="112.5" customHeight="1" x14ac:dyDescent="0.35">
      <c r="A814" s="11"/>
      <c r="B814" s="24" t="s">
        <v>50</v>
      </c>
      <c r="C814" s="25" t="s">
        <v>296</v>
      </c>
      <c r="D814" s="10" t="s">
        <v>105</v>
      </c>
      <c r="E814" s="10" t="s">
        <v>82</v>
      </c>
      <c r="F814" s="651" t="s">
        <v>80</v>
      </c>
      <c r="G814" s="652" t="s">
        <v>46</v>
      </c>
      <c r="H814" s="652" t="s">
        <v>64</v>
      </c>
      <c r="I814" s="653" t="s">
        <v>612</v>
      </c>
      <c r="J814" s="10" t="s">
        <v>51</v>
      </c>
      <c r="K814" s="26">
        <f>615.4+78.2</f>
        <v>693.6</v>
      </c>
      <c r="L814" s="26">
        <f>M814-K814</f>
        <v>0</v>
      </c>
      <c r="M814" s="26">
        <f>615.4+78.2</f>
        <v>693.6</v>
      </c>
    </row>
    <row r="815" spans="1:13" s="143" customFormat="1" ht="34.950000000000003" customHeight="1" x14ac:dyDescent="0.35">
      <c r="A815" s="11"/>
      <c r="B815" s="24" t="s">
        <v>56</v>
      </c>
      <c r="C815" s="25" t="s">
        <v>296</v>
      </c>
      <c r="D815" s="10" t="s">
        <v>105</v>
      </c>
      <c r="E815" s="10" t="s">
        <v>82</v>
      </c>
      <c r="F815" s="651" t="s">
        <v>80</v>
      </c>
      <c r="G815" s="652" t="s">
        <v>46</v>
      </c>
      <c r="H815" s="652" t="s">
        <v>64</v>
      </c>
      <c r="I815" s="653" t="s">
        <v>612</v>
      </c>
      <c r="J815" s="10" t="s">
        <v>57</v>
      </c>
      <c r="K815" s="26">
        <v>30</v>
      </c>
      <c r="L815" s="26">
        <f>M815-K815</f>
        <v>0</v>
      </c>
      <c r="M815" s="26">
        <v>30</v>
      </c>
    </row>
    <row r="816" spans="1:13" s="143" customFormat="1" ht="72" x14ac:dyDescent="0.35">
      <c r="A816" s="11"/>
      <c r="B816" s="24" t="s">
        <v>232</v>
      </c>
      <c r="C816" s="25" t="s">
        <v>296</v>
      </c>
      <c r="D816" s="10" t="s">
        <v>105</v>
      </c>
      <c r="E816" s="10" t="s">
        <v>82</v>
      </c>
      <c r="F816" s="651" t="s">
        <v>80</v>
      </c>
      <c r="G816" s="652" t="s">
        <v>46</v>
      </c>
      <c r="H816" s="652" t="s">
        <v>64</v>
      </c>
      <c r="I816" s="653" t="s">
        <v>613</v>
      </c>
      <c r="J816" s="10"/>
      <c r="K816" s="26">
        <f>K817+K818</f>
        <v>6919.2</v>
      </c>
      <c r="L816" s="26">
        <f>L817+L818</f>
        <v>0</v>
      </c>
      <c r="M816" s="26">
        <f>M817+M818</f>
        <v>6919.2</v>
      </c>
    </row>
    <row r="817" spans="1:14" s="143" customFormat="1" ht="112.5" customHeight="1" x14ac:dyDescent="0.35">
      <c r="A817" s="11"/>
      <c r="B817" s="24" t="s">
        <v>50</v>
      </c>
      <c r="C817" s="25" t="s">
        <v>296</v>
      </c>
      <c r="D817" s="10" t="s">
        <v>105</v>
      </c>
      <c r="E817" s="10" t="s">
        <v>82</v>
      </c>
      <c r="F817" s="651" t="s">
        <v>80</v>
      </c>
      <c r="G817" s="652" t="s">
        <v>46</v>
      </c>
      <c r="H817" s="652" t="s">
        <v>64</v>
      </c>
      <c r="I817" s="653" t="s">
        <v>613</v>
      </c>
      <c r="J817" s="10" t="s">
        <v>51</v>
      </c>
      <c r="K817" s="26">
        <f>5805.9+753.3</f>
        <v>6559.2</v>
      </c>
      <c r="L817" s="26">
        <f>M817-K817</f>
        <v>232.36099999999988</v>
      </c>
      <c r="M817" s="26">
        <f>5805.9+753.3+232.361</f>
        <v>6791.5609999999997</v>
      </c>
    </row>
    <row r="818" spans="1:14" s="143" customFormat="1" ht="55.95" customHeight="1" x14ac:dyDescent="0.35">
      <c r="A818" s="11"/>
      <c r="B818" s="24" t="s">
        <v>56</v>
      </c>
      <c r="C818" s="25" t="s">
        <v>296</v>
      </c>
      <c r="D818" s="10" t="s">
        <v>105</v>
      </c>
      <c r="E818" s="10" t="s">
        <v>82</v>
      </c>
      <c r="F818" s="651" t="s">
        <v>80</v>
      </c>
      <c r="G818" s="652" t="s">
        <v>46</v>
      </c>
      <c r="H818" s="652" t="s">
        <v>64</v>
      </c>
      <c r="I818" s="653" t="s">
        <v>613</v>
      </c>
      <c r="J818" s="10" t="s">
        <v>57</v>
      </c>
      <c r="K818" s="26">
        <v>360</v>
      </c>
      <c r="L818" s="26">
        <f>M818-K818</f>
        <v>-232.36099999999999</v>
      </c>
      <c r="M818" s="26">
        <f>360-232.361</f>
        <v>127.63900000000001</v>
      </c>
    </row>
    <row r="819" spans="1:14" s="143" customFormat="1" ht="25.5" customHeight="1" x14ac:dyDescent="0.35">
      <c r="A819" s="220"/>
      <c r="B819" s="135"/>
      <c r="C819" s="221"/>
      <c r="D819" s="136"/>
      <c r="E819" s="136"/>
      <c r="F819" s="136"/>
      <c r="G819" s="136"/>
      <c r="H819" s="136"/>
      <c r="I819" s="136"/>
      <c r="J819" s="136"/>
      <c r="K819" s="136"/>
      <c r="L819" s="136"/>
      <c r="M819" s="222"/>
    </row>
    <row r="820" spans="1:14" s="143" customFormat="1" ht="20.25" customHeight="1" x14ac:dyDescent="0.35">
      <c r="A820" s="220"/>
      <c r="B820" s="135"/>
      <c r="C820" s="221"/>
      <c r="D820" s="136"/>
      <c r="E820" s="136"/>
      <c r="F820" s="136"/>
      <c r="G820" s="136"/>
      <c r="H820" s="136"/>
      <c r="I820" s="136"/>
      <c r="J820" s="136"/>
      <c r="K820" s="136"/>
      <c r="L820" s="136"/>
      <c r="M820" s="222"/>
    </row>
    <row r="821" spans="1:14" s="98" customFormat="1" ht="18.75" customHeight="1" x14ac:dyDescent="0.35">
      <c r="A821" s="636" t="s">
        <v>384</v>
      </c>
      <c r="B821" s="100"/>
      <c r="C821" s="101"/>
      <c r="D821" s="101"/>
      <c r="E821" s="101"/>
      <c r="F821" s="52"/>
      <c r="G821" s="137"/>
      <c r="H821" s="182"/>
      <c r="M821" s="99"/>
    </row>
    <row r="822" spans="1:14" s="98" customFormat="1" ht="18.75" customHeight="1" x14ac:dyDescent="0.35">
      <c r="A822" s="636" t="s">
        <v>385</v>
      </c>
      <c r="B822" s="100"/>
      <c r="C822" s="101"/>
      <c r="D822" s="101"/>
      <c r="E822" s="101"/>
      <c r="F822" s="52"/>
      <c r="G822" s="137"/>
      <c r="H822" s="182"/>
      <c r="M822" s="99"/>
    </row>
    <row r="823" spans="1:14" s="98" customFormat="1" ht="18.75" customHeight="1" x14ac:dyDescent="0.35">
      <c r="A823" s="637" t="s">
        <v>386</v>
      </c>
      <c r="B823" s="100"/>
      <c r="E823" s="101"/>
      <c r="F823" s="52"/>
      <c r="M823" s="335" t="s">
        <v>407</v>
      </c>
    </row>
    <row r="824" spans="1:14" s="223" customFormat="1" ht="18.75" customHeight="1" x14ac:dyDescent="0.35">
      <c r="A824" s="220"/>
      <c r="B824" s="135"/>
      <c r="C824" s="221"/>
      <c r="D824" s="136"/>
      <c r="E824" s="136"/>
      <c r="F824" s="136"/>
      <c r="G824" s="136"/>
      <c r="H824" s="136"/>
      <c r="I824" s="136"/>
      <c r="J824" s="136"/>
      <c r="K824" s="136"/>
      <c r="L824" s="136"/>
      <c r="M824" s="222"/>
    </row>
    <row r="825" spans="1:14" s="223" customFormat="1" ht="18.75" customHeight="1" x14ac:dyDescent="0.35">
      <c r="A825" s="220"/>
      <c r="B825" s="135"/>
      <c r="C825" s="221"/>
      <c r="D825" s="136"/>
      <c r="E825" s="136"/>
      <c r="F825" s="136"/>
      <c r="G825" s="136"/>
      <c r="H825" s="136"/>
      <c r="I825" s="136"/>
      <c r="J825" s="136"/>
      <c r="K825" s="136"/>
      <c r="L825" s="136"/>
      <c r="M825" s="222"/>
    </row>
    <row r="826" spans="1:14" s="223" customFormat="1" ht="18.75" customHeight="1" x14ac:dyDescent="0.35">
      <c r="A826" s="220"/>
      <c r="B826" s="135"/>
      <c r="C826" s="221"/>
      <c r="D826" s="136"/>
      <c r="E826" s="136"/>
      <c r="F826" s="136"/>
      <c r="G826" s="136"/>
      <c r="H826" s="136"/>
      <c r="I826" s="136"/>
      <c r="J826" s="136"/>
      <c r="K826" s="136"/>
      <c r="L826" s="136"/>
      <c r="M826" s="222"/>
    </row>
    <row r="827" spans="1:14" s="223" customFormat="1" ht="18.75" hidden="1" customHeight="1" x14ac:dyDescent="0.35">
      <c r="A827" s="220"/>
      <c r="B827" s="135"/>
      <c r="C827" s="221"/>
      <c r="D827" s="35" t="s">
        <v>38</v>
      </c>
      <c r="E827" s="35" t="s">
        <v>40</v>
      </c>
      <c r="F827" s="36"/>
      <c r="G827" s="36"/>
      <c r="H827" s="36"/>
      <c r="I827" s="36"/>
      <c r="J827" s="36"/>
      <c r="K827" s="36"/>
      <c r="L827" s="36"/>
      <c r="M827" s="338">
        <f>M18</f>
        <v>2439.1999999999998</v>
      </c>
      <c r="N827" s="224"/>
    </row>
    <row r="828" spans="1:14" s="223" customFormat="1" ht="18.75" hidden="1" customHeight="1" x14ac:dyDescent="0.35">
      <c r="A828" s="220"/>
      <c r="B828" s="135"/>
      <c r="C828" s="221"/>
      <c r="D828" s="35" t="s">
        <v>38</v>
      </c>
      <c r="E828" s="35" t="s">
        <v>53</v>
      </c>
      <c r="F828" s="36"/>
      <c r="G828" s="36"/>
      <c r="H828" s="36"/>
      <c r="I828" s="36"/>
      <c r="J828" s="36"/>
      <c r="K828" s="36"/>
      <c r="L828" s="36"/>
      <c r="M828" s="338">
        <f>M24</f>
        <v>85886.82600000003</v>
      </c>
      <c r="N828" s="224"/>
    </row>
    <row r="829" spans="1:14" s="223" customFormat="1" ht="18.75" hidden="1" customHeight="1" x14ac:dyDescent="0.35">
      <c r="A829" s="220"/>
      <c r="B829" s="135"/>
      <c r="C829" s="221"/>
      <c r="D829" s="35" t="s">
        <v>38</v>
      </c>
      <c r="E829" s="35" t="s">
        <v>66</v>
      </c>
      <c r="F829" s="36"/>
      <c r="G829" s="36"/>
      <c r="H829" s="36"/>
      <c r="I829" s="36"/>
      <c r="J829" s="36"/>
      <c r="K829" s="36"/>
      <c r="L829" s="36"/>
      <c r="M829" s="338">
        <f>M49</f>
        <v>140</v>
      </c>
      <c r="N829" s="224"/>
    </row>
    <row r="830" spans="1:14" s="223" customFormat="1" ht="18.75" hidden="1" customHeight="1" x14ac:dyDescent="0.35">
      <c r="A830" s="220"/>
      <c r="B830" s="135"/>
      <c r="C830" s="221"/>
      <c r="D830" s="35" t="s">
        <v>38</v>
      </c>
      <c r="E830" s="35" t="s">
        <v>82</v>
      </c>
      <c r="F830" s="36"/>
      <c r="G830" s="36"/>
      <c r="H830" s="36"/>
      <c r="I830" s="36"/>
      <c r="J830" s="36"/>
      <c r="K830" s="36"/>
      <c r="L830" s="36"/>
      <c r="M830" s="338">
        <f>M289+M329</f>
        <v>35225.5</v>
      </c>
      <c r="N830" s="224"/>
    </row>
    <row r="831" spans="1:14" s="223" customFormat="1" ht="18.75" hidden="1" customHeight="1" x14ac:dyDescent="0.35">
      <c r="A831" s="220"/>
      <c r="B831" s="135"/>
      <c r="C831" s="221"/>
      <c r="D831" s="35" t="s">
        <v>38</v>
      </c>
      <c r="E831" s="35" t="s">
        <v>68</v>
      </c>
      <c r="F831" s="36"/>
      <c r="G831" s="36"/>
      <c r="H831" s="36"/>
      <c r="I831" s="36"/>
      <c r="J831" s="36"/>
      <c r="K831" s="36"/>
      <c r="L831" s="36"/>
      <c r="M831" s="338">
        <f>M55</f>
        <v>5694.6227999999983</v>
      </c>
      <c r="N831" s="224"/>
    </row>
    <row r="832" spans="1:14" s="223" customFormat="1" ht="18.75" hidden="1" customHeight="1" x14ac:dyDescent="0.35">
      <c r="A832" s="220"/>
      <c r="B832" s="135"/>
      <c r="C832" s="221"/>
      <c r="D832" s="35" t="s">
        <v>38</v>
      </c>
      <c r="E832" s="35" t="s">
        <v>72</v>
      </c>
      <c r="F832" s="36"/>
      <c r="G832" s="36"/>
      <c r="H832" s="36"/>
      <c r="I832" s="36"/>
      <c r="J832" s="36"/>
      <c r="K832" s="36"/>
      <c r="L832" s="36"/>
      <c r="M832" s="338">
        <f>M60+M297+M341+M756+M614+M699+M441</f>
        <v>70076.536600000007</v>
      </c>
      <c r="N832" s="224"/>
    </row>
    <row r="833" spans="4:14" ht="18.75" hidden="1" customHeight="1" x14ac:dyDescent="0.35">
      <c r="D833" s="186" t="s">
        <v>38</v>
      </c>
      <c r="E833" s="186" t="s">
        <v>44</v>
      </c>
      <c r="F833" s="36"/>
      <c r="G833" s="36"/>
      <c r="H833" s="36"/>
      <c r="I833" s="36"/>
      <c r="J833" s="36"/>
      <c r="K833" s="36"/>
      <c r="L833" s="36"/>
      <c r="M833" s="187">
        <f>SUBTOTAL(9,M827:M832)</f>
        <v>199462.68540000002</v>
      </c>
      <c r="N833" s="225"/>
    </row>
    <row r="834" spans="4:14" ht="18.75" hidden="1" customHeight="1" x14ac:dyDescent="0.35">
      <c r="D834" s="35"/>
      <c r="E834" s="35"/>
      <c r="F834" s="36"/>
      <c r="G834" s="36"/>
      <c r="H834" s="36"/>
      <c r="I834" s="36"/>
      <c r="J834" s="36"/>
      <c r="K834" s="36"/>
      <c r="L834" s="36"/>
      <c r="M834" s="185"/>
      <c r="N834" s="224"/>
    </row>
    <row r="835" spans="4:14" ht="18.75" hidden="1" customHeight="1" x14ac:dyDescent="0.35">
      <c r="D835" s="35" t="s">
        <v>64</v>
      </c>
      <c r="E835" s="35" t="s">
        <v>105</v>
      </c>
      <c r="F835" s="36"/>
      <c r="G835" s="36"/>
      <c r="H835" s="36"/>
      <c r="I835" s="36"/>
      <c r="J835" s="36"/>
      <c r="K835" s="36"/>
      <c r="L835" s="36"/>
      <c r="M835" s="337">
        <f>M98</f>
        <v>11875.199999999999</v>
      </c>
      <c r="N835" s="224"/>
    </row>
    <row r="836" spans="4:14" ht="18.75" hidden="1" customHeight="1" x14ac:dyDescent="0.35">
      <c r="D836" s="35" t="s">
        <v>64</v>
      </c>
      <c r="E836" s="35" t="s">
        <v>89</v>
      </c>
      <c r="F836" s="36"/>
      <c r="G836" s="36"/>
      <c r="H836" s="36"/>
      <c r="I836" s="36"/>
      <c r="J836" s="36"/>
      <c r="K836" s="36"/>
      <c r="L836" s="36"/>
      <c r="M836" s="337">
        <f>M110</f>
        <v>18984.3</v>
      </c>
      <c r="N836" s="224"/>
    </row>
    <row r="837" spans="4:14" ht="18.75" hidden="1" customHeight="1" x14ac:dyDescent="0.35">
      <c r="D837" s="186" t="s">
        <v>64</v>
      </c>
      <c r="E837" s="186" t="s">
        <v>44</v>
      </c>
      <c r="F837" s="36"/>
      <c r="G837" s="36"/>
      <c r="H837" s="36"/>
      <c r="I837" s="36"/>
      <c r="J837" s="36"/>
      <c r="K837" s="36"/>
      <c r="L837" s="36"/>
      <c r="M837" s="187">
        <f>SUBTOTAL(9,M835:M836)</f>
        <v>30859.5</v>
      </c>
      <c r="N837" s="225"/>
    </row>
    <row r="838" spans="4:14" ht="18.75" hidden="1" customHeight="1" x14ac:dyDescent="0.35">
      <c r="D838" s="35"/>
      <c r="E838" s="35"/>
      <c r="F838" s="36"/>
      <c r="G838" s="36"/>
      <c r="H838" s="36"/>
      <c r="I838" s="36"/>
      <c r="J838" s="36"/>
      <c r="K838" s="36"/>
      <c r="L838" s="36"/>
      <c r="M838" s="185"/>
      <c r="N838" s="224"/>
    </row>
    <row r="839" spans="4:14" ht="18.75" hidden="1" customHeight="1" x14ac:dyDescent="0.35">
      <c r="D839" s="35" t="s">
        <v>53</v>
      </c>
      <c r="E839" s="35" t="s">
        <v>66</v>
      </c>
      <c r="F839" s="36"/>
      <c r="G839" s="36"/>
      <c r="H839" s="36"/>
      <c r="I839" s="36"/>
      <c r="J839" s="36"/>
      <c r="K839" s="36"/>
      <c r="L839" s="36"/>
      <c r="M839" s="185">
        <f>M135</f>
        <v>22646.200000000004</v>
      </c>
      <c r="N839" s="224"/>
    </row>
    <row r="840" spans="4:14" ht="18.75" hidden="1" customHeight="1" x14ac:dyDescent="0.35">
      <c r="D840" s="35" t="s">
        <v>53</v>
      </c>
      <c r="E840" s="35" t="s">
        <v>80</v>
      </c>
      <c r="F840" s="36"/>
      <c r="G840" s="36"/>
      <c r="H840" s="36"/>
      <c r="I840" s="36"/>
      <c r="J840" s="36"/>
      <c r="K840" s="36"/>
      <c r="L840" s="36"/>
      <c r="M840" s="185">
        <f>M144</f>
        <v>71099.521999999997</v>
      </c>
      <c r="N840" s="224"/>
    </row>
    <row r="841" spans="4:14" ht="18.75" hidden="1" customHeight="1" x14ac:dyDescent="0.35">
      <c r="D841" s="35" t="s">
        <v>53</v>
      </c>
      <c r="E841" s="35" t="s">
        <v>101</v>
      </c>
      <c r="F841" s="36"/>
      <c r="G841" s="36"/>
      <c r="H841" s="36"/>
      <c r="I841" s="36"/>
      <c r="J841" s="36"/>
      <c r="K841" s="36"/>
      <c r="L841" s="36"/>
      <c r="M841" s="185">
        <f>M152+M390</f>
        <v>73940.948000000004</v>
      </c>
      <c r="N841" s="224"/>
    </row>
    <row r="842" spans="4:14" ht="18.75" hidden="1" customHeight="1" x14ac:dyDescent="0.35">
      <c r="D842" s="186" t="s">
        <v>53</v>
      </c>
      <c r="E842" s="186" t="s">
        <v>44</v>
      </c>
      <c r="F842" s="36"/>
      <c r="G842" s="36"/>
      <c r="H842" s="36"/>
      <c r="I842" s="36"/>
      <c r="J842" s="36"/>
      <c r="K842" s="36"/>
      <c r="L842" s="36"/>
      <c r="M842" s="187">
        <f>SUBTOTAL(9,M839:M841)</f>
        <v>167686.67000000001</v>
      </c>
      <c r="N842" s="225"/>
    </row>
    <row r="843" spans="4:14" ht="18.75" hidden="1" customHeight="1" x14ac:dyDescent="0.35">
      <c r="D843" s="35"/>
      <c r="E843" s="35"/>
      <c r="F843" s="36"/>
      <c r="G843" s="36"/>
      <c r="H843" s="36"/>
      <c r="I843" s="36"/>
      <c r="J843" s="36"/>
      <c r="K843" s="36"/>
      <c r="L843" s="36"/>
      <c r="M843" s="185"/>
      <c r="N843" s="224"/>
    </row>
    <row r="844" spans="4:14" ht="18.75" hidden="1" customHeight="1" x14ac:dyDescent="0.35">
      <c r="D844" s="35" t="s">
        <v>66</v>
      </c>
      <c r="E844" s="35" t="s">
        <v>38</v>
      </c>
      <c r="F844" s="36"/>
      <c r="G844" s="36"/>
      <c r="H844" s="36"/>
      <c r="I844" s="36"/>
      <c r="J844" s="36"/>
      <c r="K844" s="36"/>
      <c r="L844" s="36"/>
      <c r="M844" s="185">
        <f>M183</f>
        <v>57931.900000000009</v>
      </c>
      <c r="N844" s="224"/>
    </row>
    <row r="845" spans="4:14" ht="18.75" hidden="1" customHeight="1" x14ac:dyDescent="0.35">
      <c r="D845" s="35" t="s">
        <v>66</v>
      </c>
      <c r="E845" s="35" t="s">
        <v>40</v>
      </c>
      <c r="F845" s="36"/>
      <c r="G845" s="36"/>
      <c r="H845" s="36"/>
      <c r="I845" s="36"/>
      <c r="J845" s="36"/>
      <c r="K845" s="36"/>
      <c r="L845" s="36"/>
      <c r="M845" s="185">
        <f>M397</f>
        <v>43223.3</v>
      </c>
      <c r="N845" s="224"/>
    </row>
    <row r="846" spans="4:14" ht="18.75" hidden="1" customHeight="1" x14ac:dyDescent="0.35">
      <c r="D846" s="35" t="s">
        <v>66</v>
      </c>
      <c r="E846" s="35" t="s">
        <v>66</v>
      </c>
      <c r="F846" s="36"/>
      <c r="G846" s="36"/>
      <c r="H846" s="36"/>
      <c r="I846" s="36"/>
      <c r="J846" s="36"/>
      <c r="K846" s="36"/>
      <c r="L846" s="36"/>
      <c r="M846" s="185"/>
      <c r="N846" s="224"/>
    </row>
    <row r="847" spans="4:14" ht="18.75" hidden="1" customHeight="1" x14ac:dyDescent="0.35">
      <c r="D847" s="35" t="s">
        <v>66</v>
      </c>
      <c r="E847" s="35" t="s">
        <v>64</v>
      </c>
      <c r="F847" s="36"/>
      <c r="G847" s="36"/>
      <c r="H847" s="36"/>
      <c r="I847" s="36"/>
      <c r="J847" s="36"/>
      <c r="K847" s="36"/>
      <c r="L847" s="36"/>
      <c r="M847" s="185">
        <f>M193</f>
        <v>3333.7</v>
      </c>
      <c r="N847" s="224"/>
    </row>
    <row r="848" spans="4:14" ht="18.75" hidden="1" customHeight="1" x14ac:dyDescent="0.35">
      <c r="D848" s="186" t="s">
        <v>66</v>
      </c>
      <c r="E848" s="186" t="s">
        <v>44</v>
      </c>
      <c r="F848" s="36"/>
      <c r="G848" s="36"/>
      <c r="H848" s="36"/>
      <c r="I848" s="36"/>
      <c r="J848" s="36"/>
      <c r="K848" s="36"/>
      <c r="L848" s="36"/>
      <c r="M848" s="187">
        <f>SUBTOTAL(9,M844:M847)</f>
        <v>104488.90000000001</v>
      </c>
      <c r="N848" s="225"/>
    </row>
    <row r="849" spans="4:14" ht="18.75" hidden="1" customHeight="1" x14ac:dyDescent="0.35">
      <c r="D849" s="35"/>
      <c r="E849" s="35"/>
      <c r="F849" s="36"/>
      <c r="G849" s="36"/>
      <c r="H849" s="36"/>
      <c r="I849" s="36"/>
      <c r="J849" s="36"/>
      <c r="K849" s="36"/>
      <c r="L849" s="36"/>
      <c r="M849" s="185"/>
      <c r="N849" s="224"/>
    </row>
    <row r="850" spans="4:14" ht="18.75" hidden="1" customHeight="1" x14ac:dyDescent="0.35">
      <c r="D850" s="35" t="s">
        <v>225</v>
      </c>
      <c r="E850" s="35" t="s">
        <v>38</v>
      </c>
      <c r="F850" s="36"/>
      <c r="G850" s="36"/>
      <c r="H850" s="36"/>
      <c r="I850" s="36"/>
      <c r="J850" s="36"/>
      <c r="K850" s="36"/>
      <c r="L850" s="36"/>
      <c r="M850" s="185">
        <f>M454+M404</f>
        <v>419770.2</v>
      </c>
      <c r="N850" s="224"/>
    </row>
    <row r="851" spans="4:14" ht="18.75" hidden="1" customHeight="1" x14ac:dyDescent="0.35">
      <c r="D851" s="35" t="s">
        <v>225</v>
      </c>
      <c r="E851" s="35" t="s">
        <v>40</v>
      </c>
      <c r="F851" s="36"/>
      <c r="G851" s="36"/>
      <c r="H851" s="36"/>
      <c r="I851" s="36"/>
      <c r="J851" s="36"/>
      <c r="K851" s="36"/>
      <c r="L851" s="36"/>
      <c r="M851" s="185">
        <f>M412+M482</f>
        <v>688493.50900000008</v>
      </c>
      <c r="N851" s="224"/>
    </row>
    <row r="852" spans="4:14" ht="18.75" hidden="1" customHeight="1" x14ac:dyDescent="0.35">
      <c r="D852" s="35" t="s">
        <v>225</v>
      </c>
      <c r="E852" s="35" t="s">
        <v>64</v>
      </c>
      <c r="F852" s="36"/>
      <c r="G852" s="36"/>
      <c r="H852" s="36"/>
      <c r="I852" s="36"/>
      <c r="J852" s="36"/>
      <c r="K852" s="36"/>
      <c r="L852" s="36"/>
      <c r="M852" s="185">
        <f>M544+M627</f>
        <v>129988.38500000001</v>
      </c>
      <c r="N852" s="224"/>
    </row>
    <row r="853" spans="4:14" ht="18.75" hidden="1" customHeight="1" x14ac:dyDescent="0.35">
      <c r="D853" s="35" t="s">
        <v>225</v>
      </c>
      <c r="E853" s="35" t="s">
        <v>66</v>
      </c>
      <c r="F853" s="36"/>
      <c r="G853" s="36"/>
      <c r="H853" s="36"/>
      <c r="I853" s="36"/>
      <c r="J853" s="36"/>
      <c r="K853" s="36"/>
      <c r="L853" s="36"/>
      <c r="M853" s="185">
        <f>M204+M307+M418</f>
        <v>282.2</v>
      </c>
      <c r="N853" s="224"/>
    </row>
    <row r="854" spans="4:14" ht="18.75" hidden="1" customHeight="1" x14ac:dyDescent="0.35">
      <c r="D854" s="35" t="s">
        <v>225</v>
      </c>
      <c r="E854" s="35" t="s">
        <v>225</v>
      </c>
      <c r="F854" s="36"/>
      <c r="G854" s="36"/>
      <c r="H854" s="36"/>
      <c r="I854" s="36"/>
      <c r="J854" s="36"/>
      <c r="K854" s="36"/>
      <c r="L854" s="36"/>
      <c r="M854" s="185">
        <f>M769+M637+M569</f>
        <v>12421.9</v>
      </c>
      <c r="N854" s="224"/>
    </row>
    <row r="855" spans="4:14" ht="18.75" hidden="1" customHeight="1" x14ac:dyDescent="0.35">
      <c r="D855" s="35" t="s">
        <v>225</v>
      </c>
      <c r="E855" s="35" t="s">
        <v>80</v>
      </c>
      <c r="F855" s="36"/>
      <c r="G855" s="36"/>
      <c r="H855" s="36"/>
      <c r="I855" s="36"/>
      <c r="J855" s="36"/>
      <c r="K855" s="36"/>
      <c r="L855" s="36"/>
      <c r="M855" s="185">
        <f>M577+M643+M779</f>
        <v>75014.866999999998</v>
      </c>
      <c r="N855" s="224"/>
    </row>
    <row r="856" spans="4:14" ht="18.75" hidden="1" customHeight="1" x14ac:dyDescent="0.35">
      <c r="D856" s="186" t="s">
        <v>225</v>
      </c>
      <c r="E856" s="186" t="s">
        <v>44</v>
      </c>
      <c r="F856" s="36"/>
      <c r="G856" s="36"/>
      <c r="H856" s="36"/>
      <c r="I856" s="36"/>
      <c r="J856" s="36"/>
      <c r="K856" s="36"/>
      <c r="L856" s="36"/>
      <c r="M856" s="187">
        <f>SUBTOTAL(9,M850:M855)</f>
        <v>1325971.061</v>
      </c>
      <c r="N856" s="225"/>
    </row>
    <row r="857" spans="4:14" ht="18.75" hidden="1" customHeight="1" x14ac:dyDescent="0.35">
      <c r="D857" s="35"/>
      <c r="E857" s="35"/>
      <c r="F857" s="36"/>
      <c r="G857" s="36"/>
      <c r="H857" s="36"/>
      <c r="I857" s="36"/>
      <c r="J857" s="36"/>
      <c r="K857" s="36"/>
      <c r="L857" s="36"/>
      <c r="M857" s="185"/>
      <c r="N857" s="224"/>
    </row>
    <row r="858" spans="4:14" ht="18.75" hidden="1" customHeight="1" x14ac:dyDescent="0.35">
      <c r="D858" s="35" t="s">
        <v>227</v>
      </c>
      <c r="E858" s="35" t="s">
        <v>38</v>
      </c>
      <c r="F858" s="36"/>
      <c r="G858" s="36"/>
      <c r="H858" s="36"/>
      <c r="I858" s="36"/>
      <c r="J858" s="36"/>
      <c r="K858" s="36"/>
      <c r="L858" s="36"/>
      <c r="M858" s="185">
        <f>M650</f>
        <v>32469.823</v>
      </c>
      <c r="N858" s="224"/>
    </row>
    <row r="859" spans="4:14" ht="18.75" hidden="1" customHeight="1" x14ac:dyDescent="0.35">
      <c r="D859" s="35" t="s">
        <v>227</v>
      </c>
      <c r="E859" s="35" t="s">
        <v>53</v>
      </c>
      <c r="F859" s="36"/>
      <c r="G859" s="36"/>
      <c r="H859" s="36"/>
      <c r="I859" s="36"/>
      <c r="J859" s="36"/>
      <c r="K859" s="36"/>
      <c r="L859" s="36"/>
      <c r="M859" s="185">
        <f>M678</f>
        <v>12904.777000000002</v>
      </c>
      <c r="N859" s="224"/>
    </row>
    <row r="860" spans="4:14" ht="18.75" hidden="1" customHeight="1" x14ac:dyDescent="0.35">
      <c r="D860" s="186" t="s">
        <v>227</v>
      </c>
      <c r="E860" s="186" t="s">
        <v>44</v>
      </c>
      <c r="F860" s="36"/>
      <c r="G860" s="36"/>
      <c r="H860" s="36"/>
      <c r="I860" s="36"/>
      <c r="J860" s="36"/>
      <c r="K860" s="36"/>
      <c r="L860" s="36"/>
      <c r="M860" s="187">
        <f>SUBTOTAL(9,M858:M859)</f>
        <v>45374.600000000006</v>
      </c>
      <c r="N860" s="225"/>
    </row>
    <row r="861" spans="4:14" ht="18.75" hidden="1" customHeight="1" x14ac:dyDescent="0.35">
      <c r="D861" s="35"/>
      <c r="E861" s="35"/>
      <c r="F861" s="36"/>
      <c r="G861" s="36"/>
      <c r="H861" s="36"/>
      <c r="I861" s="36"/>
      <c r="J861" s="36"/>
      <c r="K861" s="36"/>
      <c r="L861" s="36"/>
      <c r="M861" s="185"/>
      <c r="N861" s="224"/>
    </row>
    <row r="862" spans="4:14" ht="18.75" hidden="1" customHeight="1" x14ac:dyDescent="0.35">
      <c r="D862" s="35" t="s">
        <v>105</v>
      </c>
      <c r="E862" s="35" t="s">
        <v>38</v>
      </c>
      <c r="F862" s="36"/>
      <c r="G862" s="36"/>
      <c r="H862" s="36"/>
      <c r="I862" s="36"/>
      <c r="J862" s="36"/>
      <c r="K862" s="36"/>
      <c r="L862" s="36"/>
      <c r="M862" s="185">
        <f>M211</f>
        <v>901</v>
      </c>
      <c r="N862" s="224"/>
    </row>
    <row r="863" spans="4:14" ht="18.75" hidden="1" customHeight="1" x14ac:dyDescent="0.35">
      <c r="D863" s="35" t="s">
        <v>105</v>
      </c>
      <c r="E863" s="35" t="s">
        <v>64</v>
      </c>
      <c r="F863" s="36"/>
      <c r="G863" s="36"/>
      <c r="H863" s="36"/>
      <c r="I863" s="36"/>
      <c r="J863" s="36"/>
      <c r="K863" s="36"/>
      <c r="L863" s="36"/>
      <c r="M863" s="185"/>
      <c r="N863" s="224"/>
    </row>
    <row r="864" spans="4:14" ht="18.75" hidden="1" customHeight="1" x14ac:dyDescent="0.35">
      <c r="D864" s="35" t="s">
        <v>105</v>
      </c>
      <c r="E864" s="35" t="s">
        <v>53</v>
      </c>
      <c r="F864" s="36"/>
      <c r="G864" s="36"/>
      <c r="H864" s="36"/>
      <c r="I864" s="36"/>
      <c r="J864" s="36"/>
      <c r="K864" s="36"/>
      <c r="L864" s="36"/>
      <c r="M864" s="185">
        <f>M425+M604+M790</f>
        <v>136615.71539999999</v>
      </c>
      <c r="N864" s="224"/>
    </row>
    <row r="865" spans="4:14" ht="18.75" hidden="1" customHeight="1" x14ac:dyDescent="0.35">
      <c r="D865" s="35" t="s">
        <v>105</v>
      </c>
      <c r="E865" s="35" t="s">
        <v>82</v>
      </c>
      <c r="F865" s="36"/>
      <c r="G865" s="36"/>
      <c r="H865" s="36"/>
      <c r="I865" s="36"/>
      <c r="J865" s="36"/>
      <c r="K865" s="36"/>
      <c r="L865" s="36"/>
      <c r="M865" s="185">
        <f>M217+M806</f>
        <v>9817</v>
      </c>
      <c r="N865" s="224"/>
    </row>
    <row r="866" spans="4:14" ht="18.75" hidden="1" customHeight="1" x14ac:dyDescent="0.35">
      <c r="D866" s="186" t="s">
        <v>105</v>
      </c>
      <c r="E866" s="186" t="s">
        <v>44</v>
      </c>
      <c r="F866" s="36"/>
      <c r="G866" s="36"/>
      <c r="H866" s="36"/>
      <c r="I866" s="36"/>
      <c r="J866" s="36"/>
      <c r="K866" s="36"/>
      <c r="L866" s="36"/>
      <c r="M866" s="187">
        <f>SUBTOTAL(9,M862:M865)</f>
        <v>147333.71539999999</v>
      </c>
      <c r="N866" s="225"/>
    </row>
    <row r="867" spans="4:14" ht="18.75" hidden="1" customHeight="1" x14ac:dyDescent="0.35">
      <c r="D867" s="35"/>
      <c r="E867" s="35"/>
      <c r="F867" s="36"/>
      <c r="G867" s="36"/>
      <c r="H867" s="36"/>
      <c r="I867" s="36"/>
      <c r="J867" s="36"/>
      <c r="K867" s="36"/>
      <c r="L867" s="36"/>
      <c r="M867" s="185"/>
      <c r="N867" s="224"/>
    </row>
    <row r="868" spans="4:14" ht="18.75" hidden="1" customHeight="1" x14ac:dyDescent="0.35">
      <c r="D868" s="35" t="s">
        <v>68</v>
      </c>
      <c r="E868" s="35" t="s">
        <v>38</v>
      </c>
      <c r="F868" s="36"/>
      <c r="G868" s="36"/>
      <c r="H868" s="36"/>
      <c r="I868" s="36"/>
      <c r="J868" s="36"/>
      <c r="K868" s="36"/>
      <c r="L868" s="36"/>
      <c r="M868" s="185">
        <f>M706+M432</f>
        <v>44342.7</v>
      </c>
      <c r="N868" s="224"/>
    </row>
    <row r="869" spans="4:14" ht="18.75" hidden="1" customHeight="1" x14ac:dyDescent="0.35">
      <c r="D869" s="35" t="s">
        <v>68</v>
      </c>
      <c r="E869" s="35" t="s">
        <v>40</v>
      </c>
      <c r="F869" s="36"/>
      <c r="G869" s="36"/>
      <c r="H869" s="36"/>
      <c r="I869" s="36"/>
      <c r="J869" s="36"/>
      <c r="K869" s="36"/>
      <c r="L869" s="36"/>
      <c r="M869" s="185">
        <f>M739</f>
        <v>863.90000000000009</v>
      </c>
      <c r="N869" s="224"/>
    </row>
    <row r="870" spans="4:14" ht="18.75" hidden="1" customHeight="1" x14ac:dyDescent="0.35">
      <c r="D870" s="35" t="s">
        <v>68</v>
      </c>
      <c r="E870" s="35" t="s">
        <v>66</v>
      </c>
      <c r="F870" s="36"/>
      <c r="G870" s="36"/>
      <c r="H870" s="36"/>
      <c r="I870" s="36"/>
      <c r="J870" s="36"/>
      <c r="K870" s="36"/>
      <c r="L870" s="36"/>
      <c r="M870" s="185">
        <f>M745</f>
        <v>2858.1</v>
      </c>
      <c r="N870" s="224"/>
    </row>
    <row r="871" spans="4:14" ht="18.75" hidden="1" customHeight="1" x14ac:dyDescent="0.35">
      <c r="D871" s="186" t="s">
        <v>68</v>
      </c>
      <c r="E871" s="186" t="s">
        <v>44</v>
      </c>
      <c r="F871" s="36"/>
      <c r="G871" s="36"/>
      <c r="H871" s="36"/>
      <c r="I871" s="36"/>
      <c r="J871" s="36"/>
      <c r="K871" s="36"/>
      <c r="L871" s="36"/>
      <c r="M871" s="187">
        <f>SUBTOTAL(9,M868:M870)</f>
        <v>48064.7</v>
      </c>
      <c r="N871" s="225"/>
    </row>
    <row r="872" spans="4:14" ht="18.75" hidden="1" customHeight="1" x14ac:dyDescent="0.35">
      <c r="D872" s="35"/>
      <c r="E872" s="35"/>
      <c r="F872" s="36"/>
      <c r="G872" s="36"/>
      <c r="H872" s="36"/>
      <c r="I872" s="36"/>
      <c r="J872" s="36"/>
      <c r="K872" s="36"/>
      <c r="L872" s="36"/>
      <c r="M872" s="185"/>
      <c r="N872" s="224"/>
    </row>
    <row r="873" spans="4:14" ht="18.75" hidden="1" customHeight="1" x14ac:dyDescent="0.35">
      <c r="D873" s="35" t="s">
        <v>72</v>
      </c>
      <c r="E873" s="35" t="s">
        <v>38</v>
      </c>
      <c r="F873" s="36"/>
      <c r="G873" s="36"/>
      <c r="H873" s="36"/>
      <c r="I873" s="36"/>
      <c r="J873" s="36"/>
      <c r="K873" s="36"/>
      <c r="L873" s="36"/>
      <c r="M873" s="185">
        <f>M224</f>
        <v>9.4</v>
      </c>
      <c r="N873" s="224"/>
    </row>
    <row r="874" spans="4:14" ht="18.75" hidden="1" customHeight="1" x14ac:dyDescent="0.35">
      <c r="D874" s="186" t="s">
        <v>72</v>
      </c>
      <c r="E874" s="186" t="s">
        <v>44</v>
      </c>
      <c r="F874" s="36"/>
      <c r="G874" s="36"/>
      <c r="H874" s="36"/>
      <c r="I874" s="36"/>
      <c r="J874" s="36"/>
      <c r="K874" s="36"/>
      <c r="L874" s="36"/>
      <c r="M874" s="187">
        <f>M873</f>
        <v>9.4</v>
      </c>
      <c r="N874" s="225"/>
    </row>
    <row r="875" spans="4:14" ht="18.75" hidden="1" customHeight="1" x14ac:dyDescent="0.35">
      <c r="D875" s="35"/>
      <c r="E875" s="35"/>
      <c r="F875" s="36"/>
      <c r="G875" s="36"/>
      <c r="H875" s="36"/>
      <c r="I875" s="36"/>
      <c r="J875" s="36"/>
      <c r="K875" s="36"/>
      <c r="L875" s="36"/>
      <c r="M875" s="185"/>
      <c r="N875" s="224"/>
    </row>
    <row r="876" spans="4:14" ht="18.75" hidden="1" customHeight="1" x14ac:dyDescent="0.35">
      <c r="D876" s="35" t="s">
        <v>89</v>
      </c>
      <c r="E876" s="35" t="s">
        <v>38</v>
      </c>
      <c r="F876" s="36"/>
      <c r="G876" s="36"/>
      <c r="H876" s="36"/>
      <c r="I876" s="36"/>
      <c r="J876" s="36"/>
      <c r="K876" s="36"/>
      <c r="L876" s="36"/>
      <c r="M876" s="185">
        <f>M314</f>
        <v>7000</v>
      </c>
      <c r="N876" s="224"/>
    </row>
    <row r="877" spans="4:14" ht="18.75" hidden="1" customHeight="1" x14ac:dyDescent="0.35">
      <c r="D877" s="35" t="s">
        <v>89</v>
      </c>
      <c r="E877" s="35" t="s">
        <v>40</v>
      </c>
      <c r="F877" s="36"/>
      <c r="G877" s="36"/>
      <c r="H877" s="36"/>
      <c r="I877" s="36"/>
      <c r="J877" s="36"/>
      <c r="K877" s="36"/>
      <c r="L877" s="36"/>
      <c r="M877" s="185"/>
      <c r="N877" s="224"/>
    </row>
    <row r="878" spans="4:14" ht="18.75" hidden="1" customHeight="1" x14ac:dyDescent="0.35">
      <c r="D878" s="35" t="s">
        <v>89</v>
      </c>
      <c r="E878" s="35" t="s">
        <v>64</v>
      </c>
      <c r="F878" s="36"/>
      <c r="G878" s="36"/>
      <c r="H878" s="36"/>
      <c r="I878" s="36"/>
      <c r="J878" s="36"/>
      <c r="K878" s="36"/>
      <c r="L878" s="36"/>
      <c r="M878" s="185">
        <f>M231+M320</f>
        <v>40838.173999999999</v>
      </c>
      <c r="N878" s="224"/>
    </row>
    <row r="879" spans="4:14" ht="18.75" hidden="1" customHeight="1" x14ac:dyDescent="0.35">
      <c r="D879" s="186" t="s">
        <v>89</v>
      </c>
      <c r="E879" s="186" t="s">
        <v>44</v>
      </c>
      <c r="F879" s="36"/>
      <c r="G879" s="36"/>
      <c r="H879" s="36"/>
      <c r="I879" s="36"/>
      <c r="J879" s="36"/>
      <c r="K879" s="36"/>
      <c r="L879" s="36"/>
      <c r="M879" s="187">
        <f>SUBTOTAL(9,M876:M878)</f>
        <v>47838.173999999999</v>
      </c>
      <c r="N879" s="225"/>
    </row>
    <row r="880" spans="4:14" ht="18.75" hidden="1" customHeight="1" x14ac:dyDescent="0.35">
      <c r="D880" s="92"/>
      <c r="E880" s="35"/>
      <c r="F880" s="36"/>
      <c r="G880" s="36"/>
      <c r="H880" s="36"/>
      <c r="I880" s="36"/>
      <c r="J880" s="36"/>
      <c r="K880" s="36"/>
      <c r="L880" s="36"/>
      <c r="M880" s="336">
        <f>M833+M837+M842+M848+M856+M860+M866+M871+M874+M879</f>
        <v>2117089.4057999998</v>
      </c>
      <c r="N880" s="95"/>
    </row>
    <row r="881" spans="2:14" ht="18.75" hidden="1" customHeight="1" x14ac:dyDescent="0.35">
      <c r="D881" s="93"/>
      <c r="E881" s="93"/>
      <c r="F881" s="41"/>
      <c r="G881" s="41"/>
      <c r="H881" s="41"/>
      <c r="I881" s="41"/>
      <c r="J881" s="41"/>
      <c r="K881" s="41"/>
      <c r="L881" s="41"/>
      <c r="M881" s="94"/>
      <c r="N881" s="95"/>
    </row>
    <row r="882" spans="2:14" ht="18.75" hidden="1" customHeight="1" x14ac:dyDescent="0.35">
      <c r="B882" s="1" t="s">
        <v>374</v>
      </c>
      <c r="D882" s="93"/>
      <c r="E882" s="93"/>
      <c r="F882" s="41"/>
      <c r="G882" s="41"/>
      <c r="H882" s="41"/>
      <c r="I882" s="41"/>
      <c r="J882" s="41"/>
      <c r="K882" s="41"/>
      <c r="L882" s="41"/>
      <c r="M882" s="94"/>
      <c r="N882" s="95"/>
    </row>
    <row r="883" spans="2:14" ht="18.75" hidden="1" customHeight="1" x14ac:dyDescent="0.35">
      <c r="B883" s="1" t="s">
        <v>373</v>
      </c>
      <c r="D883" s="93"/>
      <c r="E883" s="93"/>
      <c r="F883" s="41"/>
      <c r="G883" s="41"/>
      <c r="H883" s="41"/>
      <c r="I883" s="41"/>
      <c r="J883" s="41"/>
      <c r="K883" s="41"/>
      <c r="L883" s="41"/>
      <c r="M883" s="94"/>
      <c r="N883" s="95"/>
    </row>
    <row r="884" spans="2:14" ht="18.75" customHeight="1" x14ac:dyDescent="0.35">
      <c r="D884" s="93"/>
      <c r="E884" s="93"/>
      <c r="F884" s="41"/>
      <c r="G884" s="41"/>
      <c r="H884" s="41"/>
      <c r="I884" s="41"/>
      <c r="J884" s="41"/>
      <c r="K884" s="41"/>
      <c r="L884" s="41"/>
      <c r="M884" s="96"/>
      <c r="N884" s="95"/>
    </row>
    <row r="885" spans="2:14" ht="18.75" customHeight="1" x14ac:dyDescent="0.35">
      <c r="D885" s="93"/>
      <c r="E885" s="93"/>
      <c r="F885" s="41"/>
      <c r="G885" s="41"/>
      <c r="H885" s="41"/>
      <c r="I885" s="41"/>
      <c r="J885" s="41"/>
      <c r="K885" s="41"/>
      <c r="L885" s="41"/>
      <c r="M885" s="97"/>
      <c r="N885" s="95"/>
    </row>
    <row r="886" spans="2:14" ht="15" customHeight="1" x14ac:dyDescent="0.3">
      <c r="D886" s="95"/>
      <c r="E886" s="95"/>
      <c r="F886" s="95"/>
      <c r="G886" s="95"/>
      <c r="H886" s="95"/>
      <c r="I886" s="95"/>
      <c r="J886" s="95"/>
      <c r="K886" s="95"/>
      <c r="L886" s="95"/>
      <c r="M886" s="97"/>
      <c r="N886" s="95"/>
    </row>
    <row r="887" spans="2:14" ht="15" customHeight="1" x14ac:dyDescent="0.3">
      <c r="D887" s="95"/>
      <c r="E887" s="95"/>
      <c r="F887" s="95"/>
      <c r="G887" s="95"/>
      <c r="H887" s="95"/>
      <c r="I887" s="95"/>
      <c r="J887" s="95"/>
      <c r="K887" s="95"/>
      <c r="L887" s="95"/>
      <c r="M887" s="97"/>
      <c r="N887" s="95"/>
    </row>
    <row r="888" spans="2:14" ht="15" customHeight="1" x14ac:dyDescent="0.3">
      <c r="D888" s="95"/>
      <c r="E888" s="95"/>
      <c r="F888" s="95"/>
      <c r="G888" s="95"/>
      <c r="H888" s="95"/>
      <c r="I888" s="95"/>
      <c r="J888" s="95"/>
      <c r="K888" s="95"/>
      <c r="L888" s="95"/>
      <c r="M888" s="97"/>
      <c r="N888" s="95"/>
    </row>
    <row r="889" spans="2:14" ht="15" customHeight="1" x14ac:dyDescent="0.3">
      <c r="D889" s="95"/>
      <c r="E889" s="95"/>
      <c r="F889" s="95"/>
      <c r="G889" s="95"/>
      <c r="H889" s="95"/>
      <c r="I889" s="95"/>
      <c r="J889" s="95"/>
      <c r="K889" s="95"/>
      <c r="L889" s="95"/>
      <c r="M889" s="97"/>
      <c r="N889" s="95"/>
    </row>
    <row r="890" spans="2:14" ht="15" customHeight="1" x14ac:dyDescent="0.3">
      <c r="D890" s="95"/>
      <c r="E890" s="95"/>
      <c r="F890" s="95"/>
      <c r="G890" s="95"/>
      <c r="H890" s="95"/>
      <c r="I890" s="95"/>
      <c r="J890" s="95"/>
      <c r="K890" s="95"/>
      <c r="L890" s="95"/>
      <c r="M890" s="97"/>
      <c r="N890" s="95"/>
    </row>
    <row r="891" spans="2:14" ht="15" customHeight="1" x14ac:dyDescent="0.3">
      <c r="D891" s="95"/>
      <c r="E891" s="95"/>
      <c r="F891" s="95"/>
      <c r="G891" s="95"/>
      <c r="H891" s="95"/>
      <c r="I891" s="95"/>
      <c r="J891" s="95"/>
      <c r="K891" s="95"/>
      <c r="L891" s="95"/>
      <c r="M891" s="97"/>
      <c r="N891" s="95"/>
    </row>
    <row r="892" spans="2:14" ht="15" customHeight="1" x14ac:dyDescent="0.3">
      <c r="D892" s="95"/>
      <c r="E892" s="95"/>
      <c r="F892" s="95"/>
      <c r="G892" s="95"/>
      <c r="H892" s="95"/>
      <c r="I892" s="95"/>
      <c r="J892" s="95"/>
      <c r="K892" s="95"/>
      <c r="L892" s="95"/>
      <c r="M892" s="97"/>
      <c r="N892" s="95"/>
    </row>
    <row r="893" spans="2:14" ht="15" customHeight="1" x14ac:dyDescent="0.3">
      <c r="D893" s="95"/>
      <c r="E893" s="95"/>
      <c r="F893" s="95"/>
      <c r="G893" s="95"/>
      <c r="H893" s="95"/>
      <c r="I893" s="95"/>
      <c r="J893" s="95"/>
      <c r="K893" s="95"/>
      <c r="L893" s="95"/>
      <c r="M893" s="97"/>
      <c r="N893" s="95"/>
    </row>
    <row r="894" spans="2:14" ht="15" customHeight="1" x14ac:dyDescent="0.3">
      <c r="D894" s="95"/>
      <c r="E894" s="95"/>
      <c r="F894" s="95"/>
      <c r="G894" s="95"/>
      <c r="H894" s="95"/>
      <c r="I894" s="95"/>
      <c r="J894" s="95"/>
      <c r="K894" s="95"/>
      <c r="L894" s="95"/>
      <c r="M894" s="97"/>
      <c r="N894" s="95"/>
    </row>
    <row r="895" spans="2:14" ht="15" customHeight="1" x14ac:dyDescent="0.3">
      <c r="D895" s="95"/>
      <c r="E895" s="95"/>
      <c r="F895" s="95"/>
      <c r="G895" s="95"/>
      <c r="H895" s="95"/>
      <c r="I895" s="95"/>
      <c r="J895" s="95"/>
      <c r="K895" s="95"/>
      <c r="L895" s="95"/>
      <c r="M895" s="97"/>
      <c r="N895" s="95"/>
    </row>
    <row r="896" spans="2:14" ht="15" customHeight="1" x14ac:dyDescent="0.3">
      <c r="D896" s="95"/>
      <c r="E896" s="95"/>
      <c r="F896" s="95"/>
      <c r="G896" s="95"/>
      <c r="H896" s="95"/>
      <c r="I896" s="95"/>
      <c r="J896" s="95"/>
      <c r="K896" s="95"/>
      <c r="L896" s="95"/>
      <c r="M896" s="97"/>
      <c r="N896" s="95"/>
    </row>
    <row r="897" spans="4:14" ht="15" customHeight="1" x14ac:dyDescent="0.3">
      <c r="D897" s="95"/>
      <c r="E897" s="95"/>
      <c r="F897" s="95"/>
      <c r="G897" s="95"/>
      <c r="H897" s="95"/>
      <c r="I897" s="95"/>
      <c r="J897" s="95"/>
      <c r="K897" s="95"/>
      <c r="L897" s="95"/>
      <c r="M897" s="97"/>
      <c r="N897" s="95"/>
    </row>
    <row r="898" spans="4:14" ht="15" customHeight="1" x14ac:dyDescent="0.3">
      <c r="D898" s="95"/>
      <c r="E898" s="95"/>
      <c r="F898" s="95"/>
      <c r="G898" s="95"/>
      <c r="H898" s="95"/>
      <c r="I898" s="95"/>
      <c r="J898" s="95"/>
      <c r="K898" s="95"/>
      <c r="L898" s="95"/>
      <c r="M898" s="97"/>
      <c r="N898" s="95"/>
    </row>
    <row r="899" spans="4:14" ht="15" customHeight="1" x14ac:dyDescent="0.3">
      <c r="D899" s="95"/>
      <c r="E899" s="95"/>
      <c r="F899" s="95"/>
      <c r="G899" s="95"/>
      <c r="H899" s="95"/>
      <c r="I899" s="95"/>
      <c r="J899" s="95"/>
      <c r="K899" s="95"/>
      <c r="L899" s="95"/>
      <c r="M899" s="97"/>
      <c r="N899" s="95"/>
    </row>
    <row r="900" spans="4:14" ht="15" customHeight="1" x14ac:dyDescent="0.3">
      <c r="D900" s="95"/>
      <c r="E900" s="95"/>
      <c r="F900" s="95"/>
      <c r="G900" s="95"/>
      <c r="H900" s="95"/>
      <c r="I900" s="95"/>
      <c r="J900" s="95"/>
      <c r="K900" s="95"/>
      <c r="L900" s="95"/>
      <c r="M900" s="97"/>
      <c r="N900" s="95"/>
    </row>
    <row r="901" spans="4:14" ht="15" customHeight="1" x14ac:dyDescent="0.3">
      <c r="D901" s="95"/>
      <c r="E901" s="95"/>
      <c r="F901" s="95"/>
      <c r="G901" s="95"/>
      <c r="H901" s="95"/>
      <c r="I901" s="95"/>
      <c r="J901" s="95"/>
      <c r="K901" s="95"/>
      <c r="L901" s="95"/>
      <c r="M901" s="97"/>
      <c r="N901" s="95"/>
    </row>
    <row r="902" spans="4:14" ht="15" customHeight="1" x14ac:dyDescent="0.3">
      <c r="D902" s="95"/>
      <c r="E902" s="95"/>
      <c r="F902" s="95"/>
      <c r="G902" s="95"/>
      <c r="H902" s="95"/>
      <c r="I902" s="95"/>
      <c r="J902" s="95"/>
      <c r="K902" s="95"/>
      <c r="L902" s="95"/>
      <c r="M902" s="97"/>
      <c r="N902" s="95"/>
    </row>
    <row r="903" spans="4:14" ht="15" customHeight="1" x14ac:dyDescent="0.3">
      <c r="D903" s="95"/>
      <c r="E903" s="95"/>
      <c r="F903" s="95"/>
      <c r="G903" s="95"/>
      <c r="H903" s="95"/>
      <c r="I903" s="95"/>
      <c r="J903" s="95"/>
      <c r="K903" s="95"/>
      <c r="L903" s="95"/>
      <c r="M903" s="97"/>
      <c r="N903" s="95"/>
    </row>
    <row r="904" spans="4:14" ht="15" customHeight="1" x14ac:dyDescent="0.3">
      <c r="D904" s="95"/>
      <c r="E904" s="95"/>
      <c r="F904" s="95"/>
      <c r="G904" s="95"/>
      <c r="H904" s="95"/>
      <c r="I904" s="95"/>
      <c r="J904" s="95"/>
      <c r="K904" s="95"/>
      <c r="L904" s="95"/>
      <c r="M904" s="97"/>
      <c r="N904" s="95"/>
    </row>
    <row r="905" spans="4:14" ht="15" customHeight="1" x14ac:dyDescent="0.3">
      <c r="D905" s="95"/>
      <c r="E905" s="95"/>
      <c r="F905" s="95"/>
      <c r="G905" s="95"/>
      <c r="H905" s="95"/>
      <c r="I905" s="95"/>
      <c r="J905" s="95"/>
      <c r="K905" s="95"/>
      <c r="L905" s="95"/>
      <c r="M905" s="97"/>
      <c r="N905" s="95"/>
    </row>
    <row r="906" spans="4:14" ht="15" customHeight="1" x14ac:dyDescent="0.3">
      <c r="D906" s="95"/>
      <c r="E906" s="95"/>
      <c r="F906" s="95"/>
      <c r="G906" s="95"/>
      <c r="H906" s="95"/>
      <c r="I906" s="95"/>
      <c r="J906" s="95"/>
      <c r="K906" s="95"/>
      <c r="L906" s="95"/>
      <c r="M906" s="97"/>
      <c r="N906" s="95"/>
    </row>
    <row r="907" spans="4:14" ht="15" customHeight="1" x14ac:dyDescent="0.3">
      <c r="D907" s="95"/>
      <c r="E907" s="95"/>
      <c r="F907" s="95"/>
      <c r="G907" s="95"/>
      <c r="H907" s="95"/>
      <c r="I907" s="95"/>
      <c r="J907" s="95"/>
      <c r="K907" s="95"/>
      <c r="L907" s="95"/>
      <c r="M907" s="97"/>
      <c r="N907" s="95"/>
    </row>
    <row r="908" spans="4:14" ht="15" customHeight="1" x14ac:dyDescent="0.3">
      <c r="D908" s="95"/>
      <c r="E908" s="95"/>
      <c r="F908" s="95"/>
      <c r="G908" s="95"/>
      <c r="H908" s="95"/>
      <c r="I908" s="95"/>
      <c r="J908" s="95"/>
      <c r="K908" s="95"/>
      <c r="L908" s="95"/>
      <c r="M908" s="97"/>
      <c r="N908" s="95"/>
    </row>
    <row r="909" spans="4:14" ht="15" customHeight="1" x14ac:dyDescent="0.3">
      <c r="D909" s="95"/>
      <c r="E909" s="95"/>
      <c r="F909" s="95"/>
      <c r="G909" s="95"/>
      <c r="H909" s="95"/>
      <c r="I909" s="95"/>
      <c r="J909" s="95"/>
      <c r="K909" s="95"/>
      <c r="L909" s="95"/>
      <c r="M909" s="97"/>
      <c r="N909" s="95"/>
    </row>
    <row r="910" spans="4:14" ht="15" customHeight="1" x14ac:dyDescent="0.3">
      <c r="D910" s="95"/>
      <c r="E910" s="95"/>
      <c r="F910" s="95"/>
      <c r="G910" s="95"/>
      <c r="H910" s="95"/>
      <c r="I910" s="95"/>
      <c r="J910" s="95"/>
      <c r="K910" s="95"/>
      <c r="L910" s="95"/>
      <c r="M910" s="97"/>
      <c r="N910" s="95"/>
    </row>
    <row r="911" spans="4:14" ht="15" customHeight="1" x14ac:dyDescent="0.3">
      <c r="D911" s="95"/>
      <c r="E911" s="95"/>
      <c r="F911" s="95"/>
      <c r="G911" s="95"/>
      <c r="H911" s="95"/>
      <c r="I911" s="95"/>
      <c r="J911" s="95"/>
      <c r="K911" s="95"/>
      <c r="L911" s="95"/>
      <c r="M911" s="97"/>
      <c r="N911" s="95"/>
    </row>
    <row r="912" spans="4:14" ht="15" customHeight="1" x14ac:dyDescent="0.3">
      <c r="D912" s="95"/>
      <c r="E912" s="95"/>
      <c r="F912" s="95"/>
      <c r="G912" s="95"/>
      <c r="H912" s="95"/>
      <c r="I912" s="95"/>
      <c r="J912" s="95"/>
      <c r="K912" s="95"/>
      <c r="L912" s="95"/>
      <c r="M912" s="97"/>
      <c r="N912" s="95"/>
    </row>
    <row r="913" spans="4:14" ht="15" customHeight="1" x14ac:dyDescent="0.3">
      <c r="D913" s="95"/>
      <c r="E913" s="95"/>
      <c r="F913" s="95"/>
      <c r="G913" s="95"/>
      <c r="H913" s="95"/>
      <c r="I913" s="95"/>
      <c r="J913" s="95"/>
      <c r="K913" s="95"/>
      <c r="L913" s="95"/>
      <c r="M913" s="97"/>
      <c r="N913" s="95"/>
    </row>
    <row r="914" spans="4:14" ht="15" customHeight="1" x14ac:dyDescent="0.3">
      <c r="D914" s="95"/>
      <c r="E914" s="95"/>
      <c r="F914" s="95"/>
      <c r="G914" s="95"/>
      <c r="H914" s="95"/>
      <c r="I914" s="95"/>
      <c r="J914" s="95"/>
      <c r="K914" s="95"/>
      <c r="L914" s="95"/>
      <c r="M914" s="97"/>
      <c r="N914" s="95"/>
    </row>
    <row r="915" spans="4:14" ht="15" customHeight="1" x14ac:dyDescent="0.3">
      <c r="D915" s="95"/>
      <c r="E915" s="95"/>
      <c r="F915" s="95"/>
      <c r="G915" s="95"/>
      <c r="H915" s="95"/>
      <c r="I915" s="95"/>
      <c r="J915" s="95"/>
      <c r="K915" s="95"/>
      <c r="L915" s="95"/>
      <c r="M915" s="97"/>
      <c r="N915" s="95"/>
    </row>
    <row r="916" spans="4:14" ht="15" customHeight="1" x14ac:dyDescent="0.3">
      <c r="D916" s="95"/>
      <c r="E916" s="95"/>
      <c r="F916" s="95"/>
      <c r="G916" s="95"/>
      <c r="H916" s="95"/>
      <c r="I916" s="95"/>
      <c r="J916" s="95"/>
      <c r="K916" s="95"/>
      <c r="L916" s="95"/>
      <c r="M916" s="97"/>
      <c r="N916" s="95"/>
    </row>
    <row r="917" spans="4:14" ht="15" customHeight="1" x14ac:dyDescent="0.3">
      <c r="D917" s="95"/>
      <c r="E917" s="95"/>
      <c r="F917" s="95"/>
      <c r="G917" s="95"/>
      <c r="H917" s="95"/>
      <c r="I917" s="95"/>
      <c r="J917" s="95"/>
      <c r="K917" s="95"/>
      <c r="L917" s="95"/>
      <c r="M917" s="97"/>
      <c r="N917" s="95"/>
    </row>
    <row r="918" spans="4:14" ht="15" customHeight="1" x14ac:dyDescent="0.3">
      <c r="D918" s="95"/>
      <c r="E918" s="95"/>
      <c r="F918" s="95"/>
      <c r="G918" s="95"/>
      <c r="H918" s="95"/>
      <c r="I918" s="95"/>
      <c r="J918" s="95"/>
      <c r="K918" s="95"/>
      <c r="L918" s="95"/>
      <c r="M918" s="97"/>
      <c r="N918" s="95"/>
    </row>
    <row r="919" spans="4:14" ht="15" customHeight="1" x14ac:dyDescent="0.3">
      <c r="D919" s="95"/>
      <c r="E919" s="95"/>
      <c r="F919" s="95"/>
      <c r="G919" s="95"/>
      <c r="H919" s="95"/>
      <c r="I919" s="95"/>
      <c r="J919" s="95"/>
      <c r="K919" s="95"/>
      <c r="L919" s="95"/>
      <c r="M919" s="97"/>
      <c r="N919" s="95"/>
    </row>
    <row r="920" spans="4:14" ht="15" customHeight="1" x14ac:dyDescent="0.3">
      <c r="D920" s="95"/>
      <c r="E920" s="95"/>
      <c r="F920" s="95"/>
      <c r="G920" s="95"/>
      <c r="H920" s="95"/>
      <c r="I920" s="95"/>
      <c r="J920" s="95"/>
      <c r="K920" s="95"/>
      <c r="L920" s="95"/>
      <c r="M920" s="97"/>
      <c r="N920" s="95"/>
    </row>
    <row r="921" spans="4:14" ht="15" customHeight="1" x14ac:dyDescent="0.3">
      <c r="D921" s="95"/>
      <c r="E921" s="95"/>
      <c r="F921" s="95"/>
      <c r="G921" s="95"/>
      <c r="H921" s="95"/>
      <c r="I921" s="95"/>
      <c r="J921" s="95"/>
      <c r="K921" s="95"/>
      <c r="L921" s="95"/>
      <c r="M921" s="97"/>
      <c r="N921" s="95"/>
    </row>
    <row r="922" spans="4:14" ht="15" customHeight="1" x14ac:dyDescent="0.3">
      <c r="D922" s="95"/>
      <c r="E922" s="95"/>
      <c r="F922" s="95"/>
      <c r="G922" s="95"/>
      <c r="H922" s="95"/>
      <c r="I922" s="95"/>
      <c r="J922" s="95"/>
      <c r="K922" s="95"/>
      <c r="L922" s="95"/>
      <c r="M922" s="97"/>
      <c r="N922" s="95"/>
    </row>
    <row r="923" spans="4:14" ht="15" customHeight="1" x14ac:dyDescent="0.3">
      <c r="D923" s="95"/>
      <c r="E923" s="95"/>
      <c r="F923" s="95"/>
      <c r="G923" s="95"/>
      <c r="H923" s="95"/>
      <c r="I923" s="95"/>
      <c r="J923" s="95"/>
      <c r="K923" s="95"/>
      <c r="L923" s="95"/>
      <c r="M923" s="97"/>
      <c r="N923" s="95"/>
    </row>
    <row r="924" spans="4:14" ht="15" customHeight="1" x14ac:dyDescent="0.3">
      <c r="D924" s="95"/>
      <c r="E924" s="95"/>
      <c r="F924" s="95"/>
      <c r="G924" s="95"/>
      <c r="H924" s="95"/>
      <c r="I924" s="95"/>
      <c r="J924" s="95"/>
      <c r="K924" s="95"/>
      <c r="L924" s="95"/>
      <c r="M924" s="97"/>
      <c r="N924" s="95"/>
    </row>
    <row r="925" spans="4:14" ht="15" customHeight="1" x14ac:dyDescent="0.3">
      <c r="D925" s="95"/>
      <c r="E925" s="95"/>
      <c r="F925" s="95"/>
      <c r="G925" s="95"/>
      <c r="H925" s="95"/>
      <c r="I925" s="95"/>
      <c r="J925" s="95"/>
      <c r="K925" s="95"/>
      <c r="L925" s="95"/>
      <c r="M925" s="97"/>
      <c r="N925" s="95"/>
    </row>
    <row r="926" spans="4:14" ht="15" customHeight="1" x14ac:dyDescent="0.3">
      <c r="D926" s="95"/>
      <c r="E926" s="95"/>
      <c r="F926" s="95"/>
      <c r="G926" s="95"/>
      <c r="H926" s="95"/>
      <c r="I926" s="95"/>
      <c r="J926" s="95"/>
      <c r="K926" s="95"/>
      <c r="L926" s="95"/>
      <c r="M926" s="97"/>
      <c r="N926" s="95"/>
    </row>
    <row r="927" spans="4:14" ht="15" customHeight="1" x14ac:dyDescent="0.3">
      <c r="D927" s="95"/>
      <c r="E927" s="95"/>
      <c r="F927" s="95"/>
      <c r="G927" s="95"/>
      <c r="H927" s="95"/>
      <c r="I927" s="95"/>
      <c r="J927" s="95"/>
      <c r="K927" s="95"/>
      <c r="L927" s="95"/>
      <c r="M927" s="97"/>
      <c r="N927" s="95"/>
    </row>
    <row r="928" spans="4:14" ht="15" customHeight="1" x14ac:dyDescent="0.3">
      <c r="D928" s="95"/>
      <c r="E928" s="95"/>
      <c r="F928" s="95"/>
      <c r="G928" s="95"/>
      <c r="H928" s="95"/>
      <c r="I928" s="95"/>
      <c r="J928" s="95"/>
      <c r="K928" s="95"/>
      <c r="L928" s="95"/>
      <c r="M928" s="97"/>
      <c r="N928" s="95"/>
    </row>
    <row r="929" spans="4:14" ht="15" customHeight="1" x14ac:dyDescent="0.3">
      <c r="D929" s="95"/>
      <c r="E929" s="95"/>
      <c r="F929" s="95"/>
      <c r="G929" s="95"/>
      <c r="H929" s="95"/>
      <c r="I929" s="95"/>
      <c r="J929" s="95"/>
      <c r="K929" s="95"/>
      <c r="L929" s="95"/>
      <c r="M929" s="97"/>
      <c r="N929" s="95"/>
    </row>
    <row r="930" spans="4:14" ht="15" customHeight="1" x14ac:dyDescent="0.3">
      <c r="D930" s="95"/>
      <c r="E930" s="95"/>
      <c r="F930" s="95"/>
      <c r="G930" s="95"/>
      <c r="H930" s="95"/>
      <c r="I930" s="95"/>
      <c r="J930" s="95"/>
      <c r="K930" s="95"/>
      <c r="L930" s="95"/>
      <c r="M930" s="97"/>
      <c r="N930" s="95"/>
    </row>
    <row r="931" spans="4:14" ht="15" customHeight="1" x14ac:dyDescent="0.3">
      <c r="D931" s="95"/>
      <c r="E931" s="95"/>
      <c r="F931" s="95"/>
      <c r="G931" s="95"/>
      <c r="H931" s="95"/>
      <c r="I931" s="95"/>
      <c r="J931" s="95"/>
      <c r="K931" s="95"/>
      <c r="L931" s="95"/>
      <c r="M931" s="97"/>
      <c r="N931" s="95"/>
    </row>
    <row r="932" spans="4:14" ht="15" customHeight="1" x14ac:dyDescent="0.3">
      <c r="D932" s="95"/>
      <c r="E932" s="95"/>
      <c r="F932" s="95"/>
      <c r="G932" s="95"/>
      <c r="H932" s="95"/>
      <c r="I932" s="95"/>
      <c r="J932" s="95"/>
      <c r="K932" s="95"/>
      <c r="L932" s="95"/>
      <c r="M932" s="97"/>
      <c r="N932" s="95"/>
    </row>
    <row r="933" spans="4:14" ht="15" customHeight="1" x14ac:dyDescent="0.3">
      <c r="D933" s="95"/>
      <c r="E933" s="95"/>
      <c r="F933" s="95"/>
      <c r="G933" s="95"/>
      <c r="H933" s="95"/>
      <c r="I933" s="95"/>
      <c r="J933" s="95"/>
      <c r="K933" s="95"/>
      <c r="L933" s="95"/>
      <c r="M933" s="97"/>
      <c r="N933" s="95"/>
    </row>
    <row r="934" spans="4:14" ht="15" customHeight="1" x14ac:dyDescent="0.3">
      <c r="D934" s="95"/>
      <c r="E934" s="95"/>
      <c r="F934" s="95"/>
      <c r="G934" s="95"/>
      <c r="H934" s="95"/>
      <c r="I934" s="95"/>
      <c r="J934" s="95"/>
      <c r="K934" s="95"/>
      <c r="L934" s="95"/>
      <c r="M934" s="97"/>
      <c r="N934" s="95"/>
    </row>
  </sheetData>
  <autoFilter ref="A4:M934"/>
  <mergeCells count="11">
    <mergeCell ref="A9:M9"/>
    <mergeCell ref="F14:I14"/>
    <mergeCell ref="A12:A13"/>
    <mergeCell ref="B12:B13"/>
    <mergeCell ref="J12:J13"/>
    <mergeCell ref="F12:I13"/>
    <mergeCell ref="E12:E13"/>
    <mergeCell ref="D12:D13"/>
    <mergeCell ref="C12:C13"/>
    <mergeCell ref="K12:K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2" fitToHeight="0" orientation="portrait" blackAndWhite="1" r:id="rId1"/>
  <headerFooter differentFirst="1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93"/>
  <sheetViews>
    <sheetView zoomScale="80" zoomScaleNormal="80" workbookViewId="0">
      <selection activeCell="N2" sqref="N2"/>
    </sheetView>
  </sheetViews>
  <sheetFormatPr defaultColWidth="8.88671875" defaultRowHeight="14.4" x14ac:dyDescent="0.3"/>
  <cols>
    <col min="1" max="1" width="4.6640625" style="1" customWidth="1"/>
    <col min="2" max="2" width="54.44140625" style="1" customWidth="1"/>
    <col min="3" max="3" width="5.5546875" style="1" customWidth="1"/>
    <col min="4" max="4" width="3.6640625" style="1" customWidth="1"/>
    <col min="5" max="5" width="4" style="1" customWidth="1"/>
    <col min="6" max="6" width="3.33203125" style="1" customWidth="1"/>
    <col min="7" max="7" width="2.44140625" style="1" customWidth="1"/>
    <col min="8" max="8" width="2.6640625" style="1" customWidth="1"/>
    <col min="9" max="9" width="7.6640625" style="1" customWidth="1"/>
    <col min="10" max="10" width="5" style="1" customWidth="1"/>
    <col min="11" max="11" width="15" style="1" hidden="1" customWidth="1"/>
    <col min="12" max="12" width="12.44140625" style="1" customWidth="1"/>
    <col min="13" max="13" width="14.33203125" style="144" customWidth="1"/>
    <col min="14" max="14" width="13.6640625" style="144" customWidth="1"/>
    <col min="15" max="16" width="8.88671875" style="1" customWidth="1"/>
    <col min="17" max="17" width="19.33203125" style="1" customWidth="1"/>
    <col min="18" max="16384" width="8.88671875" style="1"/>
  </cols>
  <sheetData>
    <row r="1" spans="1:14" ht="18" x14ac:dyDescent="0.35">
      <c r="N1" s="192" t="s">
        <v>575</v>
      </c>
    </row>
    <row r="2" spans="1:14" ht="18" x14ac:dyDescent="0.35">
      <c r="N2" s="192" t="s">
        <v>719</v>
      </c>
    </row>
    <row r="4" spans="1:14" ht="18" x14ac:dyDescent="0.35">
      <c r="H4" s="43"/>
      <c r="I4" s="48"/>
      <c r="J4" s="43"/>
      <c r="K4" s="43"/>
      <c r="L4" s="43"/>
      <c r="M4" s="43"/>
      <c r="N4" s="48" t="s">
        <v>577</v>
      </c>
    </row>
    <row r="5" spans="1:14" ht="18.75" customHeight="1" x14ac:dyDescent="0.35">
      <c r="H5" s="43"/>
      <c r="I5" s="48"/>
      <c r="J5" s="43"/>
      <c r="K5" s="43"/>
      <c r="L5" s="43"/>
      <c r="M5" s="43"/>
      <c r="N5" s="48" t="s">
        <v>631</v>
      </c>
    </row>
    <row r="9" spans="1:14" ht="17.399999999999999" customHeight="1" x14ac:dyDescent="0.3">
      <c r="A9" s="696" t="s">
        <v>568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</row>
    <row r="10" spans="1:14" ht="17.399999999999999" customHeight="1" x14ac:dyDescent="0.3">
      <c r="A10" s="650"/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</row>
    <row r="11" spans="1:14" ht="17.399999999999999" customHeight="1" x14ac:dyDescent="0.3">
      <c r="A11" s="650"/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</row>
    <row r="12" spans="1:14" ht="18" x14ac:dyDescent="0.35">
      <c r="A12" s="2"/>
      <c r="B12" s="3"/>
      <c r="C12" s="4"/>
      <c r="D12" s="4"/>
      <c r="E12" s="4"/>
      <c r="F12" s="4"/>
      <c r="G12" s="2"/>
      <c r="H12" s="5"/>
      <c r="I12" s="6"/>
      <c r="J12" s="7"/>
      <c r="K12" s="7"/>
      <c r="L12" s="7"/>
      <c r="N12" s="145" t="s">
        <v>23</v>
      </c>
    </row>
    <row r="13" spans="1:14" ht="18" customHeight="1" x14ac:dyDescent="0.3">
      <c r="A13" s="716" t="s">
        <v>24</v>
      </c>
      <c r="B13" s="717" t="s">
        <v>25</v>
      </c>
      <c r="C13" s="718" t="s">
        <v>26</v>
      </c>
      <c r="D13" s="718" t="s">
        <v>27</v>
      </c>
      <c r="E13" s="718" t="s">
        <v>28</v>
      </c>
      <c r="F13" s="719" t="s">
        <v>29</v>
      </c>
      <c r="G13" s="718"/>
      <c r="H13" s="718"/>
      <c r="I13" s="718"/>
      <c r="J13" s="718" t="s">
        <v>30</v>
      </c>
      <c r="K13" s="724" t="s">
        <v>595</v>
      </c>
      <c r="L13" s="722" t="s">
        <v>484</v>
      </c>
      <c r="M13" s="723"/>
      <c r="N13" s="720" t="s">
        <v>557</v>
      </c>
    </row>
    <row r="14" spans="1:14" ht="35.4" customHeight="1" x14ac:dyDescent="0.35">
      <c r="A14" s="716"/>
      <c r="B14" s="717"/>
      <c r="C14" s="718"/>
      <c r="D14" s="718"/>
      <c r="E14" s="718"/>
      <c r="F14" s="719"/>
      <c r="G14" s="718"/>
      <c r="H14" s="718"/>
      <c r="I14" s="718"/>
      <c r="J14" s="718"/>
      <c r="K14" s="725"/>
      <c r="L14" s="600" t="s">
        <v>637</v>
      </c>
      <c r="M14" s="601" t="s">
        <v>638</v>
      </c>
      <c r="N14" s="721"/>
    </row>
    <row r="15" spans="1:14" ht="18" x14ac:dyDescent="0.35">
      <c r="A15" s="8">
        <v>1</v>
      </c>
      <c r="B15" s="9">
        <v>2</v>
      </c>
      <c r="C15" s="10" t="s">
        <v>31</v>
      </c>
      <c r="D15" s="10" t="s">
        <v>32</v>
      </c>
      <c r="E15" s="10" t="s">
        <v>33</v>
      </c>
      <c r="F15" s="698" t="s">
        <v>34</v>
      </c>
      <c r="G15" s="698"/>
      <c r="H15" s="698"/>
      <c r="I15" s="699"/>
      <c r="J15" s="10" t="s">
        <v>35</v>
      </c>
      <c r="K15" s="39">
        <v>9</v>
      </c>
      <c r="L15" s="10" t="s">
        <v>519</v>
      </c>
      <c r="M15" s="39">
        <v>9</v>
      </c>
      <c r="N15" s="39">
        <v>10</v>
      </c>
    </row>
    <row r="16" spans="1:14" ht="25.2" customHeight="1" x14ac:dyDescent="0.3">
      <c r="A16" s="11">
        <v>1</v>
      </c>
      <c r="B16" s="146" t="s">
        <v>203</v>
      </c>
      <c r="C16" s="13"/>
      <c r="D16" s="14"/>
      <c r="E16" s="14"/>
      <c r="F16" s="16"/>
      <c r="G16" s="16"/>
      <c r="H16" s="16"/>
      <c r="I16" s="17"/>
      <c r="J16" s="14"/>
      <c r="K16" s="139">
        <f>K18+K181+K208+K218+K426+K489+K537+K569+K600+K289</f>
        <v>1736796</v>
      </c>
      <c r="L16" s="139">
        <f>L18+L181+L208+L218+L426+L489+L537+L569+L600+L289</f>
        <v>20056.2</v>
      </c>
      <c r="M16" s="139">
        <f>M18+M181+M208+M218+M426+M489+M537+M569+M600+M289</f>
        <v>1756852.2000000002</v>
      </c>
      <c r="N16" s="139">
        <f>N18+N181+N208+N218+N426+N489+N537+N569+N600+N289</f>
        <v>1599190.6</v>
      </c>
    </row>
    <row r="17" spans="1:14" ht="14.4" customHeight="1" x14ac:dyDescent="0.3">
      <c r="A17" s="11"/>
      <c r="B17" s="12"/>
      <c r="C17" s="13"/>
      <c r="D17" s="14"/>
      <c r="E17" s="14"/>
      <c r="F17" s="16"/>
      <c r="G17" s="16"/>
      <c r="H17" s="16"/>
      <c r="I17" s="17"/>
      <c r="J17" s="14"/>
      <c r="K17" s="139"/>
      <c r="L17" s="139"/>
      <c r="M17" s="139"/>
      <c r="N17" s="139"/>
    </row>
    <row r="18" spans="1:14" s="147" customFormat="1" ht="34.799999999999997" x14ac:dyDescent="0.3">
      <c r="A18" s="142">
        <v>1</v>
      </c>
      <c r="B18" s="18" t="s">
        <v>0</v>
      </c>
      <c r="C18" s="19" t="s">
        <v>1</v>
      </c>
      <c r="D18" s="20"/>
      <c r="E18" s="20"/>
      <c r="F18" s="21"/>
      <c r="G18" s="22"/>
      <c r="H18" s="22"/>
      <c r="I18" s="23"/>
      <c r="J18" s="20"/>
      <c r="K18" s="40">
        <f>K19+K83+K111+K167+K154</f>
        <v>142625.20000000001</v>
      </c>
      <c r="L18" s="40">
        <f>L19+L83+L111+L167+L154</f>
        <v>20118.7</v>
      </c>
      <c r="M18" s="40">
        <f>M19+M83+M111+M167+M154</f>
        <v>162743.9</v>
      </c>
      <c r="N18" s="40">
        <f>N19+N83+N111+N167+N154</f>
        <v>133526.1</v>
      </c>
    </row>
    <row r="19" spans="1:14" s="148" customFormat="1" ht="18" x14ac:dyDescent="0.35">
      <c r="A19" s="11"/>
      <c r="B19" s="24" t="s">
        <v>37</v>
      </c>
      <c r="C19" s="25" t="s">
        <v>1</v>
      </c>
      <c r="D19" s="10" t="s">
        <v>38</v>
      </c>
      <c r="E19" s="10"/>
      <c r="F19" s="651"/>
      <c r="G19" s="652"/>
      <c r="H19" s="652"/>
      <c r="I19" s="653"/>
      <c r="J19" s="10"/>
      <c r="K19" s="26">
        <f>K20+K26+K55+K49+K60</f>
        <v>62505.799999999996</v>
      </c>
      <c r="L19" s="26">
        <f>L20+L26+L55+L49+L60</f>
        <v>-2235.5</v>
      </c>
      <c r="M19" s="26">
        <f>M20+M26+M55+M49+M60</f>
        <v>60270.299999999996</v>
      </c>
      <c r="N19" s="26">
        <f>N20+N26+N55+N49+N60</f>
        <v>88753.9</v>
      </c>
    </row>
    <row r="20" spans="1:14" s="143" customFormat="1" ht="54" x14ac:dyDescent="0.35">
      <c r="A20" s="11"/>
      <c r="B20" s="24" t="s">
        <v>39</v>
      </c>
      <c r="C20" s="25" t="s">
        <v>1</v>
      </c>
      <c r="D20" s="10" t="s">
        <v>38</v>
      </c>
      <c r="E20" s="10" t="s">
        <v>40</v>
      </c>
      <c r="F20" s="651"/>
      <c r="G20" s="652"/>
      <c r="H20" s="652"/>
      <c r="I20" s="653"/>
      <c r="J20" s="10"/>
      <c r="K20" s="26">
        <f t="shared" ref="K20:N24" si="0">K21</f>
        <v>2128.5</v>
      </c>
      <c r="L20" s="26">
        <f t="shared" si="0"/>
        <v>0</v>
      </c>
      <c r="M20" s="26">
        <f t="shared" si="0"/>
        <v>2128.5</v>
      </c>
      <c r="N20" s="26">
        <f t="shared" si="0"/>
        <v>2128.5</v>
      </c>
    </row>
    <row r="21" spans="1:14" s="143" customFormat="1" ht="59.25" customHeight="1" x14ac:dyDescent="0.35">
      <c r="A21" s="11"/>
      <c r="B21" s="24" t="s">
        <v>41</v>
      </c>
      <c r="C21" s="25" t="s">
        <v>1</v>
      </c>
      <c r="D21" s="10" t="s">
        <v>38</v>
      </c>
      <c r="E21" s="10" t="s">
        <v>40</v>
      </c>
      <c r="F21" s="651" t="s">
        <v>42</v>
      </c>
      <c r="G21" s="652" t="s">
        <v>43</v>
      </c>
      <c r="H21" s="652" t="s">
        <v>44</v>
      </c>
      <c r="I21" s="653" t="s">
        <v>45</v>
      </c>
      <c r="J21" s="10"/>
      <c r="K21" s="26">
        <f t="shared" si="0"/>
        <v>2128.5</v>
      </c>
      <c r="L21" s="26">
        <f t="shared" si="0"/>
        <v>0</v>
      </c>
      <c r="M21" s="26">
        <f t="shared" si="0"/>
        <v>2128.5</v>
      </c>
      <c r="N21" s="26">
        <f t="shared" si="0"/>
        <v>2128.5</v>
      </c>
    </row>
    <row r="22" spans="1:14" s="143" customFormat="1" ht="36" x14ac:dyDescent="0.35">
      <c r="A22" s="11"/>
      <c r="B22" s="24" t="s">
        <v>343</v>
      </c>
      <c r="C22" s="25" t="s">
        <v>1</v>
      </c>
      <c r="D22" s="10" t="s">
        <v>38</v>
      </c>
      <c r="E22" s="10" t="s">
        <v>40</v>
      </c>
      <c r="F22" s="651" t="s">
        <v>42</v>
      </c>
      <c r="G22" s="652" t="s">
        <v>46</v>
      </c>
      <c r="H22" s="652" t="s">
        <v>44</v>
      </c>
      <c r="I22" s="653" t="s">
        <v>45</v>
      </c>
      <c r="J22" s="10"/>
      <c r="K22" s="26">
        <f t="shared" si="0"/>
        <v>2128.5</v>
      </c>
      <c r="L22" s="26">
        <f t="shared" si="0"/>
        <v>0</v>
      </c>
      <c r="M22" s="26">
        <f t="shared" si="0"/>
        <v>2128.5</v>
      </c>
      <c r="N22" s="26">
        <f t="shared" si="0"/>
        <v>2128.5</v>
      </c>
    </row>
    <row r="23" spans="1:14" s="143" customFormat="1" ht="54" x14ac:dyDescent="0.35">
      <c r="A23" s="11"/>
      <c r="B23" s="24" t="s">
        <v>47</v>
      </c>
      <c r="C23" s="25" t="s">
        <v>1</v>
      </c>
      <c r="D23" s="10" t="s">
        <v>38</v>
      </c>
      <c r="E23" s="10" t="s">
        <v>40</v>
      </c>
      <c r="F23" s="651" t="s">
        <v>42</v>
      </c>
      <c r="G23" s="652" t="s">
        <v>46</v>
      </c>
      <c r="H23" s="652" t="s">
        <v>38</v>
      </c>
      <c r="I23" s="653" t="s">
        <v>45</v>
      </c>
      <c r="J23" s="10"/>
      <c r="K23" s="26">
        <f t="shared" si="0"/>
        <v>2128.5</v>
      </c>
      <c r="L23" s="26">
        <f t="shared" si="0"/>
        <v>0</v>
      </c>
      <c r="M23" s="26">
        <f t="shared" si="0"/>
        <v>2128.5</v>
      </c>
      <c r="N23" s="26">
        <f t="shared" si="0"/>
        <v>2128.5</v>
      </c>
    </row>
    <row r="24" spans="1:14" s="143" customFormat="1" ht="36" x14ac:dyDescent="0.35">
      <c r="A24" s="11"/>
      <c r="B24" s="24" t="s">
        <v>48</v>
      </c>
      <c r="C24" s="25" t="s">
        <v>1</v>
      </c>
      <c r="D24" s="10" t="s">
        <v>38</v>
      </c>
      <c r="E24" s="10" t="s">
        <v>40</v>
      </c>
      <c r="F24" s="651" t="s">
        <v>42</v>
      </c>
      <c r="G24" s="652" t="s">
        <v>46</v>
      </c>
      <c r="H24" s="652" t="s">
        <v>38</v>
      </c>
      <c r="I24" s="653" t="s">
        <v>49</v>
      </c>
      <c r="J24" s="10"/>
      <c r="K24" s="26">
        <f t="shared" si="0"/>
        <v>2128.5</v>
      </c>
      <c r="L24" s="26">
        <f t="shared" si="0"/>
        <v>0</v>
      </c>
      <c r="M24" s="26">
        <f t="shared" si="0"/>
        <v>2128.5</v>
      </c>
      <c r="N24" s="26">
        <f t="shared" si="0"/>
        <v>2128.5</v>
      </c>
    </row>
    <row r="25" spans="1:14" s="143" customFormat="1" ht="108" x14ac:dyDescent="0.35">
      <c r="A25" s="11"/>
      <c r="B25" s="24" t="s">
        <v>50</v>
      </c>
      <c r="C25" s="25" t="s">
        <v>1</v>
      </c>
      <c r="D25" s="10" t="s">
        <v>38</v>
      </c>
      <c r="E25" s="10" t="s">
        <v>40</v>
      </c>
      <c r="F25" s="651" t="s">
        <v>42</v>
      </c>
      <c r="G25" s="652" t="s">
        <v>46</v>
      </c>
      <c r="H25" s="652" t="s">
        <v>38</v>
      </c>
      <c r="I25" s="653" t="s">
        <v>49</v>
      </c>
      <c r="J25" s="10" t="s">
        <v>51</v>
      </c>
      <c r="K25" s="26">
        <v>2128.5</v>
      </c>
      <c r="L25" s="26">
        <f>M25-K25</f>
        <v>0</v>
      </c>
      <c r="M25" s="26">
        <v>2128.5</v>
      </c>
      <c r="N25" s="26">
        <v>2128.5</v>
      </c>
    </row>
    <row r="26" spans="1:14" s="148" customFormat="1" ht="77.25" customHeight="1" x14ac:dyDescent="0.35">
      <c r="A26" s="11"/>
      <c r="B26" s="24" t="s">
        <v>52</v>
      </c>
      <c r="C26" s="25" t="s">
        <v>1</v>
      </c>
      <c r="D26" s="10" t="s">
        <v>38</v>
      </c>
      <c r="E26" s="10" t="s">
        <v>53</v>
      </c>
      <c r="F26" s="651"/>
      <c r="G26" s="652"/>
      <c r="H26" s="652"/>
      <c r="I26" s="653"/>
      <c r="J26" s="10"/>
      <c r="K26" s="26">
        <f t="shared" ref="K26:N27" si="1">K27</f>
        <v>50609.5</v>
      </c>
      <c r="L26" s="26">
        <f t="shared" si="1"/>
        <v>-2235.5</v>
      </c>
      <c r="M26" s="26">
        <f t="shared" si="1"/>
        <v>48374</v>
      </c>
      <c r="N26" s="26">
        <f t="shared" si="1"/>
        <v>76860.799999999988</v>
      </c>
    </row>
    <row r="27" spans="1:14" s="148" customFormat="1" ht="54" x14ac:dyDescent="0.35">
      <c r="A27" s="11"/>
      <c r="B27" s="24" t="s">
        <v>54</v>
      </c>
      <c r="C27" s="25" t="s">
        <v>1</v>
      </c>
      <c r="D27" s="10" t="s">
        <v>38</v>
      </c>
      <c r="E27" s="10" t="s">
        <v>53</v>
      </c>
      <c r="F27" s="651" t="s">
        <v>42</v>
      </c>
      <c r="G27" s="652" t="s">
        <v>43</v>
      </c>
      <c r="H27" s="652" t="s">
        <v>44</v>
      </c>
      <c r="I27" s="653" t="s">
        <v>45</v>
      </c>
      <c r="J27" s="10"/>
      <c r="K27" s="26">
        <f t="shared" si="1"/>
        <v>50609.5</v>
      </c>
      <c r="L27" s="26">
        <f t="shared" si="1"/>
        <v>-2235.5</v>
      </c>
      <c r="M27" s="26">
        <f t="shared" si="1"/>
        <v>48374</v>
      </c>
      <c r="N27" s="26">
        <f t="shared" si="1"/>
        <v>76860.799999999988</v>
      </c>
    </row>
    <row r="28" spans="1:14" s="7" customFormat="1" ht="36" x14ac:dyDescent="0.35">
      <c r="A28" s="11"/>
      <c r="B28" s="24" t="s">
        <v>343</v>
      </c>
      <c r="C28" s="25" t="s">
        <v>1</v>
      </c>
      <c r="D28" s="10" t="s">
        <v>38</v>
      </c>
      <c r="E28" s="10" t="s">
        <v>53</v>
      </c>
      <c r="F28" s="651" t="s">
        <v>42</v>
      </c>
      <c r="G28" s="652" t="s">
        <v>46</v>
      </c>
      <c r="H28" s="652" t="s">
        <v>44</v>
      </c>
      <c r="I28" s="653" t="s">
        <v>45</v>
      </c>
      <c r="J28" s="10"/>
      <c r="K28" s="26">
        <f>K29+K46</f>
        <v>50609.5</v>
      </c>
      <c r="L28" s="26">
        <f>L29+L46</f>
        <v>-2235.5</v>
      </c>
      <c r="M28" s="26">
        <f>M29+M46</f>
        <v>48374</v>
      </c>
      <c r="N28" s="26">
        <f>N29+N46</f>
        <v>76860.799999999988</v>
      </c>
    </row>
    <row r="29" spans="1:14" s="7" customFormat="1" ht="36" x14ac:dyDescent="0.35">
      <c r="A29" s="11"/>
      <c r="B29" s="24" t="s">
        <v>55</v>
      </c>
      <c r="C29" s="25" t="s">
        <v>1</v>
      </c>
      <c r="D29" s="10" t="s">
        <v>38</v>
      </c>
      <c r="E29" s="10" t="s">
        <v>53</v>
      </c>
      <c r="F29" s="651" t="s">
        <v>42</v>
      </c>
      <c r="G29" s="652" t="s">
        <v>46</v>
      </c>
      <c r="H29" s="652" t="s">
        <v>40</v>
      </c>
      <c r="I29" s="653" t="s">
        <v>45</v>
      </c>
      <c r="J29" s="10"/>
      <c r="K29" s="26">
        <f>K30+K36+K38+K34+K41+K43</f>
        <v>50482.1</v>
      </c>
      <c r="L29" s="26">
        <f>L30+L36+L38+L34+L41+L43</f>
        <v>-2235.5</v>
      </c>
      <c r="M29" s="26">
        <f>M30+M36+M38+M34+M41+M43</f>
        <v>48246.6</v>
      </c>
      <c r="N29" s="26">
        <f>N30+N36+N38+N34+N41+N43</f>
        <v>76776.399999999994</v>
      </c>
    </row>
    <row r="30" spans="1:14" s="143" customFormat="1" ht="36" x14ac:dyDescent="0.35">
      <c r="A30" s="11"/>
      <c r="B30" s="24" t="s">
        <v>48</v>
      </c>
      <c r="C30" s="25" t="s">
        <v>1</v>
      </c>
      <c r="D30" s="10" t="s">
        <v>38</v>
      </c>
      <c r="E30" s="10" t="s">
        <v>53</v>
      </c>
      <c r="F30" s="651" t="s">
        <v>42</v>
      </c>
      <c r="G30" s="652" t="s">
        <v>46</v>
      </c>
      <c r="H30" s="652" t="s">
        <v>40</v>
      </c>
      <c r="I30" s="653" t="s">
        <v>49</v>
      </c>
      <c r="J30" s="10"/>
      <c r="K30" s="26">
        <f>K31+K32+K33</f>
        <v>44985.5</v>
      </c>
      <c r="L30" s="26">
        <f>L31+L32+L33</f>
        <v>-2235.5</v>
      </c>
      <c r="M30" s="26">
        <f>M31+M32+M33</f>
        <v>42750</v>
      </c>
      <c r="N30" s="26">
        <f>N31+N32+N33</f>
        <v>71279.799999999988</v>
      </c>
    </row>
    <row r="31" spans="1:14" s="143" customFormat="1" ht="108" x14ac:dyDescent="0.35">
      <c r="A31" s="11"/>
      <c r="B31" s="24" t="s">
        <v>50</v>
      </c>
      <c r="C31" s="25" t="s">
        <v>1</v>
      </c>
      <c r="D31" s="10" t="s">
        <v>38</v>
      </c>
      <c r="E31" s="10" t="s">
        <v>53</v>
      </c>
      <c r="F31" s="651" t="s">
        <v>42</v>
      </c>
      <c r="G31" s="652" t="s">
        <v>46</v>
      </c>
      <c r="H31" s="652" t="s">
        <v>40</v>
      </c>
      <c r="I31" s="653" t="s">
        <v>49</v>
      </c>
      <c r="J31" s="10" t="s">
        <v>51</v>
      </c>
      <c r="K31" s="26">
        <f>62000+168.5+3209.7-26210.5</f>
        <v>39167.699999999997</v>
      </c>
      <c r="L31" s="26">
        <f>M31-K31</f>
        <v>-2235.5</v>
      </c>
      <c r="M31" s="26">
        <f>62000+168.5+3209.7-26210.5-2235.5</f>
        <v>36932.199999999997</v>
      </c>
      <c r="N31" s="26">
        <f>62000+168.5+3209.7</f>
        <v>65378.2</v>
      </c>
    </row>
    <row r="32" spans="1:14" s="7" customFormat="1" ht="54" x14ac:dyDescent="0.35">
      <c r="A32" s="11"/>
      <c r="B32" s="24" t="s">
        <v>56</v>
      </c>
      <c r="C32" s="25" t="s">
        <v>1</v>
      </c>
      <c r="D32" s="10" t="s">
        <v>38</v>
      </c>
      <c r="E32" s="10" t="s">
        <v>53</v>
      </c>
      <c r="F32" s="651" t="s">
        <v>42</v>
      </c>
      <c r="G32" s="652" t="s">
        <v>46</v>
      </c>
      <c r="H32" s="652" t="s">
        <v>40</v>
      </c>
      <c r="I32" s="653" t="s">
        <v>49</v>
      </c>
      <c r="J32" s="10" t="s">
        <v>57</v>
      </c>
      <c r="K32" s="26">
        <f>6097.2-380.3</f>
        <v>5716.9</v>
      </c>
      <c r="L32" s="26">
        <f>M32-K32</f>
        <v>0</v>
      </c>
      <c r="M32" s="26">
        <f>6097.2-380.3</f>
        <v>5716.9</v>
      </c>
      <c r="N32" s="26">
        <f>6181-380.3</f>
        <v>5800.7</v>
      </c>
    </row>
    <row r="33" spans="1:14" s="143" customFormat="1" ht="18" x14ac:dyDescent="0.35">
      <c r="A33" s="11"/>
      <c r="B33" s="24" t="s">
        <v>58</v>
      </c>
      <c r="C33" s="25" t="s">
        <v>1</v>
      </c>
      <c r="D33" s="10" t="s">
        <v>38</v>
      </c>
      <c r="E33" s="10" t="s">
        <v>53</v>
      </c>
      <c r="F33" s="651" t="s">
        <v>42</v>
      </c>
      <c r="G33" s="652" t="s">
        <v>46</v>
      </c>
      <c r="H33" s="652" t="s">
        <v>40</v>
      </c>
      <c r="I33" s="653" t="s">
        <v>49</v>
      </c>
      <c r="J33" s="10" t="s">
        <v>59</v>
      </c>
      <c r="K33" s="26">
        <v>100.9</v>
      </c>
      <c r="L33" s="26">
        <f>M33-K33</f>
        <v>0</v>
      </c>
      <c r="M33" s="26">
        <v>100.9</v>
      </c>
      <c r="N33" s="26">
        <v>100.9</v>
      </c>
    </row>
    <row r="34" spans="1:14" s="148" customFormat="1" ht="94.5" customHeight="1" x14ac:dyDescent="0.35">
      <c r="A34" s="11"/>
      <c r="B34" s="24" t="s">
        <v>468</v>
      </c>
      <c r="C34" s="25" t="s">
        <v>1</v>
      </c>
      <c r="D34" s="10" t="s">
        <v>38</v>
      </c>
      <c r="E34" s="10" t="s">
        <v>53</v>
      </c>
      <c r="F34" s="651" t="s">
        <v>42</v>
      </c>
      <c r="G34" s="652" t="s">
        <v>46</v>
      </c>
      <c r="H34" s="652" t="s">
        <v>40</v>
      </c>
      <c r="I34" s="653" t="s">
        <v>266</v>
      </c>
      <c r="J34" s="10"/>
      <c r="K34" s="26">
        <f>K35</f>
        <v>63</v>
      </c>
      <c r="L34" s="26">
        <f>L35</f>
        <v>0</v>
      </c>
      <c r="M34" s="26">
        <f>M35</f>
        <v>63</v>
      </c>
      <c r="N34" s="26">
        <f>N35</f>
        <v>63</v>
      </c>
    </row>
    <row r="35" spans="1:14" s="148" customFormat="1" ht="54" x14ac:dyDescent="0.35">
      <c r="A35" s="11"/>
      <c r="B35" s="24" t="s">
        <v>56</v>
      </c>
      <c r="C35" s="25" t="s">
        <v>1</v>
      </c>
      <c r="D35" s="10" t="s">
        <v>38</v>
      </c>
      <c r="E35" s="10" t="s">
        <v>53</v>
      </c>
      <c r="F35" s="651" t="s">
        <v>42</v>
      </c>
      <c r="G35" s="652" t="s">
        <v>46</v>
      </c>
      <c r="H35" s="652" t="s">
        <v>40</v>
      </c>
      <c r="I35" s="653" t="s">
        <v>266</v>
      </c>
      <c r="J35" s="10" t="s">
        <v>57</v>
      </c>
      <c r="K35" s="26">
        <v>63</v>
      </c>
      <c r="L35" s="26">
        <f>M35-K35</f>
        <v>0</v>
      </c>
      <c r="M35" s="26">
        <v>63</v>
      </c>
      <c r="N35" s="26">
        <v>63</v>
      </c>
    </row>
    <row r="36" spans="1:14" s="148" customFormat="1" ht="198" x14ac:dyDescent="0.35">
      <c r="A36" s="11"/>
      <c r="B36" s="44" t="s">
        <v>476</v>
      </c>
      <c r="C36" s="25" t="s">
        <v>1</v>
      </c>
      <c r="D36" s="10" t="s">
        <v>38</v>
      </c>
      <c r="E36" s="10" t="s">
        <v>53</v>
      </c>
      <c r="F36" s="651" t="s">
        <v>42</v>
      </c>
      <c r="G36" s="652" t="s">
        <v>46</v>
      </c>
      <c r="H36" s="652" t="s">
        <v>40</v>
      </c>
      <c r="I36" s="653" t="s">
        <v>60</v>
      </c>
      <c r="J36" s="10"/>
      <c r="K36" s="26">
        <f>K37</f>
        <v>723.4</v>
      </c>
      <c r="L36" s="26">
        <f>L37</f>
        <v>0</v>
      </c>
      <c r="M36" s="26">
        <f>M37</f>
        <v>723.4</v>
      </c>
      <c r="N36" s="26">
        <f>N37</f>
        <v>723.4</v>
      </c>
    </row>
    <row r="37" spans="1:14" s="148" customFormat="1" ht="108" x14ac:dyDescent="0.35">
      <c r="A37" s="11"/>
      <c r="B37" s="24" t="s">
        <v>50</v>
      </c>
      <c r="C37" s="25" t="s">
        <v>1</v>
      </c>
      <c r="D37" s="10" t="s">
        <v>38</v>
      </c>
      <c r="E37" s="10" t="s">
        <v>53</v>
      </c>
      <c r="F37" s="651" t="s">
        <v>42</v>
      </c>
      <c r="G37" s="652" t="s">
        <v>46</v>
      </c>
      <c r="H37" s="652" t="s">
        <v>40</v>
      </c>
      <c r="I37" s="653" t="s">
        <v>60</v>
      </c>
      <c r="J37" s="10" t="s">
        <v>51</v>
      </c>
      <c r="K37" s="26">
        <f>661.9+61.5</f>
        <v>723.4</v>
      </c>
      <c r="L37" s="26">
        <f>M37-K37</f>
        <v>0</v>
      </c>
      <c r="M37" s="26">
        <f>661.9+61.5</f>
        <v>723.4</v>
      </c>
      <c r="N37" s="26">
        <f>661.9+61.5</f>
        <v>723.4</v>
      </c>
    </row>
    <row r="38" spans="1:14" s="148" customFormat="1" ht="72" x14ac:dyDescent="0.35">
      <c r="A38" s="11"/>
      <c r="B38" s="24" t="s">
        <v>429</v>
      </c>
      <c r="C38" s="25" t="s">
        <v>1</v>
      </c>
      <c r="D38" s="10" t="s">
        <v>38</v>
      </c>
      <c r="E38" s="10" t="s">
        <v>53</v>
      </c>
      <c r="F38" s="651" t="s">
        <v>42</v>
      </c>
      <c r="G38" s="652" t="s">
        <v>46</v>
      </c>
      <c r="H38" s="652" t="s">
        <v>40</v>
      </c>
      <c r="I38" s="653" t="s">
        <v>62</v>
      </c>
      <c r="J38" s="10"/>
      <c r="K38" s="26">
        <f>K39+K40</f>
        <v>723.59999999999991</v>
      </c>
      <c r="L38" s="26">
        <f>L39+L40</f>
        <v>0</v>
      </c>
      <c r="M38" s="26">
        <f>M39+M40</f>
        <v>723.59999999999991</v>
      </c>
      <c r="N38" s="26">
        <f>N39+N40</f>
        <v>723.59999999999991</v>
      </c>
    </row>
    <row r="39" spans="1:14" s="148" customFormat="1" ht="108" x14ac:dyDescent="0.35">
      <c r="A39" s="11"/>
      <c r="B39" s="24" t="s">
        <v>50</v>
      </c>
      <c r="C39" s="25" t="s">
        <v>1</v>
      </c>
      <c r="D39" s="10" t="s">
        <v>38</v>
      </c>
      <c r="E39" s="10" t="s">
        <v>53</v>
      </c>
      <c r="F39" s="651" t="s">
        <v>42</v>
      </c>
      <c r="G39" s="652" t="s">
        <v>46</v>
      </c>
      <c r="H39" s="652" t="s">
        <v>40</v>
      </c>
      <c r="I39" s="653" t="s">
        <v>62</v>
      </c>
      <c r="J39" s="10" t="s">
        <v>51</v>
      </c>
      <c r="K39" s="26">
        <f>657.8+61.4</f>
        <v>719.19999999999993</v>
      </c>
      <c r="L39" s="26">
        <f>M39-K39</f>
        <v>0</v>
      </c>
      <c r="M39" s="26">
        <f>657.8+61.4</f>
        <v>719.19999999999993</v>
      </c>
      <c r="N39" s="26">
        <f>657.8+61.4</f>
        <v>719.19999999999993</v>
      </c>
    </row>
    <row r="40" spans="1:14" s="148" customFormat="1" ht="54" x14ac:dyDescent="0.35">
      <c r="A40" s="11"/>
      <c r="B40" s="24" t="s">
        <v>56</v>
      </c>
      <c r="C40" s="25" t="s">
        <v>1</v>
      </c>
      <c r="D40" s="10" t="s">
        <v>38</v>
      </c>
      <c r="E40" s="10" t="s">
        <v>53</v>
      </c>
      <c r="F40" s="651" t="s">
        <v>42</v>
      </c>
      <c r="G40" s="652" t="s">
        <v>46</v>
      </c>
      <c r="H40" s="652" t="s">
        <v>40</v>
      </c>
      <c r="I40" s="653" t="s">
        <v>62</v>
      </c>
      <c r="J40" s="10" t="s">
        <v>57</v>
      </c>
      <c r="K40" s="26">
        <v>4.4000000000000004</v>
      </c>
      <c r="L40" s="26">
        <f>M40-K40</f>
        <v>0</v>
      </c>
      <c r="M40" s="26">
        <v>4.4000000000000004</v>
      </c>
      <c r="N40" s="26">
        <v>4.4000000000000004</v>
      </c>
    </row>
    <row r="41" spans="1:14" s="148" customFormat="1" ht="180" x14ac:dyDescent="0.35">
      <c r="A41" s="11"/>
      <c r="B41" s="44" t="s">
        <v>383</v>
      </c>
      <c r="C41" s="25" t="s">
        <v>1</v>
      </c>
      <c r="D41" s="10" t="s">
        <v>38</v>
      </c>
      <c r="E41" s="10" t="s">
        <v>53</v>
      </c>
      <c r="F41" s="651" t="s">
        <v>42</v>
      </c>
      <c r="G41" s="652" t="s">
        <v>46</v>
      </c>
      <c r="H41" s="652" t="s">
        <v>40</v>
      </c>
      <c r="I41" s="653" t="s">
        <v>382</v>
      </c>
      <c r="J41" s="10"/>
      <c r="K41" s="26">
        <f>K42</f>
        <v>63</v>
      </c>
      <c r="L41" s="26">
        <f>L42</f>
        <v>0</v>
      </c>
      <c r="M41" s="26">
        <f>M42</f>
        <v>63</v>
      </c>
      <c r="N41" s="26">
        <f>N42</f>
        <v>63</v>
      </c>
    </row>
    <row r="42" spans="1:14" s="148" customFormat="1" ht="54" x14ac:dyDescent="0.35">
      <c r="A42" s="11"/>
      <c r="B42" s="24" t="s">
        <v>56</v>
      </c>
      <c r="C42" s="25" t="s">
        <v>1</v>
      </c>
      <c r="D42" s="10" t="s">
        <v>38</v>
      </c>
      <c r="E42" s="10" t="s">
        <v>53</v>
      </c>
      <c r="F42" s="651" t="s">
        <v>42</v>
      </c>
      <c r="G42" s="652" t="s">
        <v>46</v>
      </c>
      <c r="H42" s="652" t="s">
        <v>40</v>
      </c>
      <c r="I42" s="653" t="s">
        <v>382</v>
      </c>
      <c r="J42" s="10" t="s">
        <v>57</v>
      </c>
      <c r="K42" s="26">
        <f>63</f>
        <v>63</v>
      </c>
      <c r="L42" s="26">
        <f>M42-K42</f>
        <v>0</v>
      </c>
      <c r="M42" s="26">
        <f>63</f>
        <v>63</v>
      </c>
      <c r="N42" s="26">
        <f>63</f>
        <v>63</v>
      </c>
    </row>
    <row r="43" spans="1:14" s="148" customFormat="1" ht="72" x14ac:dyDescent="0.35">
      <c r="A43" s="11"/>
      <c r="B43" s="24" t="s">
        <v>61</v>
      </c>
      <c r="C43" s="25" t="s">
        <v>1</v>
      </c>
      <c r="D43" s="10" t="s">
        <v>38</v>
      </c>
      <c r="E43" s="10" t="s">
        <v>53</v>
      </c>
      <c r="F43" s="651" t="s">
        <v>42</v>
      </c>
      <c r="G43" s="652" t="s">
        <v>46</v>
      </c>
      <c r="H43" s="652" t="s">
        <v>40</v>
      </c>
      <c r="I43" s="653" t="s">
        <v>611</v>
      </c>
      <c r="J43" s="10"/>
      <c r="K43" s="26">
        <f>SUM(K44:K45)</f>
        <v>3923.6</v>
      </c>
      <c r="L43" s="26">
        <f>SUM(L44:L45)</f>
        <v>0</v>
      </c>
      <c r="M43" s="26">
        <f>SUM(M44:M45)</f>
        <v>3923.6</v>
      </c>
      <c r="N43" s="26">
        <f>SUM(N44:N45)</f>
        <v>3923.6</v>
      </c>
    </row>
    <row r="44" spans="1:14" s="148" customFormat="1" ht="108" x14ac:dyDescent="0.35">
      <c r="A44" s="11"/>
      <c r="B44" s="24" t="s">
        <v>50</v>
      </c>
      <c r="C44" s="25" t="s">
        <v>1</v>
      </c>
      <c r="D44" s="10" t="s">
        <v>38</v>
      </c>
      <c r="E44" s="10" t="s">
        <v>53</v>
      </c>
      <c r="F44" s="651" t="s">
        <v>42</v>
      </c>
      <c r="G44" s="652" t="s">
        <v>46</v>
      </c>
      <c r="H44" s="652" t="s">
        <v>40</v>
      </c>
      <c r="I44" s="653" t="s">
        <v>611</v>
      </c>
      <c r="J44" s="10" t="s">
        <v>51</v>
      </c>
      <c r="K44" s="26">
        <f>3387.6+344.4</f>
        <v>3732</v>
      </c>
      <c r="L44" s="26">
        <f>M44-K44</f>
        <v>0</v>
      </c>
      <c r="M44" s="26">
        <f>3387.6+344.4</f>
        <v>3732</v>
      </c>
      <c r="N44" s="26">
        <f>3387.6+344.4</f>
        <v>3732</v>
      </c>
    </row>
    <row r="45" spans="1:14" s="148" customFormat="1" ht="54" x14ac:dyDescent="0.35">
      <c r="A45" s="11"/>
      <c r="B45" s="24" t="s">
        <v>56</v>
      </c>
      <c r="C45" s="25" t="s">
        <v>1</v>
      </c>
      <c r="D45" s="10" t="s">
        <v>38</v>
      </c>
      <c r="E45" s="10" t="s">
        <v>53</v>
      </c>
      <c r="F45" s="651" t="s">
        <v>42</v>
      </c>
      <c r="G45" s="652" t="s">
        <v>46</v>
      </c>
      <c r="H45" s="652" t="s">
        <v>40</v>
      </c>
      <c r="I45" s="653" t="s">
        <v>611</v>
      </c>
      <c r="J45" s="10" t="s">
        <v>57</v>
      </c>
      <c r="K45" s="26">
        <f>191.6</f>
        <v>191.6</v>
      </c>
      <c r="L45" s="26">
        <f>M45-K45</f>
        <v>0</v>
      </c>
      <c r="M45" s="26">
        <f>191.6</f>
        <v>191.6</v>
      </c>
      <c r="N45" s="26">
        <f>191.6</f>
        <v>191.6</v>
      </c>
    </row>
    <row r="46" spans="1:14" s="7" customFormat="1" ht="18" x14ac:dyDescent="0.35">
      <c r="A46" s="11"/>
      <c r="B46" s="24" t="s">
        <v>63</v>
      </c>
      <c r="C46" s="25" t="s">
        <v>1</v>
      </c>
      <c r="D46" s="10" t="s">
        <v>38</v>
      </c>
      <c r="E46" s="10" t="s">
        <v>53</v>
      </c>
      <c r="F46" s="651" t="s">
        <v>42</v>
      </c>
      <c r="G46" s="652" t="s">
        <v>46</v>
      </c>
      <c r="H46" s="652" t="s">
        <v>64</v>
      </c>
      <c r="I46" s="653" t="s">
        <v>45</v>
      </c>
      <c r="J46" s="10"/>
      <c r="K46" s="26">
        <f t="shared" ref="K46:N47" si="2">K47</f>
        <v>127.4</v>
      </c>
      <c r="L46" s="26">
        <f t="shared" si="2"/>
        <v>0</v>
      </c>
      <c r="M46" s="26">
        <f t="shared" si="2"/>
        <v>127.4</v>
      </c>
      <c r="N46" s="26">
        <f t="shared" si="2"/>
        <v>84.4</v>
      </c>
    </row>
    <row r="47" spans="1:14" s="143" customFormat="1" ht="36" x14ac:dyDescent="0.35">
      <c r="A47" s="11"/>
      <c r="B47" s="24" t="s">
        <v>48</v>
      </c>
      <c r="C47" s="25" t="s">
        <v>1</v>
      </c>
      <c r="D47" s="10" t="s">
        <v>38</v>
      </c>
      <c r="E47" s="10" t="s">
        <v>53</v>
      </c>
      <c r="F47" s="651" t="s">
        <v>42</v>
      </c>
      <c r="G47" s="652" t="s">
        <v>46</v>
      </c>
      <c r="H47" s="652" t="s">
        <v>64</v>
      </c>
      <c r="I47" s="653" t="s">
        <v>49</v>
      </c>
      <c r="J47" s="10"/>
      <c r="K47" s="26">
        <f t="shared" si="2"/>
        <v>127.4</v>
      </c>
      <c r="L47" s="26">
        <f t="shared" si="2"/>
        <v>0</v>
      </c>
      <c r="M47" s="26">
        <f t="shared" si="2"/>
        <v>127.4</v>
      </c>
      <c r="N47" s="26">
        <f t="shared" si="2"/>
        <v>84.4</v>
      </c>
    </row>
    <row r="48" spans="1:14" s="7" customFormat="1" ht="54" x14ac:dyDescent="0.35">
      <c r="A48" s="11"/>
      <c r="B48" s="24" t="s">
        <v>56</v>
      </c>
      <c r="C48" s="25" t="s">
        <v>1</v>
      </c>
      <c r="D48" s="10" t="s">
        <v>38</v>
      </c>
      <c r="E48" s="10" t="s">
        <v>53</v>
      </c>
      <c r="F48" s="651" t="s">
        <v>42</v>
      </c>
      <c r="G48" s="652" t="s">
        <v>46</v>
      </c>
      <c r="H48" s="652" t="s">
        <v>64</v>
      </c>
      <c r="I48" s="653" t="s">
        <v>49</v>
      </c>
      <c r="J48" s="10" t="s">
        <v>57</v>
      </c>
      <c r="K48" s="26">
        <v>127.4</v>
      </c>
      <c r="L48" s="26">
        <f>M48-K48</f>
        <v>0</v>
      </c>
      <c r="M48" s="26">
        <v>127.4</v>
      </c>
      <c r="N48" s="26">
        <f>127.4-43</f>
        <v>84.4</v>
      </c>
    </row>
    <row r="49" spans="1:14" s="7" customFormat="1" ht="18" x14ac:dyDescent="0.35">
      <c r="A49" s="11"/>
      <c r="B49" s="24" t="s">
        <v>403</v>
      </c>
      <c r="C49" s="25" t="s">
        <v>1</v>
      </c>
      <c r="D49" s="10" t="s">
        <v>38</v>
      </c>
      <c r="E49" s="10" t="s">
        <v>66</v>
      </c>
      <c r="F49" s="651"/>
      <c r="G49" s="652"/>
      <c r="H49" s="652"/>
      <c r="I49" s="653"/>
      <c r="J49" s="10"/>
      <c r="K49" s="26">
        <f t="shared" ref="K49:N53" si="3">K50</f>
        <v>24.700000000000003</v>
      </c>
      <c r="L49" s="26">
        <f t="shared" si="3"/>
        <v>0</v>
      </c>
      <c r="M49" s="26">
        <f t="shared" si="3"/>
        <v>24.700000000000003</v>
      </c>
      <c r="N49" s="26">
        <f t="shared" si="3"/>
        <v>21.5</v>
      </c>
    </row>
    <row r="50" spans="1:14" s="7" customFormat="1" ht="58.5" customHeight="1" x14ac:dyDescent="0.35">
      <c r="A50" s="11"/>
      <c r="B50" s="24" t="s">
        <v>54</v>
      </c>
      <c r="C50" s="25" t="s">
        <v>1</v>
      </c>
      <c r="D50" s="10" t="s">
        <v>38</v>
      </c>
      <c r="E50" s="10" t="s">
        <v>66</v>
      </c>
      <c r="F50" s="651" t="s">
        <v>42</v>
      </c>
      <c r="G50" s="652" t="s">
        <v>43</v>
      </c>
      <c r="H50" s="652" t="s">
        <v>44</v>
      </c>
      <c r="I50" s="653" t="s">
        <v>45</v>
      </c>
      <c r="J50" s="10"/>
      <c r="K50" s="26">
        <f t="shared" si="3"/>
        <v>24.700000000000003</v>
      </c>
      <c r="L50" s="26">
        <f t="shared" si="3"/>
        <v>0</v>
      </c>
      <c r="M50" s="26">
        <f t="shared" si="3"/>
        <v>24.700000000000003</v>
      </c>
      <c r="N50" s="26">
        <f t="shared" si="3"/>
        <v>21.5</v>
      </c>
    </row>
    <row r="51" spans="1:14" s="7" customFormat="1" ht="36" x14ac:dyDescent="0.35">
      <c r="A51" s="11"/>
      <c r="B51" s="24" t="s">
        <v>343</v>
      </c>
      <c r="C51" s="25" t="s">
        <v>1</v>
      </c>
      <c r="D51" s="10" t="s">
        <v>38</v>
      </c>
      <c r="E51" s="10" t="s">
        <v>66</v>
      </c>
      <c r="F51" s="651" t="s">
        <v>42</v>
      </c>
      <c r="G51" s="652" t="s">
        <v>46</v>
      </c>
      <c r="H51" s="652" t="s">
        <v>44</v>
      </c>
      <c r="I51" s="653" t="s">
        <v>45</v>
      </c>
      <c r="J51" s="10"/>
      <c r="K51" s="26">
        <f t="shared" si="3"/>
        <v>24.700000000000003</v>
      </c>
      <c r="L51" s="26">
        <f t="shared" si="3"/>
        <v>0</v>
      </c>
      <c r="M51" s="26">
        <f t="shared" si="3"/>
        <v>24.700000000000003</v>
      </c>
      <c r="N51" s="26">
        <f t="shared" si="3"/>
        <v>21.5</v>
      </c>
    </row>
    <row r="52" spans="1:14" s="7" customFormat="1" ht="36" x14ac:dyDescent="0.35">
      <c r="A52" s="11"/>
      <c r="B52" s="24" t="s">
        <v>55</v>
      </c>
      <c r="C52" s="25" t="s">
        <v>1</v>
      </c>
      <c r="D52" s="10" t="s">
        <v>38</v>
      </c>
      <c r="E52" s="10" t="s">
        <v>66</v>
      </c>
      <c r="F52" s="651" t="s">
        <v>42</v>
      </c>
      <c r="G52" s="652" t="s">
        <v>46</v>
      </c>
      <c r="H52" s="652" t="s">
        <v>40</v>
      </c>
      <c r="I52" s="653" t="s">
        <v>45</v>
      </c>
      <c r="J52" s="10"/>
      <c r="K52" s="26">
        <f t="shared" si="3"/>
        <v>24.700000000000003</v>
      </c>
      <c r="L52" s="26">
        <f t="shared" si="3"/>
        <v>0</v>
      </c>
      <c r="M52" s="26">
        <f t="shared" si="3"/>
        <v>24.700000000000003</v>
      </c>
      <c r="N52" s="26">
        <f t="shared" si="3"/>
        <v>21.5</v>
      </c>
    </row>
    <row r="53" spans="1:14" s="7" customFormat="1" ht="76.5" customHeight="1" x14ac:dyDescent="0.35">
      <c r="A53" s="11"/>
      <c r="B53" s="24" t="s">
        <v>405</v>
      </c>
      <c r="C53" s="25" t="s">
        <v>1</v>
      </c>
      <c r="D53" s="10" t="s">
        <v>38</v>
      </c>
      <c r="E53" s="10" t="s">
        <v>66</v>
      </c>
      <c r="F53" s="651" t="s">
        <v>42</v>
      </c>
      <c r="G53" s="652" t="s">
        <v>46</v>
      </c>
      <c r="H53" s="652" t="s">
        <v>40</v>
      </c>
      <c r="I53" s="653" t="s">
        <v>404</v>
      </c>
      <c r="J53" s="10"/>
      <c r="K53" s="26">
        <f t="shared" si="3"/>
        <v>24.700000000000003</v>
      </c>
      <c r="L53" s="26">
        <f t="shared" si="3"/>
        <v>0</v>
      </c>
      <c r="M53" s="26">
        <f t="shared" si="3"/>
        <v>24.700000000000003</v>
      </c>
      <c r="N53" s="26">
        <f t="shared" si="3"/>
        <v>21.5</v>
      </c>
    </row>
    <row r="54" spans="1:14" s="7" customFormat="1" ht="54" x14ac:dyDescent="0.35">
      <c r="A54" s="11"/>
      <c r="B54" s="24" t="s">
        <v>56</v>
      </c>
      <c r="C54" s="25" t="s">
        <v>1</v>
      </c>
      <c r="D54" s="10" t="s">
        <v>38</v>
      </c>
      <c r="E54" s="10" t="s">
        <v>66</v>
      </c>
      <c r="F54" s="651" t="s">
        <v>42</v>
      </c>
      <c r="G54" s="652" t="s">
        <v>46</v>
      </c>
      <c r="H54" s="652" t="s">
        <v>40</v>
      </c>
      <c r="I54" s="653" t="s">
        <v>404</v>
      </c>
      <c r="J54" s="10" t="s">
        <v>57</v>
      </c>
      <c r="K54" s="26">
        <f>6.1+18.6</f>
        <v>24.700000000000003</v>
      </c>
      <c r="L54" s="26">
        <f>M54-K54</f>
        <v>0</v>
      </c>
      <c r="M54" s="26">
        <f>6.1+18.6</f>
        <v>24.700000000000003</v>
      </c>
      <c r="N54" s="26">
        <f>6.1+15.4</f>
        <v>21.5</v>
      </c>
    </row>
    <row r="55" spans="1:14" s="143" customFormat="1" ht="18" x14ac:dyDescent="0.35">
      <c r="A55" s="11"/>
      <c r="B55" s="24" t="s">
        <v>67</v>
      </c>
      <c r="C55" s="25" t="s">
        <v>1</v>
      </c>
      <c r="D55" s="10" t="s">
        <v>38</v>
      </c>
      <c r="E55" s="10" t="s">
        <v>68</v>
      </c>
      <c r="F55" s="651"/>
      <c r="G55" s="652"/>
      <c r="H55" s="652"/>
      <c r="I55" s="653"/>
      <c r="J55" s="10"/>
      <c r="K55" s="26">
        <f t="shared" ref="K55:N58" si="4">K56</f>
        <v>5000</v>
      </c>
      <c r="L55" s="26">
        <f t="shared" si="4"/>
        <v>0</v>
      </c>
      <c r="M55" s="26">
        <f t="shared" si="4"/>
        <v>5000</v>
      </c>
      <c r="N55" s="26">
        <f t="shared" si="4"/>
        <v>5000</v>
      </c>
    </row>
    <row r="56" spans="1:14" s="143" customFormat="1" ht="36" x14ac:dyDescent="0.35">
      <c r="A56" s="11"/>
      <c r="B56" s="24" t="s">
        <v>470</v>
      </c>
      <c r="C56" s="25" t="s">
        <v>1</v>
      </c>
      <c r="D56" s="10" t="s">
        <v>38</v>
      </c>
      <c r="E56" s="10" t="s">
        <v>68</v>
      </c>
      <c r="F56" s="651" t="s">
        <v>69</v>
      </c>
      <c r="G56" s="652" t="s">
        <v>43</v>
      </c>
      <c r="H56" s="652" t="s">
        <v>44</v>
      </c>
      <c r="I56" s="653" t="s">
        <v>45</v>
      </c>
      <c r="J56" s="10"/>
      <c r="K56" s="26">
        <f t="shared" si="4"/>
        <v>5000</v>
      </c>
      <c r="L56" s="26">
        <f t="shared" si="4"/>
        <v>0</v>
      </c>
      <c r="M56" s="26">
        <f t="shared" si="4"/>
        <v>5000</v>
      </c>
      <c r="N56" s="26">
        <f t="shared" si="4"/>
        <v>5000</v>
      </c>
    </row>
    <row r="57" spans="1:14" s="143" customFormat="1" ht="18" x14ac:dyDescent="0.35">
      <c r="A57" s="11"/>
      <c r="B57" s="27" t="s">
        <v>471</v>
      </c>
      <c r="C57" s="25" t="s">
        <v>1</v>
      </c>
      <c r="D57" s="10" t="s">
        <v>38</v>
      </c>
      <c r="E57" s="10" t="s">
        <v>68</v>
      </c>
      <c r="F57" s="651" t="s">
        <v>69</v>
      </c>
      <c r="G57" s="652" t="s">
        <v>46</v>
      </c>
      <c r="H57" s="652" t="s">
        <v>44</v>
      </c>
      <c r="I57" s="653" t="s">
        <v>45</v>
      </c>
      <c r="J57" s="10"/>
      <c r="K57" s="26">
        <f>K58</f>
        <v>5000</v>
      </c>
      <c r="L57" s="26">
        <f>L58</f>
        <v>0</v>
      </c>
      <c r="M57" s="26">
        <f>M58</f>
        <v>5000</v>
      </c>
      <c r="N57" s="26">
        <f>N58</f>
        <v>5000</v>
      </c>
    </row>
    <row r="58" spans="1:14" s="143" customFormat="1" ht="36" x14ac:dyDescent="0.35">
      <c r="A58" s="11"/>
      <c r="B58" s="24" t="s">
        <v>469</v>
      </c>
      <c r="C58" s="25" t="s">
        <v>1</v>
      </c>
      <c r="D58" s="10" t="s">
        <v>38</v>
      </c>
      <c r="E58" s="10" t="s">
        <v>68</v>
      </c>
      <c r="F58" s="651" t="s">
        <v>69</v>
      </c>
      <c r="G58" s="652" t="s">
        <v>46</v>
      </c>
      <c r="H58" s="652" t="s">
        <v>44</v>
      </c>
      <c r="I58" s="653" t="s">
        <v>70</v>
      </c>
      <c r="J58" s="10"/>
      <c r="K58" s="26">
        <f t="shared" si="4"/>
        <v>5000</v>
      </c>
      <c r="L58" s="26">
        <f t="shared" si="4"/>
        <v>0</v>
      </c>
      <c r="M58" s="26">
        <f t="shared" si="4"/>
        <v>5000</v>
      </c>
      <c r="N58" s="26">
        <f t="shared" si="4"/>
        <v>5000</v>
      </c>
    </row>
    <row r="59" spans="1:14" s="143" customFormat="1" ht="18" x14ac:dyDescent="0.35">
      <c r="A59" s="11"/>
      <c r="B59" s="24" t="s">
        <v>58</v>
      </c>
      <c r="C59" s="25" t="s">
        <v>1</v>
      </c>
      <c r="D59" s="10" t="s">
        <v>38</v>
      </c>
      <c r="E59" s="10" t="s">
        <v>68</v>
      </c>
      <c r="F59" s="651" t="s">
        <v>69</v>
      </c>
      <c r="G59" s="652" t="s">
        <v>46</v>
      </c>
      <c r="H59" s="652" t="s">
        <v>44</v>
      </c>
      <c r="I59" s="653" t="s">
        <v>70</v>
      </c>
      <c r="J59" s="10" t="s">
        <v>59</v>
      </c>
      <c r="K59" s="26">
        <v>5000</v>
      </c>
      <c r="L59" s="26">
        <f>M59-K59</f>
        <v>0</v>
      </c>
      <c r="M59" s="26">
        <v>5000</v>
      </c>
      <c r="N59" s="26">
        <v>5000</v>
      </c>
    </row>
    <row r="60" spans="1:14" s="143" customFormat="1" ht="18" x14ac:dyDescent="0.35">
      <c r="A60" s="11"/>
      <c r="B60" s="24" t="s">
        <v>71</v>
      </c>
      <c r="C60" s="25" t="s">
        <v>1</v>
      </c>
      <c r="D60" s="10" t="s">
        <v>38</v>
      </c>
      <c r="E60" s="10" t="s">
        <v>72</v>
      </c>
      <c r="F60" s="651"/>
      <c r="G60" s="652"/>
      <c r="H60" s="652"/>
      <c r="I60" s="653"/>
      <c r="J60" s="10"/>
      <c r="K60" s="26">
        <f>K66+K61</f>
        <v>4743.1000000000004</v>
      </c>
      <c r="L60" s="26">
        <f>L66+L61</f>
        <v>0</v>
      </c>
      <c r="M60" s="26">
        <f>M66+M61</f>
        <v>4743.1000000000004</v>
      </c>
      <c r="N60" s="26">
        <f>N66+N61</f>
        <v>4743.1000000000004</v>
      </c>
    </row>
    <row r="61" spans="1:14" s="143" customFormat="1" ht="72" x14ac:dyDescent="0.35">
      <c r="A61" s="11"/>
      <c r="B61" s="24" t="s">
        <v>73</v>
      </c>
      <c r="C61" s="25" t="s">
        <v>1</v>
      </c>
      <c r="D61" s="10" t="s">
        <v>38</v>
      </c>
      <c r="E61" s="10" t="s">
        <v>72</v>
      </c>
      <c r="F61" s="651" t="s">
        <v>74</v>
      </c>
      <c r="G61" s="652" t="s">
        <v>43</v>
      </c>
      <c r="H61" s="652" t="s">
        <v>44</v>
      </c>
      <c r="I61" s="653" t="s">
        <v>45</v>
      </c>
      <c r="J61" s="10"/>
      <c r="K61" s="26">
        <f t="shared" ref="K61:N64" si="5">K62</f>
        <v>303.60000000000002</v>
      </c>
      <c r="L61" s="26">
        <f t="shared" si="5"/>
        <v>0</v>
      </c>
      <c r="M61" s="26">
        <f t="shared" si="5"/>
        <v>303.60000000000002</v>
      </c>
      <c r="N61" s="26">
        <f t="shared" si="5"/>
        <v>303.60000000000002</v>
      </c>
    </row>
    <row r="62" spans="1:14" s="143" customFormat="1" ht="36" x14ac:dyDescent="0.35">
      <c r="A62" s="11"/>
      <c r="B62" s="24" t="s">
        <v>343</v>
      </c>
      <c r="C62" s="25" t="s">
        <v>1</v>
      </c>
      <c r="D62" s="10" t="s">
        <v>38</v>
      </c>
      <c r="E62" s="10" t="s">
        <v>72</v>
      </c>
      <c r="F62" s="651" t="s">
        <v>74</v>
      </c>
      <c r="G62" s="652" t="s">
        <v>46</v>
      </c>
      <c r="H62" s="652" t="s">
        <v>44</v>
      </c>
      <c r="I62" s="653" t="s">
        <v>45</v>
      </c>
      <c r="J62" s="10"/>
      <c r="K62" s="26">
        <f t="shared" si="5"/>
        <v>303.60000000000002</v>
      </c>
      <c r="L62" s="26">
        <f t="shared" si="5"/>
        <v>0</v>
      </c>
      <c r="M62" s="26">
        <f t="shared" si="5"/>
        <v>303.60000000000002</v>
      </c>
      <c r="N62" s="26">
        <f t="shared" si="5"/>
        <v>303.60000000000002</v>
      </c>
    </row>
    <row r="63" spans="1:14" s="143" customFormat="1" ht="54" x14ac:dyDescent="0.35">
      <c r="A63" s="11"/>
      <c r="B63" s="27" t="s">
        <v>267</v>
      </c>
      <c r="C63" s="25" t="s">
        <v>1</v>
      </c>
      <c r="D63" s="10" t="s">
        <v>38</v>
      </c>
      <c r="E63" s="10" t="s">
        <v>72</v>
      </c>
      <c r="F63" s="651" t="s">
        <v>74</v>
      </c>
      <c r="G63" s="652" t="s">
        <v>46</v>
      </c>
      <c r="H63" s="652" t="s">
        <v>38</v>
      </c>
      <c r="I63" s="653" t="s">
        <v>45</v>
      </c>
      <c r="J63" s="10"/>
      <c r="K63" s="26">
        <f t="shared" si="5"/>
        <v>303.60000000000002</v>
      </c>
      <c r="L63" s="26">
        <f t="shared" si="5"/>
        <v>0</v>
      </c>
      <c r="M63" s="26">
        <f t="shared" si="5"/>
        <v>303.60000000000002</v>
      </c>
      <c r="N63" s="26">
        <f t="shared" si="5"/>
        <v>303.60000000000002</v>
      </c>
    </row>
    <row r="64" spans="1:14" s="143" customFormat="1" ht="54" x14ac:dyDescent="0.35">
      <c r="A64" s="11"/>
      <c r="B64" s="27" t="s">
        <v>75</v>
      </c>
      <c r="C64" s="25" t="s">
        <v>1</v>
      </c>
      <c r="D64" s="10" t="s">
        <v>38</v>
      </c>
      <c r="E64" s="10" t="s">
        <v>72</v>
      </c>
      <c r="F64" s="651" t="s">
        <v>74</v>
      </c>
      <c r="G64" s="652" t="s">
        <v>46</v>
      </c>
      <c r="H64" s="652" t="s">
        <v>38</v>
      </c>
      <c r="I64" s="653" t="s">
        <v>76</v>
      </c>
      <c r="J64" s="10"/>
      <c r="K64" s="26">
        <f t="shared" si="5"/>
        <v>303.60000000000002</v>
      </c>
      <c r="L64" s="26">
        <f t="shared" si="5"/>
        <v>0</v>
      </c>
      <c r="M64" s="26">
        <f t="shared" si="5"/>
        <v>303.60000000000002</v>
      </c>
      <c r="N64" s="26">
        <f t="shared" si="5"/>
        <v>303.60000000000002</v>
      </c>
    </row>
    <row r="65" spans="1:14" s="143" customFormat="1" ht="54" x14ac:dyDescent="0.35">
      <c r="A65" s="11"/>
      <c r="B65" s="28" t="s">
        <v>77</v>
      </c>
      <c r="C65" s="25" t="s">
        <v>1</v>
      </c>
      <c r="D65" s="10" t="s">
        <v>38</v>
      </c>
      <c r="E65" s="10" t="s">
        <v>72</v>
      </c>
      <c r="F65" s="651" t="s">
        <v>74</v>
      </c>
      <c r="G65" s="652" t="s">
        <v>46</v>
      </c>
      <c r="H65" s="652" t="s">
        <v>38</v>
      </c>
      <c r="I65" s="653" t="s">
        <v>76</v>
      </c>
      <c r="J65" s="10" t="s">
        <v>78</v>
      </c>
      <c r="K65" s="26">
        <v>303.60000000000002</v>
      </c>
      <c r="L65" s="26">
        <f>M65-K65</f>
        <v>0</v>
      </c>
      <c r="M65" s="26">
        <v>303.60000000000002</v>
      </c>
      <c r="N65" s="26">
        <v>303.60000000000002</v>
      </c>
    </row>
    <row r="66" spans="1:14" s="143" customFormat="1" ht="54" x14ac:dyDescent="0.35">
      <c r="A66" s="11"/>
      <c r="B66" s="24" t="s">
        <v>41</v>
      </c>
      <c r="C66" s="25" t="s">
        <v>1</v>
      </c>
      <c r="D66" s="10" t="s">
        <v>38</v>
      </c>
      <c r="E66" s="10" t="s">
        <v>72</v>
      </c>
      <c r="F66" s="651" t="s">
        <v>42</v>
      </c>
      <c r="G66" s="652" t="s">
        <v>43</v>
      </c>
      <c r="H66" s="652" t="s">
        <v>44</v>
      </c>
      <c r="I66" s="653" t="s">
        <v>45</v>
      </c>
      <c r="J66" s="10"/>
      <c r="K66" s="26">
        <f>K67</f>
        <v>4439.5</v>
      </c>
      <c r="L66" s="26">
        <f>L67</f>
        <v>0</v>
      </c>
      <c r="M66" s="26">
        <f>M67</f>
        <v>4439.5</v>
      </c>
      <c r="N66" s="26">
        <f>N67</f>
        <v>4439.5</v>
      </c>
    </row>
    <row r="67" spans="1:14" s="143" customFormat="1" ht="36" x14ac:dyDescent="0.35">
      <c r="A67" s="11"/>
      <c r="B67" s="24" t="s">
        <v>343</v>
      </c>
      <c r="C67" s="25" t="s">
        <v>1</v>
      </c>
      <c r="D67" s="10" t="s">
        <v>38</v>
      </c>
      <c r="E67" s="10" t="s">
        <v>72</v>
      </c>
      <c r="F67" s="651" t="s">
        <v>42</v>
      </c>
      <c r="G67" s="652" t="s">
        <v>46</v>
      </c>
      <c r="H67" s="652" t="s">
        <v>44</v>
      </c>
      <c r="I67" s="653" t="s">
        <v>45</v>
      </c>
      <c r="J67" s="10"/>
      <c r="K67" s="26">
        <f>K72+K68+K77+K80</f>
        <v>4439.5</v>
      </c>
      <c r="L67" s="26">
        <f>L72+L68+L77+L80</f>
        <v>0</v>
      </c>
      <c r="M67" s="26">
        <f>M72+M68+M77+M80</f>
        <v>4439.5</v>
      </c>
      <c r="N67" s="26">
        <f>N72+N68+N77+N80</f>
        <v>4439.5</v>
      </c>
    </row>
    <row r="68" spans="1:14" s="143" customFormat="1" ht="18" x14ac:dyDescent="0.35">
      <c r="A68" s="11"/>
      <c r="B68" s="28" t="s">
        <v>63</v>
      </c>
      <c r="C68" s="25" t="s">
        <v>1</v>
      </c>
      <c r="D68" s="10" t="s">
        <v>38</v>
      </c>
      <c r="E68" s="10" t="s">
        <v>72</v>
      </c>
      <c r="F68" s="651" t="s">
        <v>42</v>
      </c>
      <c r="G68" s="652" t="s">
        <v>46</v>
      </c>
      <c r="H68" s="652" t="s">
        <v>64</v>
      </c>
      <c r="I68" s="653" t="s">
        <v>45</v>
      </c>
      <c r="J68" s="10"/>
      <c r="K68" s="26">
        <f>K69</f>
        <v>1247.8</v>
      </c>
      <c r="L68" s="26">
        <f>L69</f>
        <v>0</v>
      </c>
      <c r="M68" s="26">
        <f>M69</f>
        <v>1247.8</v>
      </c>
      <c r="N68" s="26">
        <f>N69</f>
        <v>1247.8</v>
      </c>
    </row>
    <row r="69" spans="1:14" s="143" customFormat="1" ht="54" x14ac:dyDescent="0.35">
      <c r="A69" s="11"/>
      <c r="B69" s="28" t="s">
        <v>393</v>
      </c>
      <c r="C69" s="25" t="s">
        <v>1</v>
      </c>
      <c r="D69" s="10" t="s">
        <v>38</v>
      </c>
      <c r="E69" s="10" t="s">
        <v>72</v>
      </c>
      <c r="F69" s="651" t="s">
        <v>42</v>
      </c>
      <c r="G69" s="652" t="s">
        <v>46</v>
      </c>
      <c r="H69" s="652" t="s">
        <v>64</v>
      </c>
      <c r="I69" s="653" t="s">
        <v>392</v>
      </c>
      <c r="J69" s="10"/>
      <c r="K69" s="26">
        <f>K70+K71</f>
        <v>1247.8</v>
      </c>
      <c r="L69" s="26">
        <f>L70+L71</f>
        <v>0</v>
      </c>
      <c r="M69" s="26">
        <f>M70+M71</f>
        <v>1247.8</v>
      </c>
      <c r="N69" s="26">
        <f>N70+N71</f>
        <v>1247.8</v>
      </c>
    </row>
    <row r="70" spans="1:14" s="143" customFormat="1" ht="54" x14ac:dyDescent="0.35">
      <c r="A70" s="11"/>
      <c r="B70" s="24" t="s">
        <v>56</v>
      </c>
      <c r="C70" s="25" t="s">
        <v>1</v>
      </c>
      <c r="D70" s="10" t="s">
        <v>38</v>
      </c>
      <c r="E70" s="10" t="s">
        <v>72</v>
      </c>
      <c r="F70" s="651" t="s">
        <v>42</v>
      </c>
      <c r="G70" s="652" t="s">
        <v>46</v>
      </c>
      <c r="H70" s="652" t="s">
        <v>64</v>
      </c>
      <c r="I70" s="653" t="s">
        <v>392</v>
      </c>
      <c r="J70" s="10" t="s">
        <v>57</v>
      </c>
      <c r="K70" s="26">
        <v>1019.5</v>
      </c>
      <c r="L70" s="26">
        <f>M70-K70</f>
        <v>0</v>
      </c>
      <c r="M70" s="26">
        <v>1019.5</v>
      </c>
      <c r="N70" s="26">
        <v>1019.5</v>
      </c>
    </row>
    <row r="71" spans="1:14" s="143" customFormat="1" ht="18" x14ac:dyDescent="0.35">
      <c r="A71" s="11"/>
      <c r="B71" s="24" t="s">
        <v>58</v>
      </c>
      <c r="C71" s="25" t="s">
        <v>1</v>
      </c>
      <c r="D71" s="10" t="s">
        <v>38</v>
      </c>
      <c r="E71" s="10" t="s">
        <v>72</v>
      </c>
      <c r="F71" s="651" t="s">
        <v>42</v>
      </c>
      <c r="G71" s="652" t="s">
        <v>46</v>
      </c>
      <c r="H71" s="652" t="s">
        <v>64</v>
      </c>
      <c r="I71" s="653" t="s">
        <v>392</v>
      </c>
      <c r="J71" s="10" t="s">
        <v>59</v>
      </c>
      <c r="K71" s="26">
        <v>228.3</v>
      </c>
      <c r="L71" s="26">
        <f>M71-K71</f>
        <v>0</v>
      </c>
      <c r="M71" s="26">
        <v>228.3</v>
      </c>
      <c r="N71" s="26">
        <v>228.3</v>
      </c>
    </row>
    <row r="72" spans="1:14" s="143" customFormat="1" ht="18" x14ac:dyDescent="0.35">
      <c r="A72" s="11"/>
      <c r="B72" s="24" t="s">
        <v>65</v>
      </c>
      <c r="C72" s="25" t="s">
        <v>1</v>
      </c>
      <c r="D72" s="10" t="s">
        <v>38</v>
      </c>
      <c r="E72" s="10" t="s">
        <v>72</v>
      </c>
      <c r="F72" s="651" t="s">
        <v>42</v>
      </c>
      <c r="G72" s="652" t="s">
        <v>46</v>
      </c>
      <c r="H72" s="652" t="s">
        <v>53</v>
      </c>
      <c r="I72" s="653" t="s">
        <v>45</v>
      </c>
      <c r="J72" s="10"/>
      <c r="K72" s="26">
        <f>K73+K75</f>
        <v>3011.6</v>
      </c>
      <c r="L72" s="26">
        <f>L73+L75</f>
        <v>0</v>
      </c>
      <c r="M72" s="26">
        <f>M73+M75</f>
        <v>3011.6</v>
      </c>
      <c r="N72" s="26">
        <f>N73+N75</f>
        <v>3011.6</v>
      </c>
    </row>
    <row r="73" spans="1:14" s="143" customFormat="1" ht="54" x14ac:dyDescent="0.35">
      <c r="A73" s="11"/>
      <c r="B73" s="29" t="s">
        <v>359</v>
      </c>
      <c r="C73" s="25" t="s">
        <v>1</v>
      </c>
      <c r="D73" s="10" t="s">
        <v>38</v>
      </c>
      <c r="E73" s="10" t="s">
        <v>72</v>
      </c>
      <c r="F73" s="651" t="s">
        <v>42</v>
      </c>
      <c r="G73" s="652" t="s">
        <v>46</v>
      </c>
      <c r="H73" s="652" t="s">
        <v>53</v>
      </c>
      <c r="I73" s="653" t="s">
        <v>106</v>
      </c>
      <c r="J73" s="10"/>
      <c r="K73" s="26">
        <f>K74</f>
        <v>1016.8</v>
      </c>
      <c r="L73" s="26">
        <f>L74</f>
        <v>0</v>
      </c>
      <c r="M73" s="26">
        <f>M74</f>
        <v>1016.8</v>
      </c>
      <c r="N73" s="26">
        <f>N74</f>
        <v>1016.8</v>
      </c>
    </row>
    <row r="74" spans="1:14" s="143" customFormat="1" ht="54" x14ac:dyDescent="0.35">
      <c r="A74" s="11"/>
      <c r="B74" s="24" t="s">
        <v>56</v>
      </c>
      <c r="C74" s="25" t="s">
        <v>1</v>
      </c>
      <c r="D74" s="10" t="s">
        <v>38</v>
      </c>
      <c r="E74" s="10" t="s">
        <v>72</v>
      </c>
      <c r="F74" s="651" t="s">
        <v>42</v>
      </c>
      <c r="G74" s="652" t="s">
        <v>46</v>
      </c>
      <c r="H74" s="652" t="s">
        <v>53</v>
      </c>
      <c r="I74" s="653" t="s">
        <v>106</v>
      </c>
      <c r="J74" s="10" t="s">
        <v>57</v>
      </c>
      <c r="K74" s="26">
        <v>1016.8</v>
      </c>
      <c r="L74" s="26">
        <f>M74-K74</f>
        <v>0</v>
      </c>
      <c r="M74" s="26">
        <v>1016.8</v>
      </c>
      <c r="N74" s="26">
        <v>1016.8</v>
      </c>
    </row>
    <row r="75" spans="1:14" s="143" customFormat="1" ht="54" x14ac:dyDescent="0.35">
      <c r="A75" s="11"/>
      <c r="B75" s="24" t="s">
        <v>361</v>
      </c>
      <c r="C75" s="25" t="s">
        <v>1</v>
      </c>
      <c r="D75" s="10" t="s">
        <v>38</v>
      </c>
      <c r="E75" s="10" t="s">
        <v>72</v>
      </c>
      <c r="F75" s="651" t="s">
        <v>42</v>
      </c>
      <c r="G75" s="652" t="s">
        <v>46</v>
      </c>
      <c r="H75" s="652" t="s">
        <v>53</v>
      </c>
      <c r="I75" s="653" t="s">
        <v>360</v>
      </c>
      <c r="J75" s="10"/>
      <c r="K75" s="26">
        <f>K76</f>
        <v>1994.8</v>
      </c>
      <c r="L75" s="26">
        <f>L76</f>
        <v>0</v>
      </c>
      <c r="M75" s="26">
        <f>M76</f>
        <v>1994.8</v>
      </c>
      <c r="N75" s="26">
        <f>N76</f>
        <v>1994.8</v>
      </c>
    </row>
    <row r="76" spans="1:14" s="143" customFormat="1" ht="54" x14ac:dyDescent="0.35">
      <c r="A76" s="11"/>
      <c r="B76" s="24" t="s">
        <v>56</v>
      </c>
      <c r="C76" s="25" t="s">
        <v>1</v>
      </c>
      <c r="D76" s="10" t="s">
        <v>38</v>
      </c>
      <c r="E76" s="10" t="s">
        <v>72</v>
      </c>
      <c r="F76" s="651" t="s">
        <v>42</v>
      </c>
      <c r="G76" s="652" t="s">
        <v>46</v>
      </c>
      <c r="H76" s="652" t="s">
        <v>53</v>
      </c>
      <c r="I76" s="653" t="s">
        <v>360</v>
      </c>
      <c r="J76" s="10" t="s">
        <v>57</v>
      </c>
      <c r="K76" s="26">
        <v>1994.8</v>
      </c>
      <c r="L76" s="26">
        <f>M76-K76</f>
        <v>0</v>
      </c>
      <c r="M76" s="26">
        <v>1994.8</v>
      </c>
      <c r="N76" s="26">
        <v>1994.8</v>
      </c>
    </row>
    <row r="77" spans="1:14" s="143" customFormat="1" ht="36" x14ac:dyDescent="0.35">
      <c r="A77" s="11"/>
      <c r="B77" s="24" t="s">
        <v>504</v>
      </c>
      <c r="C77" s="25" t="s">
        <v>1</v>
      </c>
      <c r="D77" s="10" t="s">
        <v>38</v>
      </c>
      <c r="E77" s="10" t="s">
        <v>72</v>
      </c>
      <c r="F77" s="651" t="s">
        <v>42</v>
      </c>
      <c r="G77" s="652" t="s">
        <v>46</v>
      </c>
      <c r="H77" s="652" t="s">
        <v>432</v>
      </c>
      <c r="I77" s="653" t="s">
        <v>45</v>
      </c>
      <c r="J77" s="10"/>
      <c r="K77" s="26">
        <f t="shared" ref="K77:N78" si="6">K78</f>
        <v>120.1</v>
      </c>
      <c r="L77" s="26">
        <f t="shared" si="6"/>
        <v>0</v>
      </c>
      <c r="M77" s="26">
        <f t="shared" si="6"/>
        <v>120.1</v>
      </c>
      <c r="N77" s="26">
        <f t="shared" si="6"/>
        <v>120.1</v>
      </c>
    </row>
    <row r="78" spans="1:14" s="143" customFormat="1" ht="36" x14ac:dyDescent="0.35">
      <c r="A78" s="11"/>
      <c r="B78" s="29" t="s">
        <v>128</v>
      </c>
      <c r="C78" s="25" t="s">
        <v>1</v>
      </c>
      <c r="D78" s="10" t="s">
        <v>38</v>
      </c>
      <c r="E78" s="10" t="s">
        <v>72</v>
      </c>
      <c r="F78" s="651" t="s">
        <v>42</v>
      </c>
      <c r="G78" s="652" t="s">
        <v>46</v>
      </c>
      <c r="H78" s="652" t="s">
        <v>432</v>
      </c>
      <c r="I78" s="653" t="s">
        <v>91</v>
      </c>
      <c r="J78" s="10"/>
      <c r="K78" s="26">
        <f t="shared" si="6"/>
        <v>120.1</v>
      </c>
      <c r="L78" s="26">
        <f t="shared" si="6"/>
        <v>0</v>
      </c>
      <c r="M78" s="26">
        <f t="shared" si="6"/>
        <v>120.1</v>
      </c>
      <c r="N78" s="26">
        <f t="shared" si="6"/>
        <v>120.1</v>
      </c>
    </row>
    <row r="79" spans="1:14" s="143" customFormat="1" ht="54" x14ac:dyDescent="0.35">
      <c r="A79" s="11"/>
      <c r="B79" s="24" t="s">
        <v>56</v>
      </c>
      <c r="C79" s="25" t="s">
        <v>1</v>
      </c>
      <c r="D79" s="10" t="s">
        <v>38</v>
      </c>
      <c r="E79" s="10" t="s">
        <v>72</v>
      </c>
      <c r="F79" s="651" t="s">
        <v>42</v>
      </c>
      <c r="G79" s="652" t="s">
        <v>46</v>
      </c>
      <c r="H79" s="652" t="s">
        <v>432</v>
      </c>
      <c r="I79" s="653" t="s">
        <v>91</v>
      </c>
      <c r="J79" s="10" t="s">
        <v>57</v>
      </c>
      <c r="K79" s="26">
        <v>120.1</v>
      </c>
      <c r="L79" s="26">
        <f>M79-K79</f>
        <v>0</v>
      </c>
      <c r="M79" s="26">
        <v>120.1</v>
      </c>
      <c r="N79" s="26">
        <v>120.1</v>
      </c>
    </row>
    <row r="80" spans="1:14" s="143" customFormat="1" ht="36" x14ac:dyDescent="0.35">
      <c r="A80" s="11"/>
      <c r="B80" s="24" t="s">
        <v>494</v>
      </c>
      <c r="C80" s="25" t="s">
        <v>1</v>
      </c>
      <c r="D80" s="10" t="s">
        <v>38</v>
      </c>
      <c r="E80" s="10" t="s">
        <v>72</v>
      </c>
      <c r="F80" s="651" t="s">
        <v>42</v>
      </c>
      <c r="G80" s="652" t="s">
        <v>46</v>
      </c>
      <c r="H80" s="652" t="s">
        <v>42</v>
      </c>
      <c r="I80" s="653" t="s">
        <v>45</v>
      </c>
      <c r="J80" s="10"/>
      <c r="K80" s="26">
        <f t="shared" ref="K80:N81" si="7">K81</f>
        <v>60</v>
      </c>
      <c r="L80" s="26">
        <f t="shared" si="7"/>
        <v>0</v>
      </c>
      <c r="M80" s="26">
        <f t="shared" si="7"/>
        <v>60</v>
      </c>
      <c r="N80" s="26">
        <f t="shared" si="7"/>
        <v>60</v>
      </c>
    </row>
    <row r="81" spans="1:14" s="143" customFormat="1" ht="18" x14ac:dyDescent="0.35">
      <c r="A81" s="11"/>
      <c r="B81" s="29" t="s">
        <v>492</v>
      </c>
      <c r="C81" s="25" t="s">
        <v>1</v>
      </c>
      <c r="D81" s="10" t="s">
        <v>38</v>
      </c>
      <c r="E81" s="10" t="s">
        <v>72</v>
      </c>
      <c r="F81" s="651" t="s">
        <v>42</v>
      </c>
      <c r="G81" s="652" t="s">
        <v>46</v>
      </c>
      <c r="H81" s="652" t="s">
        <v>42</v>
      </c>
      <c r="I81" s="653" t="s">
        <v>493</v>
      </c>
      <c r="J81" s="10"/>
      <c r="K81" s="26">
        <f t="shared" si="7"/>
        <v>60</v>
      </c>
      <c r="L81" s="26">
        <f t="shared" si="7"/>
        <v>0</v>
      </c>
      <c r="M81" s="26">
        <f t="shared" si="7"/>
        <v>60</v>
      </c>
      <c r="N81" s="26">
        <f t="shared" si="7"/>
        <v>60</v>
      </c>
    </row>
    <row r="82" spans="1:14" s="143" customFormat="1" ht="54" x14ac:dyDescent="0.35">
      <c r="A82" s="11"/>
      <c r="B82" s="24" t="s">
        <v>56</v>
      </c>
      <c r="C82" s="25" t="s">
        <v>1</v>
      </c>
      <c r="D82" s="10" t="s">
        <v>38</v>
      </c>
      <c r="E82" s="10" t="s">
        <v>72</v>
      </c>
      <c r="F82" s="651" t="s">
        <v>42</v>
      </c>
      <c r="G82" s="652" t="s">
        <v>46</v>
      </c>
      <c r="H82" s="652" t="s">
        <v>42</v>
      </c>
      <c r="I82" s="653" t="s">
        <v>493</v>
      </c>
      <c r="J82" s="10" t="s">
        <v>57</v>
      </c>
      <c r="K82" s="26">
        <v>60</v>
      </c>
      <c r="L82" s="26">
        <f>M82-K82</f>
        <v>0</v>
      </c>
      <c r="M82" s="26">
        <v>60</v>
      </c>
      <c r="N82" s="26">
        <v>60</v>
      </c>
    </row>
    <row r="83" spans="1:14" s="143" customFormat="1" ht="36" x14ac:dyDescent="0.35">
      <c r="A83" s="11"/>
      <c r="B83" s="24" t="s">
        <v>79</v>
      </c>
      <c r="C83" s="25" t="s">
        <v>1</v>
      </c>
      <c r="D83" s="10" t="s">
        <v>64</v>
      </c>
      <c r="E83" s="10"/>
      <c r="F83" s="651"/>
      <c r="G83" s="652"/>
      <c r="H83" s="652"/>
      <c r="I83" s="653"/>
      <c r="J83" s="10"/>
      <c r="K83" s="26">
        <f>K84+K92</f>
        <v>11858.099999999999</v>
      </c>
      <c r="L83" s="26">
        <f>L84+L92</f>
        <v>0</v>
      </c>
      <c r="M83" s="26">
        <f>M84+M92</f>
        <v>11858.099999999999</v>
      </c>
      <c r="N83" s="26">
        <f>N84+N92</f>
        <v>11858.499999999998</v>
      </c>
    </row>
    <row r="84" spans="1:14" s="143" customFormat="1" ht="72" x14ac:dyDescent="0.35">
      <c r="A84" s="11"/>
      <c r="B84" s="243" t="s">
        <v>488</v>
      </c>
      <c r="C84" s="25" t="s">
        <v>1</v>
      </c>
      <c r="D84" s="10" t="s">
        <v>64</v>
      </c>
      <c r="E84" s="10" t="s">
        <v>105</v>
      </c>
      <c r="F84" s="651"/>
      <c r="G84" s="652"/>
      <c r="H84" s="652"/>
      <c r="I84" s="653"/>
      <c r="J84" s="10"/>
      <c r="K84" s="26">
        <f t="shared" ref="K84:N86" si="8">K85</f>
        <v>362.29999999999995</v>
      </c>
      <c r="L84" s="26">
        <f t="shared" si="8"/>
        <v>0</v>
      </c>
      <c r="M84" s="26">
        <f t="shared" si="8"/>
        <v>362.29999999999995</v>
      </c>
      <c r="N84" s="26">
        <f t="shared" si="8"/>
        <v>362.29999999999995</v>
      </c>
    </row>
    <row r="85" spans="1:14" s="143" customFormat="1" ht="54" x14ac:dyDescent="0.35">
      <c r="A85" s="11"/>
      <c r="B85" s="24" t="s">
        <v>81</v>
      </c>
      <c r="C85" s="25" t="s">
        <v>1</v>
      </c>
      <c r="D85" s="10" t="s">
        <v>64</v>
      </c>
      <c r="E85" s="10" t="s">
        <v>105</v>
      </c>
      <c r="F85" s="651" t="s">
        <v>82</v>
      </c>
      <c r="G85" s="652" t="s">
        <v>43</v>
      </c>
      <c r="H85" s="652" t="s">
        <v>44</v>
      </c>
      <c r="I85" s="653" t="s">
        <v>45</v>
      </c>
      <c r="J85" s="10"/>
      <c r="K85" s="26">
        <f t="shared" si="8"/>
        <v>362.29999999999995</v>
      </c>
      <c r="L85" s="26">
        <f t="shared" si="8"/>
        <v>0</v>
      </c>
      <c r="M85" s="26">
        <f t="shared" si="8"/>
        <v>362.29999999999995</v>
      </c>
      <c r="N85" s="26">
        <f t="shared" si="8"/>
        <v>362.29999999999995</v>
      </c>
    </row>
    <row r="86" spans="1:14" s="143" customFormat="1" ht="54" x14ac:dyDescent="0.35">
      <c r="A86" s="11"/>
      <c r="B86" s="30" t="s">
        <v>83</v>
      </c>
      <c r="C86" s="25" t="s">
        <v>1</v>
      </c>
      <c r="D86" s="10" t="s">
        <v>64</v>
      </c>
      <c r="E86" s="10" t="s">
        <v>105</v>
      </c>
      <c r="F86" s="651" t="s">
        <v>82</v>
      </c>
      <c r="G86" s="652" t="s">
        <v>46</v>
      </c>
      <c r="H86" s="652" t="s">
        <v>44</v>
      </c>
      <c r="I86" s="653" t="s">
        <v>45</v>
      </c>
      <c r="J86" s="10"/>
      <c r="K86" s="26">
        <f t="shared" si="8"/>
        <v>362.29999999999995</v>
      </c>
      <c r="L86" s="26">
        <f t="shared" si="8"/>
        <v>0</v>
      </c>
      <c r="M86" s="26">
        <f t="shared" si="8"/>
        <v>362.29999999999995</v>
      </c>
      <c r="N86" s="26">
        <f t="shared" si="8"/>
        <v>362.29999999999995</v>
      </c>
    </row>
    <row r="87" spans="1:14" s="143" customFormat="1" ht="72" x14ac:dyDescent="0.35">
      <c r="A87" s="11"/>
      <c r="B87" s="24" t="s">
        <v>84</v>
      </c>
      <c r="C87" s="25" t="s">
        <v>1</v>
      </c>
      <c r="D87" s="10" t="s">
        <v>64</v>
      </c>
      <c r="E87" s="10" t="s">
        <v>105</v>
      </c>
      <c r="F87" s="651" t="s">
        <v>82</v>
      </c>
      <c r="G87" s="652" t="s">
        <v>46</v>
      </c>
      <c r="H87" s="652" t="s">
        <v>38</v>
      </c>
      <c r="I87" s="653" t="s">
        <v>45</v>
      </c>
      <c r="J87" s="10"/>
      <c r="K87" s="26">
        <f>K88+K90</f>
        <v>362.29999999999995</v>
      </c>
      <c r="L87" s="26">
        <f>L88+L90</f>
        <v>0</v>
      </c>
      <c r="M87" s="26">
        <f>M88+M90</f>
        <v>362.29999999999995</v>
      </c>
      <c r="N87" s="26">
        <f>N88+N90</f>
        <v>362.29999999999995</v>
      </c>
    </row>
    <row r="88" spans="1:14" s="143" customFormat="1" ht="36" x14ac:dyDescent="0.35">
      <c r="A88" s="11"/>
      <c r="B88" s="30" t="s">
        <v>475</v>
      </c>
      <c r="C88" s="25" t="s">
        <v>1</v>
      </c>
      <c r="D88" s="10" t="s">
        <v>64</v>
      </c>
      <c r="E88" s="10" t="s">
        <v>105</v>
      </c>
      <c r="F88" s="651" t="s">
        <v>82</v>
      </c>
      <c r="G88" s="652" t="s">
        <v>46</v>
      </c>
      <c r="H88" s="652" t="s">
        <v>38</v>
      </c>
      <c r="I88" s="653" t="s">
        <v>85</v>
      </c>
      <c r="J88" s="10"/>
      <c r="K88" s="26">
        <f>K89</f>
        <v>298.39999999999998</v>
      </c>
      <c r="L88" s="26">
        <f>L89</f>
        <v>0</v>
      </c>
      <c r="M88" s="26">
        <f>M89</f>
        <v>298.39999999999998</v>
      </c>
      <c r="N88" s="26">
        <f>N89</f>
        <v>298.39999999999998</v>
      </c>
    </row>
    <row r="89" spans="1:14" s="143" customFormat="1" ht="54" x14ac:dyDescent="0.35">
      <c r="A89" s="11"/>
      <c r="B89" s="24" t="s">
        <v>56</v>
      </c>
      <c r="C89" s="25" t="s">
        <v>1</v>
      </c>
      <c r="D89" s="10" t="s">
        <v>64</v>
      </c>
      <c r="E89" s="10" t="s">
        <v>105</v>
      </c>
      <c r="F89" s="651" t="s">
        <v>82</v>
      </c>
      <c r="G89" s="652" t="s">
        <v>46</v>
      </c>
      <c r="H89" s="652" t="s">
        <v>38</v>
      </c>
      <c r="I89" s="653" t="s">
        <v>85</v>
      </c>
      <c r="J89" s="10" t="s">
        <v>57</v>
      </c>
      <c r="K89" s="26">
        <v>298.39999999999998</v>
      </c>
      <c r="L89" s="26">
        <f>M89-K89</f>
        <v>0</v>
      </c>
      <c r="M89" s="26">
        <v>298.39999999999998</v>
      </c>
      <c r="N89" s="26">
        <v>298.39999999999998</v>
      </c>
    </row>
    <row r="90" spans="1:14" s="143" customFormat="1" ht="54" x14ac:dyDescent="0.35">
      <c r="A90" s="11"/>
      <c r="B90" s="24" t="s">
        <v>86</v>
      </c>
      <c r="C90" s="25" t="s">
        <v>1</v>
      </c>
      <c r="D90" s="10" t="s">
        <v>64</v>
      </c>
      <c r="E90" s="10" t="s">
        <v>105</v>
      </c>
      <c r="F90" s="651" t="s">
        <v>82</v>
      </c>
      <c r="G90" s="652" t="s">
        <v>46</v>
      </c>
      <c r="H90" s="652" t="s">
        <v>38</v>
      </c>
      <c r="I90" s="653" t="s">
        <v>87</v>
      </c>
      <c r="J90" s="10"/>
      <c r="K90" s="26">
        <f>K91</f>
        <v>63.9</v>
      </c>
      <c r="L90" s="26">
        <f>L91</f>
        <v>0</v>
      </c>
      <c r="M90" s="26">
        <f>M91</f>
        <v>63.9</v>
      </c>
      <c r="N90" s="26">
        <f>N91</f>
        <v>63.9</v>
      </c>
    </row>
    <row r="91" spans="1:14" s="143" customFormat="1" ht="54" x14ac:dyDescent="0.35">
      <c r="A91" s="11"/>
      <c r="B91" s="24" t="s">
        <v>56</v>
      </c>
      <c r="C91" s="25" t="s">
        <v>1</v>
      </c>
      <c r="D91" s="10" t="s">
        <v>64</v>
      </c>
      <c r="E91" s="10" t="s">
        <v>105</v>
      </c>
      <c r="F91" s="651" t="s">
        <v>82</v>
      </c>
      <c r="G91" s="652" t="s">
        <v>46</v>
      </c>
      <c r="H91" s="652" t="s">
        <v>38</v>
      </c>
      <c r="I91" s="653" t="s">
        <v>87</v>
      </c>
      <c r="J91" s="10" t="s">
        <v>57</v>
      </c>
      <c r="K91" s="26">
        <v>63.9</v>
      </c>
      <c r="L91" s="26">
        <f>M91-K91</f>
        <v>0</v>
      </c>
      <c r="M91" s="26">
        <v>63.9</v>
      </c>
      <c r="N91" s="26">
        <v>63.9</v>
      </c>
    </row>
    <row r="92" spans="1:14" s="143" customFormat="1" ht="54" x14ac:dyDescent="0.35">
      <c r="A92" s="11"/>
      <c r="B92" s="29" t="s">
        <v>88</v>
      </c>
      <c r="C92" s="25" t="s">
        <v>1</v>
      </c>
      <c r="D92" s="10" t="s">
        <v>64</v>
      </c>
      <c r="E92" s="10" t="s">
        <v>89</v>
      </c>
      <c r="F92" s="651"/>
      <c r="G92" s="652"/>
      <c r="H92" s="652"/>
      <c r="I92" s="653"/>
      <c r="J92" s="10"/>
      <c r="K92" s="26">
        <f>K93</f>
        <v>11495.8</v>
      </c>
      <c r="L92" s="26">
        <f>L93</f>
        <v>0</v>
      </c>
      <c r="M92" s="26">
        <f>M93</f>
        <v>11495.8</v>
      </c>
      <c r="N92" s="26">
        <f>N93</f>
        <v>11496.199999999999</v>
      </c>
    </row>
    <row r="93" spans="1:14" s="143" customFormat="1" ht="57.75" customHeight="1" x14ac:dyDescent="0.35">
      <c r="A93" s="11"/>
      <c r="B93" s="24" t="s">
        <v>81</v>
      </c>
      <c r="C93" s="25" t="s">
        <v>1</v>
      </c>
      <c r="D93" s="10" t="s">
        <v>64</v>
      </c>
      <c r="E93" s="10" t="s">
        <v>89</v>
      </c>
      <c r="F93" s="651" t="s">
        <v>82</v>
      </c>
      <c r="G93" s="652" t="s">
        <v>43</v>
      </c>
      <c r="H93" s="652" t="s">
        <v>44</v>
      </c>
      <c r="I93" s="653" t="s">
        <v>45</v>
      </c>
      <c r="J93" s="10"/>
      <c r="K93" s="26">
        <f>K101+K94+K107</f>
        <v>11495.8</v>
      </c>
      <c r="L93" s="26">
        <f>L101+L94+L107</f>
        <v>0</v>
      </c>
      <c r="M93" s="26">
        <f>M101+M94+M107</f>
        <v>11495.8</v>
      </c>
      <c r="N93" s="26">
        <f>N101+N94+N107</f>
        <v>11496.199999999999</v>
      </c>
    </row>
    <row r="94" spans="1:14" s="143" customFormat="1" ht="39.75" customHeight="1" x14ac:dyDescent="0.35">
      <c r="A94" s="11"/>
      <c r="B94" s="29" t="s">
        <v>126</v>
      </c>
      <c r="C94" s="25" t="s">
        <v>1</v>
      </c>
      <c r="D94" s="10" t="s">
        <v>64</v>
      </c>
      <c r="E94" s="10" t="s">
        <v>89</v>
      </c>
      <c r="F94" s="651" t="s">
        <v>82</v>
      </c>
      <c r="G94" s="652" t="s">
        <v>90</v>
      </c>
      <c r="H94" s="652" t="s">
        <v>44</v>
      </c>
      <c r="I94" s="653" t="s">
        <v>45</v>
      </c>
      <c r="J94" s="10"/>
      <c r="K94" s="26">
        <f>K95+K98</f>
        <v>465.40000000000003</v>
      </c>
      <c r="L94" s="26">
        <f>L95+L98</f>
        <v>0</v>
      </c>
      <c r="M94" s="26">
        <f>M95+M98</f>
        <v>465.40000000000003</v>
      </c>
      <c r="N94" s="26">
        <f>N95+N98</f>
        <v>465.40000000000003</v>
      </c>
    </row>
    <row r="95" spans="1:14" s="143" customFormat="1" ht="39" customHeight="1" x14ac:dyDescent="0.35">
      <c r="A95" s="11"/>
      <c r="B95" s="29" t="s">
        <v>272</v>
      </c>
      <c r="C95" s="25" t="s">
        <v>1</v>
      </c>
      <c r="D95" s="10" t="s">
        <v>64</v>
      </c>
      <c r="E95" s="10" t="s">
        <v>89</v>
      </c>
      <c r="F95" s="651" t="s">
        <v>82</v>
      </c>
      <c r="G95" s="652" t="s">
        <v>90</v>
      </c>
      <c r="H95" s="652" t="s">
        <v>38</v>
      </c>
      <c r="I95" s="653" t="s">
        <v>45</v>
      </c>
      <c r="J95" s="10"/>
      <c r="K95" s="26">
        <f t="shared" ref="K95:N96" si="9">K96</f>
        <v>21.8</v>
      </c>
      <c r="L95" s="26">
        <f t="shared" si="9"/>
        <v>0</v>
      </c>
      <c r="M95" s="26">
        <f t="shared" si="9"/>
        <v>21.8</v>
      </c>
      <c r="N95" s="26">
        <f t="shared" si="9"/>
        <v>21.8</v>
      </c>
    </row>
    <row r="96" spans="1:14" s="143" customFormat="1" ht="36" customHeight="1" x14ac:dyDescent="0.35">
      <c r="A96" s="11"/>
      <c r="B96" s="27" t="s">
        <v>128</v>
      </c>
      <c r="C96" s="25" t="s">
        <v>1</v>
      </c>
      <c r="D96" s="10" t="s">
        <v>64</v>
      </c>
      <c r="E96" s="10" t="s">
        <v>89</v>
      </c>
      <c r="F96" s="651" t="s">
        <v>82</v>
      </c>
      <c r="G96" s="652" t="s">
        <v>90</v>
      </c>
      <c r="H96" s="652" t="s">
        <v>38</v>
      </c>
      <c r="I96" s="653" t="s">
        <v>91</v>
      </c>
      <c r="J96" s="10"/>
      <c r="K96" s="26">
        <f t="shared" si="9"/>
        <v>21.8</v>
      </c>
      <c r="L96" s="26">
        <f t="shared" si="9"/>
        <v>0</v>
      </c>
      <c r="M96" s="26">
        <f t="shared" si="9"/>
        <v>21.8</v>
      </c>
      <c r="N96" s="26">
        <f t="shared" si="9"/>
        <v>21.8</v>
      </c>
    </row>
    <row r="97" spans="1:14" s="143" customFormat="1" ht="57.75" customHeight="1" x14ac:dyDescent="0.35">
      <c r="A97" s="11"/>
      <c r="B97" s="24" t="s">
        <v>56</v>
      </c>
      <c r="C97" s="25" t="s">
        <v>1</v>
      </c>
      <c r="D97" s="10" t="s">
        <v>64</v>
      </c>
      <c r="E97" s="10" t="s">
        <v>89</v>
      </c>
      <c r="F97" s="651" t="s">
        <v>82</v>
      </c>
      <c r="G97" s="652" t="s">
        <v>90</v>
      </c>
      <c r="H97" s="652" t="s">
        <v>38</v>
      </c>
      <c r="I97" s="653" t="s">
        <v>91</v>
      </c>
      <c r="J97" s="10" t="s">
        <v>57</v>
      </c>
      <c r="K97" s="26">
        <v>21.8</v>
      </c>
      <c r="L97" s="26">
        <f>M97-K97</f>
        <v>0</v>
      </c>
      <c r="M97" s="26">
        <v>21.8</v>
      </c>
      <c r="N97" s="26">
        <v>21.8</v>
      </c>
    </row>
    <row r="98" spans="1:14" s="143" customFormat="1" ht="57.75" customHeight="1" x14ac:dyDescent="0.35">
      <c r="A98" s="11"/>
      <c r="B98" s="27" t="s">
        <v>127</v>
      </c>
      <c r="C98" s="25" t="s">
        <v>1</v>
      </c>
      <c r="D98" s="10" t="s">
        <v>64</v>
      </c>
      <c r="E98" s="10" t="s">
        <v>89</v>
      </c>
      <c r="F98" s="651" t="s">
        <v>82</v>
      </c>
      <c r="G98" s="652" t="s">
        <v>90</v>
      </c>
      <c r="H98" s="652" t="s">
        <v>40</v>
      </c>
      <c r="I98" s="653" t="s">
        <v>45</v>
      </c>
      <c r="J98" s="10"/>
      <c r="K98" s="26">
        <f t="shared" ref="K98:N99" si="10">K99</f>
        <v>443.6</v>
      </c>
      <c r="L98" s="26">
        <f t="shared" si="10"/>
        <v>0</v>
      </c>
      <c r="M98" s="26">
        <f t="shared" si="10"/>
        <v>443.6</v>
      </c>
      <c r="N98" s="26">
        <f t="shared" si="10"/>
        <v>443.6</v>
      </c>
    </row>
    <row r="99" spans="1:14" s="143" customFormat="1" ht="31.5" customHeight="1" x14ac:dyDescent="0.35">
      <c r="A99" s="11"/>
      <c r="B99" s="27" t="s">
        <v>128</v>
      </c>
      <c r="C99" s="25" t="s">
        <v>1</v>
      </c>
      <c r="D99" s="10" t="s">
        <v>64</v>
      </c>
      <c r="E99" s="10" t="s">
        <v>89</v>
      </c>
      <c r="F99" s="651" t="s">
        <v>82</v>
      </c>
      <c r="G99" s="652" t="s">
        <v>90</v>
      </c>
      <c r="H99" s="652" t="s">
        <v>40</v>
      </c>
      <c r="I99" s="653" t="s">
        <v>91</v>
      </c>
      <c r="J99" s="10"/>
      <c r="K99" s="26">
        <f t="shared" si="10"/>
        <v>443.6</v>
      </c>
      <c r="L99" s="26">
        <f t="shared" si="10"/>
        <v>0</v>
      </c>
      <c r="M99" s="26">
        <f t="shared" si="10"/>
        <v>443.6</v>
      </c>
      <c r="N99" s="26">
        <f t="shared" si="10"/>
        <v>443.6</v>
      </c>
    </row>
    <row r="100" spans="1:14" s="143" customFormat="1" ht="54" x14ac:dyDescent="0.35">
      <c r="A100" s="11"/>
      <c r="B100" s="24" t="s">
        <v>56</v>
      </c>
      <c r="C100" s="25" t="s">
        <v>1</v>
      </c>
      <c r="D100" s="10" t="s">
        <v>64</v>
      </c>
      <c r="E100" s="10" t="s">
        <v>89</v>
      </c>
      <c r="F100" s="651" t="s">
        <v>82</v>
      </c>
      <c r="G100" s="652" t="s">
        <v>90</v>
      </c>
      <c r="H100" s="652" t="s">
        <v>40</v>
      </c>
      <c r="I100" s="653" t="s">
        <v>91</v>
      </c>
      <c r="J100" s="10" t="s">
        <v>57</v>
      </c>
      <c r="K100" s="26">
        <v>443.6</v>
      </c>
      <c r="L100" s="26">
        <f>M100-K100</f>
        <v>0</v>
      </c>
      <c r="M100" s="26">
        <v>443.6</v>
      </c>
      <c r="N100" s="26">
        <v>443.6</v>
      </c>
    </row>
    <row r="101" spans="1:14" s="143" customFormat="1" ht="72" x14ac:dyDescent="0.35">
      <c r="A101" s="11"/>
      <c r="B101" s="29" t="s">
        <v>375</v>
      </c>
      <c r="C101" s="25" t="s">
        <v>1</v>
      </c>
      <c r="D101" s="10" t="s">
        <v>64</v>
      </c>
      <c r="E101" s="10" t="s">
        <v>89</v>
      </c>
      <c r="F101" s="651" t="s">
        <v>82</v>
      </c>
      <c r="G101" s="652" t="s">
        <v>31</v>
      </c>
      <c r="H101" s="652" t="s">
        <v>44</v>
      </c>
      <c r="I101" s="653" t="s">
        <v>45</v>
      </c>
      <c r="J101" s="10"/>
      <c r="K101" s="26">
        <f t="shared" ref="K101:N102" si="11">K102</f>
        <v>11008.6</v>
      </c>
      <c r="L101" s="26">
        <f t="shared" si="11"/>
        <v>0</v>
      </c>
      <c r="M101" s="26">
        <f t="shared" si="11"/>
        <v>11008.6</v>
      </c>
      <c r="N101" s="26">
        <f t="shared" si="11"/>
        <v>11009</v>
      </c>
    </row>
    <row r="102" spans="1:14" s="143" customFormat="1" ht="72" x14ac:dyDescent="0.35">
      <c r="A102" s="11"/>
      <c r="B102" s="27" t="s">
        <v>326</v>
      </c>
      <c r="C102" s="25" t="s">
        <v>1</v>
      </c>
      <c r="D102" s="10" t="s">
        <v>64</v>
      </c>
      <c r="E102" s="10" t="s">
        <v>89</v>
      </c>
      <c r="F102" s="651" t="s">
        <v>82</v>
      </c>
      <c r="G102" s="652" t="s">
        <v>31</v>
      </c>
      <c r="H102" s="652" t="s">
        <v>38</v>
      </c>
      <c r="I102" s="653" t="s">
        <v>45</v>
      </c>
      <c r="J102" s="10"/>
      <c r="K102" s="26">
        <f t="shared" si="11"/>
        <v>11008.6</v>
      </c>
      <c r="L102" s="26">
        <f t="shared" si="11"/>
        <v>0</v>
      </c>
      <c r="M102" s="26">
        <f t="shared" si="11"/>
        <v>11008.6</v>
      </c>
      <c r="N102" s="26">
        <f t="shared" si="11"/>
        <v>11009</v>
      </c>
    </row>
    <row r="103" spans="1:14" s="143" customFormat="1" ht="38.25" customHeight="1" x14ac:dyDescent="0.35">
      <c r="A103" s="11"/>
      <c r="B103" s="105" t="s">
        <v>490</v>
      </c>
      <c r="C103" s="25" t="s">
        <v>1</v>
      </c>
      <c r="D103" s="10" t="s">
        <v>64</v>
      </c>
      <c r="E103" s="10" t="s">
        <v>89</v>
      </c>
      <c r="F103" s="651" t="s">
        <v>82</v>
      </c>
      <c r="G103" s="652" t="s">
        <v>31</v>
      </c>
      <c r="H103" s="652" t="s">
        <v>38</v>
      </c>
      <c r="I103" s="653" t="s">
        <v>92</v>
      </c>
      <c r="J103" s="10"/>
      <c r="K103" s="26">
        <f>K104+K105+K106</f>
        <v>11008.6</v>
      </c>
      <c r="L103" s="26">
        <f>L104+L105+L106</f>
        <v>0</v>
      </c>
      <c r="M103" s="26">
        <f>M104+M105+M106</f>
        <v>11008.6</v>
      </c>
      <c r="N103" s="26">
        <f>N104+N105+N106</f>
        <v>11009</v>
      </c>
    </row>
    <row r="104" spans="1:14" s="143" customFormat="1" ht="108" x14ac:dyDescent="0.35">
      <c r="A104" s="11"/>
      <c r="B104" s="24" t="s">
        <v>50</v>
      </c>
      <c r="C104" s="25" t="s">
        <v>1</v>
      </c>
      <c r="D104" s="10" t="s">
        <v>64</v>
      </c>
      <c r="E104" s="10" t="s">
        <v>89</v>
      </c>
      <c r="F104" s="651" t="s">
        <v>82</v>
      </c>
      <c r="G104" s="652" t="s">
        <v>31</v>
      </c>
      <c r="H104" s="652" t="s">
        <v>38</v>
      </c>
      <c r="I104" s="653" t="s">
        <v>92</v>
      </c>
      <c r="J104" s="10" t="s">
        <v>51</v>
      </c>
      <c r="K104" s="26">
        <f>10605+40.2</f>
        <v>10645.2</v>
      </c>
      <c r="L104" s="26">
        <f>M104-K104</f>
        <v>0</v>
      </c>
      <c r="M104" s="26">
        <f>10605+40.2</f>
        <v>10645.2</v>
      </c>
      <c r="N104" s="26">
        <f>10605+40.2</f>
        <v>10645.2</v>
      </c>
    </row>
    <row r="105" spans="1:14" s="143" customFormat="1" ht="54" x14ac:dyDescent="0.35">
      <c r="A105" s="11"/>
      <c r="B105" s="24" t="s">
        <v>56</v>
      </c>
      <c r="C105" s="25" t="s">
        <v>1</v>
      </c>
      <c r="D105" s="10" t="s">
        <v>64</v>
      </c>
      <c r="E105" s="10" t="s">
        <v>89</v>
      </c>
      <c r="F105" s="651" t="s">
        <v>82</v>
      </c>
      <c r="G105" s="652" t="s">
        <v>31</v>
      </c>
      <c r="H105" s="652" t="s">
        <v>38</v>
      </c>
      <c r="I105" s="653" t="s">
        <v>92</v>
      </c>
      <c r="J105" s="10" t="s">
        <v>57</v>
      </c>
      <c r="K105" s="26">
        <v>357.1</v>
      </c>
      <c r="L105" s="26">
        <f>M105-K105</f>
        <v>0</v>
      </c>
      <c r="M105" s="26">
        <v>357.1</v>
      </c>
      <c r="N105" s="26">
        <v>357.5</v>
      </c>
    </row>
    <row r="106" spans="1:14" s="143" customFormat="1" ht="18" x14ac:dyDescent="0.35">
      <c r="A106" s="11"/>
      <c r="B106" s="24" t="s">
        <v>58</v>
      </c>
      <c r="C106" s="25" t="s">
        <v>1</v>
      </c>
      <c r="D106" s="10" t="s">
        <v>64</v>
      </c>
      <c r="E106" s="10" t="s">
        <v>89</v>
      </c>
      <c r="F106" s="651" t="s">
        <v>82</v>
      </c>
      <c r="G106" s="652" t="s">
        <v>31</v>
      </c>
      <c r="H106" s="652" t="s">
        <v>38</v>
      </c>
      <c r="I106" s="653" t="s">
        <v>92</v>
      </c>
      <c r="J106" s="10" t="s">
        <v>59</v>
      </c>
      <c r="K106" s="26">
        <v>6.3</v>
      </c>
      <c r="L106" s="26">
        <f>M106-K106</f>
        <v>0</v>
      </c>
      <c r="M106" s="26">
        <v>6.3</v>
      </c>
      <c r="N106" s="26">
        <v>6.3</v>
      </c>
    </row>
    <row r="107" spans="1:14" s="143" customFormat="1" ht="54" x14ac:dyDescent="0.35">
      <c r="A107" s="11"/>
      <c r="B107" s="295" t="s">
        <v>529</v>
      </c>
      <c r="C107" s="25" t="s">
        <v>1</v>
      </c>
      <c r="D107" s="10" t="s">
        <v>64</v>
      </c>
      <c r="E107" s="10" t="s">
        <v>89</v>
      </c>
      <c r="F107" s="651" t="s">
        <v>82</v>
      </c>
      <c r="G107" s="652" t="s">
        <v>32</v>
      </c>
      <c r="H107" s="652" t="s">
        <v>44</v>
      </c>
      <c r="I107" s="653" t="s">
        <v>45</v>
      </c>
      <c r="J107" s="10"/>
      <c r="K107" s="26">
        <f t="shared" ref="K107:N109" si="12">K108</f>
        <v>21.8</v>
      </c>
      <c r="L107" s="26">
        <f t="shared" si="12"/>
        <v>0</v>
      </c>
      <c r="M107" s="26">
        <f t="shared" si="12"/>
        <v>21.8</v>
      </c>
      <c r="N107" s="26">
        <f t="shared" si="12"/>
        <v>21.8</v>
      </c>
    </row>
    <row r="108" spans="1:14" s="143" customFormat="1" ht="72" x14ac:dyDescent="0.35">
      <c r="A108" s="11"/>
      <c r="B108" s="296" t="s">
        <v>530</v>
      </c>
      <c r="C108" s="25" t="s">
        <v>1</v>
      </c>
      <c r="D108" s="10" t="s">
        <v>64</v>
      </c>
      <c r="E108" s="10" t="s">
        <v>89</v>
      </c>
      <c r="F108" s="651" t="s">
        <v>82</v>
      </c>
      <c r="G108" s="652" t="s">
        <v>32</v>
      </c>
      <c r="H108" s="652" t="s">
        <v>38</v>
      </c>
      <c r="I108" s="653" t="s">
        <v>45</v>
      </c>
      <c r="J108" s="10"/>
      <c r="K108" s="26">
        <f t="shared" si="12"/>
        <v>21.8</v>
      </c>
      <c r="L108" s="26">
        <f t="shared" si="12"/>
        <v>0</v>
      </c>
      <c r="M108" s="26">
        <f t="shared" si="12"/>
        <v>21.8</v>
      </c>
      <c r="N108" s="26">
        <f t="shared" si="12"/>
        <v>21.8</v>
      </c>
    </row>
    <row r="109" spans="1:14" s="143" customFormat="1" ht="54" x14ac:dyDescent="0.35">
      <c r="A109" s="11"/>
      <c r="B109" s="293" t="s">
        <v>86</v>
      </c>
      <c r="C109" s="25" t="s">
        <v>1</v>
      </c>
      <c r="D109" s="10" t="s">
        <v>64</v>
      </c>
      <c r="E109" s="10" t="s">
        <v>89</v>
      </c>
      <c r="F109" s="651" t="s">
        <v>82</v>
      </c>
      <c r="G109" s="652" t="s">
        <v>32</v>
      </c>
      <c r="H109" s="652" t="s">
        <v>38</v>
      </c>
      <c r="I109" s="653" t="s">
        <v>87</v>
      </c>
      <c r="J109" s="10"/>
      <c r="K109" s="26">
        <f t="shared" si="12"/>
        <v>21.8</v>
      </c>
      <c r="L109" s="26">
        <f t="shared" si="12"/>
        <v>0</v>
      </c>
      <c r="M109" s="26">
        <f t="shared" si="12"/>
        <v>21.8</v>
      </c>
      <c r="N109" s="26">
        <f t="shared" si="12"/>
        <v>21.8</v>
      </c>
    </row>
    <row r="110" spans="1:14" s="143" customFormat="1" ht="54" x14ac:dyDescent="0.35">
      <c r="A110" s="11"/>
      <c r="B110" s="294" t="s">
        <v>56</v>
      </c>
      <c r="C110" s="25" t="s">
        <v>1</v>
      </c>
      <c r="D110" s="10" t="s">
        <v>64</v>
      </c>
      <c r="E110" s="10" t="s">
        <v>89</v>
      </c>
      <c r="F110" s="651" t="s">
        <v>82</v>
      </c>
      <c r="G110" s="652" t="s">
        <v>32</v>
      </c>
      <c r="H110" s="652" t="s">
        <v>38</v>
      </c>
      <c r="I110" s="653" t="s">
        <v>87</v>
      </c>
      <c r="J110" s="10" t="s">
        <v>57</v>
      </c>
      <c r="K110" s="26">
        <v>21.8</v>
      </c>
      <c r="L110" s="26">
        <f>M110-K110</f>
        <v>0</v>
      </c>
      <c r="M110" s="26">
        <v>21.8</v>
      </c>
      <c r="N110" s="26">
        <v>21.8</v>
      </c>
    </row>
    <row r="111" spans="1:14" s="143" customFormat="1" ht="18" x14ac:dyDescent="0.35">
      <c r="A111" s="11"/>
      <c r="B111" s="24" t="s">
        <v>93</v>
      </c>
      <c r="C111" s="25" t="s">
        <v>1</v>
      </c>
      <c r="D111" s="10" t="s">
        <v>53</v>
      </c>
      <c r="E111" s="10"/>
      <c r="F111" s="651"/>
      <c r="G111" s="652"/>
      <c r="H111" s="652"/>
      <c r="I111" s="653"/>
      <c r="J111" s="10"/>
      <c r="K111" s="26">
        <f>K112+K121+K127</f>
        <v>28289</v>
      </c>
      <c r="L111" s="26">
        <f>L112+L121+L127</f>
        <v>22354.2</v>
      </c>
      <c r="M111" s="26">
        <f>M112+M121+M127</f>
        <v>50643.199999999997</v>
      </c>
      <c r="N111" s="26">
        <f>N112+N121+N127</f>
        <v>31457.599999999999</v>
      </c>
    </row>
    <row r="112" spans="1:14" s="7" customFormat="1" ht="18" x14ac:dyDescent="0.35">
      <c r="A112" s="11"/>
      <c r="B112" s="24" t="s">
        <v>94</v>
      </c>
      <c r="C112" s="25" t="s">
        <v>1</v>
      </c>
      <c r="D112" s="10" t="s">
        <v>53</v>
      </c>
      <c r="E112" s="10" t="s">
        <v>66</v>
      </c>
      <c r="F112" s="651"/>
      <c r="G112" s="652"/>
      <c r="H112" s="652"/>
      <c r="I112" s="653"/>
      <c r="J112" s="10"/>
      <c r="K112" s="26">
        <f t="shared" ref="K112:N113" si="13">K113</f>
        <v>12695.300000000001</v>
      </c>
      <c r="L112" s="26">
        <f t="shared" si="13"/>
        <v>0</v>
      </c>
      <c r="M112" s="26">
        <f t="shared" si="13"/>
        <v>12695.300000000001</v>
      </c>
      <c r="N112" s="26">
        <f t="shared" si="13"/>
        <v>17253.900000000001</v>
      </c>
    </row>
    <row r="113" spans="1:14" s="143" customFormat="1" ht="59.25" customHeight="1" x14ac:dyDescent="0.35">
      <c r="A113" s="11"/>
      <c r="B113" s="24" t="s">
        <v>95</v>
      </c>
      <c r="C113" s="25" t="s">
        <v>1</v>
      </c>
      <c r="D113" s="10" t="s">
        <v>53</v>
      </c>
      <c r="E113" s="10" t="s">
        <v>66</v>
      </c>
      <c r="F113" s="651" t="s">
        <v>68</v>
      </c>
      <c r="G113" s="652" t="s">
        <v>43</v>
      </c>
      <c r="H113" s="652" t="s">
        <v>44</v>
      </c>
      <c r="I113" s="653" t="s">
        <v>45</v>
      </c>
      <c r="J113" s="10"/>
      <c r="K113" s="26">
        <f t="shared" si="13"/>
        <v>12695.300000000001</v>
      </c>
      <c r="L113" s="26">
        <f t="shared" si="13"/>
        <v>0</v>
      </c>
      <c r="M113" s="26">
        <f t="shared" si="13"/>
        <v>12695.300000000001</v>
      </c>
      <c r="N113" s="26">
        <f t="shared" si="13"/>
        <v>17253.900000000001</v>
      </c>
    </row>
    <row r="114" spans="1:14" s="7" customFormat="1" ht="36" x14ac:dyDescent="0.35">
      <c r="A114" s="11"/>
      <c r="B114" s="24" t="s">
        <v>343</v>
      </c>
      <c r="C114" s="25" t="s">
        <v>1</v>
      </c>
      <c r="D114" s="10" t="s">
        <v>53</v>
      </c>
      <c r="E114" s="10" t="s">
        <v>66</v>
      </c>
      <c r="F114" s="651" t="s">
        <v>68</v>
      </c>
      <c r="G114" s="652" t="s">
        <v>46</v>
      </c>
      <c r="H114" s="652" t="s">
        <v>44</v>
      </c>
      <c r="I114" s="653" t="s">
        <v>45</v>
      </c>
      <c r="J114" s="10"/>
      <c r="K114" s="26">
        <f>K115+K118</f>
        <v>12695.300000000001</v>
      </c>
      <c r="L114" s="26">
        <f>L115+L118</f>
        <v>0</v>
      </c>
      <c r="M114" s="26">
        <f>M115+M118</f>
        <v>12695.300000000001</v>
      </c>
      <c r="N114" s="26">
        <f>N115+N118</f>
        <v>17253.900000000001</v>
      </c>
    </row>
    <row r="115" spans="1:14" s="7" customFormat="1" ht="54" x14ac:dyDescent="0.35">
      <c r="A115" s="11"/>
      <c r="B115" s="24" t="s">
        <v>96</v>
      </c>
      <c r="C115" s="25" t="s">
        <v>1</v>
      </c>
      <c r="D115" s="10" t="s">
        <v>53</v>
      </c>
      <c r="E115" s="10" t="s">
        <v>66</v>
      </c>
      <c r="F115" s="651" t="s">
        <v>68</v>
      </c>
      <c r="G115" s="652" t="s">
        <v>46</v>
      </c>
      <c r="H115" s="652" t="s">
        <v>38</v>
      </c>
      <c r="I115" s="653" t="s">
        <v>45</v>
      </c>
      <c r="J115" s="10"/>
      <c r="K115" s="26">
        <f t="shared" ref="K115:N116" si="14">K116</f>
        <v>11070.6</v>
      </c>
      <c r="L115" s="26">
        <f t="shared" si="14"/>
        <v>0</v>
      </c>
      <c r="M115" s="26">
        <f t="shared" si="14"/>
        <v>11070.6</v>
      </c>
      <c r="N115" s="26">
        <f t="shared" si="14"/>
        <v>15776.9</v>
      </c>
    </row>
    <row r="116" spans="1:14" s="7" customFormat="1" ht="72" x14ac:dyDescent="0.35">
      <c r="A116" s="11"/>
      <c r="B116" s="44" t="s">
        <v>429</v>
      </c>
      <c r="C116" s="25" t="s">
        <v>1</v>
      </c>
      <c r="D116" s="10" t="s">
        <v>53</v>
      </c>
      <c r="E116" s="10" t="s">
        <v>66</v>
      </c>
      <c r="F116" s="651" t="s">
        <v>68</v>
      </c>
      <c r="G116" s="652" t="s">
        <v>46</v>
      </c>
      <c r="H116" s="652" t="s">
        <v>38</v>
      </c>
      <c r="I116" s="653" t="s">
        <v>62</v>
      </c>
      <c r="J116" s="10"/>
      <c r="K116" s="26">
        <f t="shared" si="14"/>
        <v>11070.6</v>
      </c>
      <c r="L116" s="26">
        <f t="shared" si="14"/>
        <v>0</v>
      </c>
      <c r="M116" s="26">
        <f t="shared" si="14"/>
        <v>11070.6</v>
      </c>
      <c r="N116" s="26">
        <f t="shared" si="14"/>
        <v>15776.9</v>
      </c>
    </row>
    <row r="117" spans="1:14" s="143" customFormat="1" ht="18" x14ac:dyDescent="0.35">
      <c r="A117" s="11"/>
      <c r="B117" s="24" t="s">
        <v>58</v>
      </c>
      <c r="C117" s="25" t="s">
        <v>1</v>
      </c>
      <c r="D117" s="10" t="s">
        <v>53</v>
      </c>
      <c r="E117" s="10" t="s">
        <v>66</v>
      </c>
      <c r="F117" s="651" t="s">
        <v>68</v>
      </c>
      <c r="G117" s="652" t="s">
        <v>46</v>
      </c>
      <c r="H117" s="652" t="s">
        <v>38</v>
      </c>
      <c r="I117" s="653" t="s">
        <v>62</v>
      </c>
      <c r="J117" s="10" t="s">
        <v>59</v>
      </c>
      <c r="K117" s="26">
        <v>11070.6</v>
      </c>
      <c r="L117" s="26">
        <f>M117-K117</f>
        <v>0</v>
      </c>
      <c r="M117" s="26">
        <v>11070.6</v>
      </c>
      <c r="N117" s="26">
        <v>15776.9</v>
      </c>
    </row>
    <row r="118" spans="1:14" s="7" customFormat="1" ht="57" customHeight="1" x14ac:dyDescent="0.35">
      <c r="A118" s="11"/>
      <c r="B118" s="24" t="s">
        <v>97</v>
      </c>
      <c r="C118" s="25" t="s">
        <v>1</v>
      </c>
      <c r="D118" s="10" t="s">
        <v>53</v>
      </c>
      <c r="E118" s="10" t="s">
        <v>66</v>
      </c>
      <c r="F118" s="651" t="s">
        <v>68</v>
      </c>
      <c r="G118" s="652" t="s">
        <v>46</v>
      </c>
      <c r="H118" s="652" t="s">
        <v>40</v>
      </c>
      <c r="I118" s="653" t="s">
        <v>45</v>
      </c>
      <c r="J118" s="10"/>
      <c r="K118" s="26">
        <f t="shared" ref="K118:N119" si="15">K119</f>
        <v>1624.7</v>
      </c>
      <c r="L118" s="26">
        <f t="shared" si="15"/>
        <v>0</v>
      </c>
      <c r="M118" s="26">
        <f t="shared" si="15"/>
        <v>1624.7</v>
      </c>
      <c r="N118" s="26">
        <f t="shared" si="15"/>
        <v>1477</v>
      </c>
    </row>
    <row r="119" spans="1:14" s="7" customFormat="1" ht="180" x14ac:dyDescent="0.35">
      <c r="A119" s="11"/>
      <c r="B119" s="24" t="s">
        <v>590</v>
      </c>
      <c r="C119" s="25" t="s">
        <v>1</v>
      </c>
      <c r="D119" s="10" t="s">
        <v>53</v>
      </c>
      <c r="E119" s="10" t="s">
        <v>66</v>
      </c>
      <c r="F119" s="651" t="s">
        <v>68</v>
      </c>
      <c r="G119" s="652" t="s">
        <v>46</v>
      </c>
      <c r="H119" s="652" t="s">
        <v>40</v>
      </c>
      <c r="I119" s="653" t="s">
        <v>98</v>
      </c>
      <c r="J119" s="10"/>
      <c r="K119" s="26">
        <f t="shared" si="15"/>
        <v>1624.7</v>
      </c>
      <c r="L119" s="26">
        <f t="shared" si="15"/>
        <v>0</v>
      </c>
      <c r="M119" s="26">
        <f t="shared" si="15"/>
        <v>1624.7</v>
      </c>
      <c r="N119" s="26">
        <f t="shared" si="15"/>
        <v>1477</v>
      </c>
    </row>
    <row r="120" spans="1:14" s="143" customFormat="1" ht="54" x14ac:dyDescent="0.35">
      <c r="A120" s="11"/>
      <c r="B120" s="24" t="s">
        <v>56</v>
      </c>
      <c r="C120" s="25" t="s">
        <v>1</v>
      </c>
      <c r="D120" s="10" t="s">
        <v>53</v>
      </c>
      <c r="E120" s="10" t="s">
        <v>66</v>
      </c>
      <c r="F120" s="651" t="s">
        <v>68</v>
      </c>
      <c r="G120" s="652" t="s">
        <v>46</v>
      </c>
      <c r="H120" s="652" t="s">
        <v>40</v>
      </c>
      <c r="I120" s="653" t="s">
        <v>98</v>
      </c>
      <c r="J120" s="10" t="s">
        <v>57</v>
      </c>
      <c r="K120" s="26">
        <v>1624.7</v>
      </c>
      <c r="L120" s="26">
        <f>M120-K120</f>
        <v>0</v>
      </c>
      <c r="M120" s="26">
        <v>1624.7</v>
      </c>
      <c r="N120" s="26">
        <v>1477</v>
      </c>
    </row>
    <row r="121" spans="1:14" s="7" customFormat="1" ht="18" x14ac:dyDescent="0.35">
      <c r="A121" s="11"/>
      <c r="B121" s="29" t="s">
        <v>99</v>
      </c>
      <c r="C121" s="25" t="s">
        <v>1</v>
      </c>
      <c r="D121" s="10" t="s">
        <v>53</v>
      </c>
      <c r="E121" s="10" t="s">
        <v>80</v>
      </c>
      <c r="F121" s="651"/>
      <c r="G121" s="652"/>
      <c r="H121" s="652"/>
      <c r="I121" s="653"/>
      <c r="J121" s="10"/>
      <c r="K121" s="26">
        <f t="shared" ref="K121:N125" si="16">K122</f>
        <v>6443.4</v>
      </c>
      <c r="L121" s="26">
        <f t="shared" si="16"/>
        <v>0</v>
      </c>
      <c r="M121" s="26">
        <f t="shared" si="16"/>
        <v>6443.4</v>
      </c>
      <c r="N121" s="26">
        <f t="shared" si="16"/>
        <v>6701.1</v>
      </c>
    </row>
    <row r="122" spans="1:14" s="143" customFormat="1" ht="54" x14ac:dyDescent="0.35">
      <c r="A122" s="11"/>
      <c r="B122" s="24" t="s">
        <v>100</v>
      </c>
      <c r="C122" s="25" t="s">
        <v>1</v>
      </c>
      <c r="D122" s="10" t="s">
        <v>53</v>
      </c>
      <c r="E122" s="10" t="s">
        <v>80</v>
      </c>
      <c r="F122" s="651" t="s">
        <v>101</v>
      </c>
      <c r="G122" s="652" t="s">
        <v>43</v>
      </c>
      <c r="H122" s="652" t="s">
        <v>44</v>
      </c>
      <c r="I122" s="653" t="s">
        <v>45</v>
      </c>
      <c r="J122" s="10"/>
      <c r="K122" s="26">
        <f t="shared" si="16"/>
        <v>6443.4</v>
      </c>
      <c r="L122" s="26">
        <f t="shared" si="16"/>
        <v>0</v>
      </c>
      <c r="M122" s="26">
        <f t="shared" si="16"/>
        <v>6443.4</v>
      </c>
      <c r="N122" s="26">
        <f t="shared" si="16"/>
        <v>6701.1</v>
      </c>
    </row>
    <row r="123" spans="1:14" s="7" customFormat="1" ht="36" x14ac:dyDescent="0.35">
      <c r="A123" s="11"/>
      <c r="B123" s="24" t="s">
        <v>343</v>
      </c>
      <c r="C123" s="25" t="s">
        <v>1</v>
      </c>
      <c r="D123" s="10" t="s">
        <v>53</v>
      </c>
      <c r="E123" s="10" t="s">
        <v>80</v>
      </c>
      <c r="F123" s="651" t="s">
        <v>101</v>
      </c>
      <c r="G123" s="652" t="s">
        <v>46</v>
      </c>
      <c r="H123" s="652" t="s">
        <v>44</v>
      </c>
      <c r="I123" s="653" t="s">
        <v>45</v>
      </c>
      <c r="J123" s="10"/>
      <c r="K123" s="26">
        <f t="shared" si="16"/>
        <v>6443.4</v>
      </c>
      <c r="L123" s="26">
        <f t="shared" si="16"/>
        <v>0</v>
      </c>
      <c r="M123" s="26">
        <f t="shared" si="16"/>
        <v>6443.4</v>
      </c>
      <c r="N123" s="26">
        <f t="shared" si="16"/>
        <v>6701.1</v>
      </c>
    </row>
    <row r="124" spans="1:14" s="7" customFormat="1" ht="90" x14ac:dyDescent="0.35">
      <c r="A124" s="11"/>
      <c r="B124" s="24" t="s">
        <v>102</v>
      </c>
      <c r="C124" s="25" t="s">
        <v>1</v>
      </c>
      <c r="D124" s="10" t="s">
        <v>53</v>
      </c>
      <c r="E124" s="10" t="s">
        <v>80</v>
      </c>
      <c r="F124" s="651" t="s">
        <v>101</v>
      </c>
      <c r="G124" s="652" t="s">
        <v>46</v>
      </c>
      <c r="H124" s="652" t="s">
        <v>38</v>
      </c>
      <c r="I124" s="653" t="s">
        <v>45</v>
      </c>
      <c r="J124" s="10"/>
      <c r="K124" s="26">
        <f t="shared" si="16"/>
        <v>6443.4</v>
      </c>
      <c r="L124" s="26">
        <f t="shared" si="16"/>
        <v>0</v>
      </c>
      <c r="M124" s="26">
        <f t="shared" si="16"/>
        <v>6443.4</v>
      </c>
      <c r="N124" s="26">
        <f t="shared" si="16"/>
        <v>6701.1</v>
      </c>
    </row>
    <row r="125" spans="1:14" s="7" customFormat="1" ht="75.75" customHeight="1" x14ac:dyDescent="0.35">
      <c r="A125" s="11"/>
      <c r="B125" s="30" t="s">
        <v>103</v>
      </c>
      <c r="C125" s="25" t="s">
        <v>1</v>
      </c>
      <c r="D125" s="10" t="s">
        <v>53</v>
      </c>
      <c r="E125" s="10" t="s">
        <v>80</v>
      </c>
      <c r="F125" s="651" t="s">
        <v>101</v>
      </c>
      <c r="G125" s="652" t="s">
        <v>46</v>
      </c>
      <c r="H125" s="652" t="s">
        <v>38</v>
      </c>
      <c r="I125" s="653" t="s">
        <v>104</v>
      </c>
      <c r="J125" s="10"/>
      <c r="K125" s="26">
        <f t="shared" si="16"/>
        <v>6443.4</v>
      </c>
      <c r="L125" s="26">
        <f t="shared" si="16"/>
        <v>0</v>
      </c>
      <c r="M125" s="26">
        <f t="shared" si="16"/>
        <v>6443.4</v>
      </c>
      <c r="N125" s="26">
        <f t="shared" si="16"/>
        <v>6701.1</v>
      </c>
    </row>
    <row r="126" spans="1:14" s="143" customFormat="1" ht="54" x14ac:dyDescent="0.35">
      <c r="A126" s="11"/>
      <c r="B126" s="24" t="s">
        <v>56</v>
      </c>
      <c r="C126" s="25" t="s">
        <v>1</v>
      </c>
      <c r="D126" s="10" t="s">
        <v>53</v>
      </c>
      <c r="E126" s="10" t="s">
        <v>80</v>
      </c>
      <c r="F126" s="651" t="s">
        <v>101</v>
      </c>
      <c r="G126" s="652" t="s">
        <v>46</v>
      </c>
      <c r="H126" s="652" t="s">
        <v>38</v>
      </c>
      <c r="I126" s="653" t="s">
        <v>104</v>
      </c>
      <c r="J126" s="10" t="s">
        <v>57</v>
      </c>
      <c r="K126" s="26">
        <v>6443.4</v>
      </c>
      <c r="L126" s="26">
        <f>M126-K126</f>
        <v>0</v>
      </c>
      <c r="M126" s="26">
        <v>6443.4</v>
      </c>
      <c r="N126" s="26">
        <v>6701.1</v>
      </c>
    </row>
    <row r="127" spans="1:14" s="7" customFormat="1" ht="36" x14ac:dyDescent="0.35">
      <c r="A127" s="11"/>
      <c r="B127" s="29" t="s">
        <v>107</v>
      </c>
      <c r="C127" s="25" t="s">
        <v>1</v>
      </c>
      <c r="D127" s="10" t="s">
        <v>53</v>
      </c>
      <c r="E127" s="10" t="s">
        <v>101</v>
      </c>
      <c r="F127" s="651"/>
      <c r="G127" s="652"/>
      <c r="H127" s="652"/>
      <c r="I127" s="653"/>
      <c r="J127" s="10"/>
      <c r="K127" s="26">
        <f>K128+K137+K146</f>
        <v>9150.2999999999993</v>
      </c>
      <c r="L127" s="26">
        <f>L128+L137+L146</f>
        <v>22354.2</v>
      </c>
      <c r="M127" s="26">
        <f>M128+M137+M146</f>
        <v>31504.5</v>
      </c>
      <c r="N127" s="26">
        <f>N128+N137+N146</f>
        <v>7502.6</v>
      </c>
    </row>
    <row r="128" spans="1:14" s="143" customFormat="1" ht="72" x14ac:dyDescent="0.35">
      <c r="A128" s="11"/>
      <c r="B128" s="24" t="s">
        <v>108</v>
      </c>
      <c r="C128" s="25" t="s">
        <v>1</v>
      </c>
      <c r="D128" s="10" t="s">
        <v>53</v>
      </c>
      <c r="E128" s="10" t="s">
        <v>101</v>
      </c>
      <c r="F128" s="651" t="s">
        <v>72</v>
      </c>
      <c r="G128" s="652" t="s">
        <v>43</v>
      </c>
      <c r="H128" s="652" t="s">
        <v>44</v>
      </c>
      <c r="I128" s="653" t="s">
        <v>45</v>
      </c>
      <c r="J128" s="10"/>
      <c r="K128" s="26">
        <f>K133+K129</f>
        <v>1025.0999999999999</v>
      </c>
      <c r="L128" s="26">
        <f>L133+L129</f>
        <v>0</v>
      </c>
      <c r="M128" s="26">
        <f>M133+M129</f>
        <v>1025.0999999999999</v>
      </c>
      <c r="N128" s="26">
        <f>N133+N129</f>
        <v>1025.0999999999999</v>
      </c>
    </row>
    <row r="129" spans="1:14" s="143" customFormat="1" ht="54" x14ac:dyDescent="0.35">
      <c r="A129" s="11"/>
      <c r="B129" s="29" t="s">
        <v>109</v>
      </c>
      <c r="C129" s="25" t="s">
        <v>1</v>
      </c>
      <c r="D129" s="10" t="s">
        <v>53</v>
      </c>
      <c r="E129" s="10" t="s">
        <v>101</v>
      </c>
      <c r="F129" s="651" t="s">
        <v>72</v>
      </c>
      <c r="G129" s="652" t="s">
        <v>46</v>
      </c>
      <c r="H129" s="652" t="s">
        <v>44</v>
      </c>
      <c r="I129" s="653" t="s">
        <v>45</v>
      </c>
      <c r="J129" s="10"/>
      <c r="K129" s="26">
        <f t="shared" ref="K129:N131" si="17">K130</f>
        <v>310</v>
      </c>
      <c r="L129" s="26">
        <f t="shared" si="17"/>
        <v>0</v>
      </c>
      <c r="M129" s="26">
        <f t="shared" si="17"/>
        <v>310</v>
      </c>
      <c r="N129" s="26">
        <f t="shared" si="17"/>
        <v>310</v>
      </c>
    </row>
    <row r="130" spans="1:14" s="143" customFormat="1" ht="36" x14ac:dyDescent="0.35">
      <c r="A130" s="11"/>
      <c r="B130" s="24" t="s">
        <v>110</v>
      </c>
      <c r="C130" s="25" t="s">
        <v>1</v>
      </c>
      <c r="D130" s="10" t="s">
        <v>53</v>
      </c>
      <c r="E130" s="10" t="s">
        <v>101</v>
      </c>
      <c r="F130" s="651" t="s">
        <v>72</v>
      </c>
      <c r="G130" s="652" t="s">
        <v>46</v>
      </c>
      <c r="H130" s="652" t="s">
        <v>38</v>
      </c>
      <c r="I130" s="653" t="s">
        <v>45</v>
      </c>
      <c r="J130" s="10"/>
      <c r="K130" s="26">
        <f t="shared" si="17"/>
        <v>310</v>
      </c>
      <c r="L130" s="26">
        <f t="shared" si="17"/>
        <v>0</v>
      </c>
      <c r="M130" s="26">
        <f t="shared" si="17"/>
        <v>310</v>
      </c>
      <c r="N130" s="26">
        <f t="shared" si="17"/>
        <v>310</v>
      </c>
    </row>
    <row r="131" spans="1:14" s="143" customFormat="1" ht="36" x14ac:dyDescent="0.35">
      <c r="A131" s="11"/>
      <c r="B131" s="29" t="s">
        <v>111</v>
      </c>
      <c r="C131" s="25" t="s">
        <v>1</v>
      </c>
      <c r="D131" s="10" t="s">
        <v>53</v>
      </c>
      <c r="E131" s="10" t="s">
        <v>101</v>
      </c>
      <c r="F131" s="651" t="s">
        <v>72</v>
      </c>
      <c r="G131" s="652" t="s">
        <v>46</v>
      </c>
      <c r="H131" s="652" t="s">
        <v>38</v>
      </c>
      <c r="I131" s="653" t="s">
        <v>112</v>
      </c>
      <c r="J131" s="10"/>
      <c r="K131" s="26">
        <f t="shared" si="17"/>
        <v>310</v>
      </c>
      <c r="L131" s="26">
        <f t="shared" si="17"/>
        <v>0</v>
      </c>
      <c r="M131" s="26">
        <f t="shared" si="17"/>
        <v>310</v>
      </c>
      <c r="N131" s="26">
        <f t="shared" si="17"/>
        <v>310</v>
      </c>
    </row>
    <row r="132" spans="1:14" s="143" customFormat="1" ht="54" x14ac:dyDescent="0.35">
      <c r="A132" s="11"/>
      <c r="B132" s="24" t="s">
        <v>56</v>
      </c>
      <c r="C132" s="25" t="s">
        <v>1</v>
      </c>
      <c r="D132" s="10" t="s">
        <v>53</v>
      </c>
      <c r="E132" s="10" t="s">
        <v>101</v>
      </c>
      <c r="F132" s="651" t="s">
        <v>72</v>
      </c>
      <c r="G132" s="652" t="s">
        <v>46</v>
      </c>
      <c r="H132" s="652" t="s">
        <v>38</v>
      </c>
      <c r="I132" s="653" t="s">
        <v>112</v>
      </c>
      <c r="J132" s="10" t="s">
        <v>57</v>
      </c>
      <c r="K132" s="26">
        <v>310</v>
      </c>
      <c r="L132" s="26">
        <f>M132-K132</f>
        <v>0</v>
      </c>
      <c r="M132" s="26">
        <v>310</v>
      </c>
      <c r="N132" s="26">
        <v>310</v>
      </c>
    </row>
    <row r="133" spans="1:14" s="143" customFormat="1" ht="36" x14ac:dyDescent="0.35">
      <c r="A133" s="11"/>
      <c r="B133" s="29" t="s">
        <v>113</v>
      </c>
      <c r="C133" s="25" t="s">
        <v>1</v>
      </c>
      <c r="D133" s="10" t="s">
        <v>53</v>
      </c>
      <c r="E133" s="10" t="s">
        <v>101</v>
      </c>
      <c r="F133" s="651" t="s">
        <v>72</v>
      </c>
      <c r="G133" s="652" t="s">
        <v>90</v>
      </c>
      <c r="H133" s="652" t="s">
        <v>44</v>
      </c>
      <c r="I133" s="653" t="s">
        <v>45</v>
      </c>
      <c r="J133" s="10"/>
      <c r="K133" s="26">
        <f t="shared" ref="K133:N135" si="18">K134</f>
        <v>715.1</v>
      </c>
      <c r="L133" s="26">
        <f t="shared" si="18"/>
        <v>0</v>
      </c>
      <c r="M133" s="26">
        <f t="shared" si="18"/>
        <v>715.1</v>
      </c>
      <c r="N133" s="26">
        <f t="shared" si="18"/>
        <v>715.1</v>
      </c>
    </row>
    <row r="134" spans="1:14" s="7" customFormat="1" ht="54" x14ac:dyDescent="0.35">
      <c r="A134" s="11"/>
      <c r="B134" s="29" t="s">
        <v>114</v>
      </c>
      <c r="C134" s="25" t="s">
        <v>1</v>
      </c>
      <c r="D134" s="10" t="s">
        <v>53</v>
      </c>
      <c r="E134" s="10" t="s">
        <v>101</v>
      </c>
      <c r="F134" s="651" t="s">
        <v>72</v>
      </c>
      <c r="G134" s="652" t="s">
        <v>90</v>
      </c>
      <c r="H134" s="652" t="s">
        <v>38</v>
      </c>
      <c r="I134" s="653" t="s">
        <v>45</v>
      </c>
      <c r="J134" s="10"/>
      <c r="K134" s="26">
        <f t="shared" si="18"/>
        <v>715.1</v>
      </c>
      <c r="L134" s="26">
        <f t="shared" si="18"/>
        <v>0</v>
      </c>
      <c r="M134" s="26">
        <f t="shared" si="18"/>
        <v>715.1</v>
      </c>
      <c r="N134" s="26">
        <f t="shared" si="18"/>
        <v>715.1</v>
      </c>
    </row>
    <row r="135" spans="1:14" s="143" customFormat="1" ht="79.5" customHeight="1" x14ac:dyDescent="0.35">
      <c r="A135" s="11"/>
      <c r="B135" s="29" t="s">
        <v>115</v>
      </c>
      <c r="C135" s="25" t="s">
        <v>1</v>
      </c>
      <c r="D135" s="10" t="s">
        <v>53</v>
      </c>
      <c r="E135" s="10" t="s">
        <v>101</v>
      </c>
      <c r="F135" s="651" t="s">
        <v>72</v>
      </c>
      <c r="G135" s="652" t="s">
        <v>90</v>
      </c>
      <c r="H135" s="652" t="s">
        <v>38</v>
      </c>
      <c r="I135" s="653" t="s">
        <v>116</v>
      </c>
      <c r="J135" s="10"/>
      <c r="K135" s="26">
        <f t="shared" si="18"/>
        <v>715.1</v>
      </c>
      <c r="L135" s="26">
        <f t="shared" si="18"/>
        <v>0</v>
      </c>
      <c r="M135" s="26">
        <f t="shared" si="18"/>
        <v>715.1</v>
      </c>
      <c r="N135" s="26">
        <f t="shared" si="18"/>
        <v>715.1</v>
      </c>
    </row>
    <row r="136" spans="1:14" s="7" customFormat="1" ht="54" x14ac:dyDescent="0.35">
      <c r="A136" s="11"/>
      <c r="B136" s="24" t="s">
        <v>56</v>
      </c>
      <c r="C136" s="25" t="s">
        <v>1</v>
      </c>
      <c r="D136" s="10" t="s">
        <v>53</v>
      </c>
      <c r="E136" s="10" t="s">
        <v>101</v>
      </c>
      <c r="F136" s="651" t="s">
        <v>72</v>
      </c>
      <c r="G136" s="652" t="s">
        <v>90</v>
      </c>
      <c r="H136" s="652" t="s">
        <v>38</v>
      </c>
      <c r="I136" s="653" t="s">
        <v>116</v>
      </c>
      <c r="J136" s="10" t="s">
        <v>57</v>
      </c>
      <c r="K136" s="26">
        <v>715.1</v>
      </c>
      <c r="L136" s="26">
        <f>M136-K136</f>
        <v>0</v>
      </c>
      <c r="M136" s="26">
        <v>715.1</v>
      </c>
      <c r="N136" s="26">
        <v>715.1</v>
      </c>
    </row>
    <row r="137" spans="1:14" s="143" customFormat="1" ht="72" x14ac:dyDescent="0.35">
      <c r="A137" s="11"/>
      <c r="B137" s="24" t="s">
        <v>117</v>
      </c>
      <c r="C137" s="25" t="s">
        <v>1</v>
      </c>
      <c r="D137" s="10" t="s">
        <v>53</v>
      </c>
      <c r="E137" s="10" t="s">
        <v>101</v>
      </c>
      <c r="F137" s="651" t="s">
        <v>89</v>
      </c>
      <c r="G137" s="652" t="s">
        <v>43</v>
      </c>
      <c r="H137" s="652" t="s">
        <v>44</v>
      </c>
      <c r="I137" s="653" t="s">
        <v>45</v>
      </c>
      <c r="J137" s="10"/>
      <c r="K137" s="26">
        <f t="shared" ref="K137:N138" si="19">K138</f>
        <v>891.19999999999993</v>
      </c>
      <c r="L137" s="26">
        <f t="shared" si="19"/>
        <v>22354.2</v>
      </c>
      <c r="M137" s="26">
        <f t="shared" si="19"/>
        <v>23245.4</v>
      </c>
      <c r="N137" s="26">
        <f t="shared" si="19"/>
        <v>934.19999999999993</v>
      </c>
    </row>
    <row r="138" spans="1:14" s="143" customFormat="1" ht="36" x14ac:dyDescent="0.35">
      <c r="A138" s="11"/>
      <c r="B138" s="24" t="s">
        <v>343</v>
      </c>
      <c r="C138" s="25" t="s">
        <v>1</v>
      </c>
      <c r="D138" s="10" t="s">
        <v>53</v>
      </c>
      <c r="E138" s="10" t="s">
        <v>101</v>
      </c>
      <c r="F138" s="651" t="s">
        <v>89</v>
      </c>
      <c r="G138" s="652" t="s">
        <v>46</v>
      </c>
      <c r="H138" s="652" t="s">
        <v>44</v>
      </c>
      <c r="I138" s="653" t="s">
        <v>45</v>
      </c>
      <c r="J138" s="10"/>
      <c r="K138" s="26">
        <f t="shared" si="19"/>
        <v>891.19999999999993</v>
      </c>
      <c r="L138" s="26">
        <f t="shared" si="19"/>
        <v>22354.2</v>
      </c>
      <c r="M138" s="26">
        <f t="shared" si="19"/>
        <v>23245.4</v>
      </c>
      <c r="N138" s="26">
        <f t="shared" si="19"/>
        <v>934.19999999999993</v>
      </c>
    </row>
    <row r="139" spans="1:14" s="7" customFormat="1" ht="72" x14ac:dyDescent="0.35">
      <c r="A139" s="11"/>
      <c r="B139" s="29" t="s">
        <v>310</v>
      </c>
      <c r="C139" s="25" t="s">
        <v>1</v>
      </c>
      <c r="D139" s="10" t="s">
        <v>53</v>
      </c>
      <c r="E139" s="10" t="s">
        <v>101</v>
      </c>
      <c r="F139" s="651" t="s">
        <v>89</v>
      </c>
      <c r="G139" s="652" t="s">
        <v>46</v>
      </c>
      <c r="H139" s="652" t="s">
        <v>38</v>
      </c>
      <c r="I139" s="653" t="s">
        <v>45</v>
      </c>
      <c r="J139" s="10"/>
      <c r="K139" s="26">
        <f>K142+K140</f>
        <v>891.19999999999993</v>
      </c>
      <c r="L139" s="26">
        <f>L142+L140+L144</f>
        <v>22354.2</v>
      </c>
      <c r="M139" s="26">
        <f t="shared" ref="M139:N139" si="20">M142+M140+M144</f>
        <v>23245.4</v>
      </c>
      <c r="N139" s="26">
        <f t="shared" si="20"/>
        <v>934.19999999999993</v>
      </c>
    </row>
    <row r="140" spans="1:14" s="7" customFormat="1" ht="54" x14ac:dyDescent="0.35">
      <c r="A140" s="11"/>
      <c r="B140" s="29" t="s">
        <v>118</v>
      </c>
      <c r="C140" s="25" t="s">
        <v>1</v>
      </c>
      <c r="D140" s="10" t="s">
        <v>53</v>
      </c>
      <c r="E140" s="10" t="s">
        <v>101</v>
      </c>
      <c r="F140" s="651" t="s">
        <v>89</v>
      </c>
      <c r="G140" s="652" t="s">
        <v>46</v>
      </c>
      <c r="H140" s="652" t="s">
        <v>38</v>
      </c>
      <c r="I140" s="653" t="s">
        <v>119</v>
      </c>
      <c r="J140" s="10"/>
      <c r="K140" s="26">
        <f>K141</f>
        <v>68.900000000000006</v>
      </c>
      <c r="L140" s="26">
        <f>L141</f>
        <v>0</v>
      </c>
      <c r="M140" s="26">
        <f>M141</f>
        <v>68.900000000000006</v>
      </c>
      <c r="N140" s="26">
        <f>N141</f>
        <v>111.9</v>
      </c>
    </row>
    <row r="141" spans="1:14" s="7" customFormat="1" ht="54" x14ac:dyDescent="0.35">
      <c r="A141" s="11"/>
      <c r="B141" s="24" t="s">
        <v>56</v>
      </c>
      <c r="C141" s="25" t="s">
        <v>1</v>
      </c>
      <c r="D141" s="10" t="s">
        <v>53</v>
      </c>
      <c r="E141" s="10" t="s">
        <v>101</v>
      </c>
      <c r="F141" s="651" t="s">
        <v>89</v>
      </c>
      <c r="G141" s="652" t="s">
        <v>46</v>
      </c>
      <c r="H141" s="652" t="s">
        <v>38</v>
      </c>
      <c r="I141" s="653" t="s">
        <v>119</v>
      </c>
      <c r="J141" s="10" t="s">
        <v>57</v>
      </c>
      <c r="K141" s="26">
        <f>112.2-43.3</f>
        <v>68.900000000000006</v>
      </c>
      <c r="L141" s="26">
        <f>M141-K141</f>
        <v>0</v>
      </c>
      <c r="M141" s="26">
        <f>112.2-43.3</f>
        <v>68.900000000000006</v>
      </c>
      <c r="N141" s="26">
        <f>112.2-0.3</f>
        <v>111.9</v>
      </c>
    </row>
    <row r="142" spans="1:14" s="7" customFormat="1" ht="90" x14ac:dyDescent="0.35">
      <c r="A142" s="11"/>
      <c r="B142" s="24" t="s">
        <v>591</v>
      </c>
      <c r="C142" s="25" t="s">
        <v>1</v>
      </c>
      <c r="D142" s="10" t="s">
        <v>53</v>
      </c>
      <c r="E142" s="10" t="s">
        <v>101</v>
      </c>
      <c r="F142" s="651" t="s">
        <v>89</v>
      </c>
      <c r="G142" s="652" t="s">
        <v>46</v>
      </c>
      <c r="H142" s="652" t="s">
        <v>38</v>
      </c>
      <c r="I142" s="653" t="s">
        <v>589</v>
      </c>
      <c r="J142" s="10"/>
      <c r="K142" s="26">
        <f>K143</f>
        <v>822.3</v>
      </c>
      <c r="L142" s="26">
        <f>L143</f>
        <v>0</v>
      </c>
      <c r="M142" s="26">
        <f>M143</f>
        <v>822.3</v>
      </c>
      <c r="N142" s="26">
        <f>N143</f>
        <v>822.3</v>
      </c>
    </row>
    <row r="143" spans="1:14" s="7" customFormat="1" ht="54" x14ac:dyDescent="0.35">
      <c r="A143" s="11"/>
      <c r="B143" s="24" t="s">
        <v>56</v>
      </c>
      <c r="C143" s="25" t="s">
        <v>1</v>
      </c>
      <c r="D143" s="10" t="s">
        <v>53</v>
      </c>
      <c r="E143" s="10" t="s">
        <v>101</v>
      </c>
      <c r="F143" s="651" t="s">
        <v>89</v>
      </c>
      <c r="G143" s="652" t="s">
        <v>46</v>
      </c>
      <c r="H143" s="652" t="s">
        <v>38</v>
      </c>
      <c r="I143" s="653" t="s">
        <v>589</v>
      </c>
      <c r="J143" s="10" t="s">
        <v>57</v>
      </c>
      <c r="K143" s="26">
        <f>779+43.3</f>
        <v>822.3</v>
      </c>
      <c r="L143" s="26">
        <f>M143-K143</f>
        <v>0</v>
      </c>
      <c r="M143" s="26">
        <f>779+43.3</f>
        <v>822.3</v>
      </c>
      <c r="N143" s="26">
        <f>779+43+0.3</f>
        <v>822.3</v>
      </c>
    </row>
    <row r="144" spans="1:14" s="7" customFormat="1" ht="72" x14ac:dyDescent="0.35">
      <c r="A144" s="11"/>
      <c r="B144" s="24" t="s">
        <v>718</v>
      </c>
      <c r="C144" s="25" t="s">
        <v>1</v>
      </c>
      <c r="D144" s="10" t="s">
        <v>53</v>
      </c>
      <c r="E144" s="10" t="s">
        <v>101</v>
      </c>
      <c r="F144" s="651" t="s">
        <v>89</v>
      </c>
      <c r="G144" s="652" t="s">
        <v>46</v>
      </c>
      <c r="H144" s="652" t="s">
        <v>38</v>
      </c>
      <c r="I144" s="653" t="s">
        <v>714</v>
      </c>
      <c r="J144" s="10"/>
      <c r="K144" s="26"/>
      <c r="L144" s="26">
        <f>L145</f>
        <v>22354.2</v>
      </c>
      <c r="M144" s="26">
        <f>M145</f>
        <v>22354.2</v>
      </c>
      <c r="N144" s="26">
        <f t="shared" ref="N144" si="21">N145</f>
        <v>0</v>
      </c>
    </row>
    <row r="145" spans="1:14" s="7" customFormat="1" ht="54" x14ac:dyDescent="0.35">
      <c r="A145" s="11"/>
      <c r="B145" s="24" t="s">
        <v>56</v>
      </c>
      <c r="C145" s="25" t="s">
        <v>1</v>
      </c>
      <c r="D145" s="10" t="s">
        <v>53</v>
      </c>
      <c r="E145" s="10" t="s">
        <v>101</v>
      </c>
      <c r="F145" s="651" t="s">
        <v>89</v>
      </c>
      <c r="G145" s="652" t="s">
        <v>46</v>
      </c>
      <c r="H145" s="652" t="s">
        <v>38</v>
      </c>
      <c r="I145" s="653" t="s">
        <v>714</v>
      </c>
      <c r="J145" s="10" t="s">
        <v>57</v>
      </c>
      <c r="K145" s="26"/>
      <c r="L145" s="26">
        <f>M145-K145</f>
        <v>22354.2</v>
      </c>
      <c r="M145" s="26">
        <f>20118.7+2235.5</f>
        <v>22354.2</v>
      </c>
      <c r="N145" s="26">
        <v>0</v>
      </c>
    </row>
    <row r="146" spans="1:14" s="7" customFormat="1" ht="54" x14ac:dyDescent="0.35">
      <c r="A146" s="11"/>
      <c r="B146" s="24" t="s">
        <v>41</v>
      </c>
      <c r="C146" s="25" t="s">
        <v>1</v>
      </c>
      <c r="D146" s="10" t="s">
        <v>53</v>
      </c>
      <c r="E146" s="10" t="s">
        <v>101</v>
      </c>
      <c r="F146" s="651" t="s">
        <v>42</v>
      </c>
      <c r="G146" s="652" t="s">
        <v>43</v>
      </c>
      <c r="H146" s="652" t="s">
        <v>44</v>
      </c>
      <c r="I146" s="653" t="s">
        <v>45</v>
      </c>
      <c r="J146" s="10"/>
      <c r="K146" s="26">
        <f t="shared" ref="K146:N147" si="22">K147</f>
        <v>7234</v>
      </c>
      <c r="L146" s="26">
        <f t="shared" si="22"/>
        <v>0</v>
      </c>
      <c r="M146" s="26">
        <f t="shared" si="22"/>
        <v>7234</v>
      </c>
      <c r="N146" s="26">
        <f t="shared" si="22"/>
        <v>5543.3</v>
      </c>
    </row>
    <row r="147" spans="1:14" s="7" customFormat="1" ht="36" x14ac:dyDescent="0.35">
      <c r="A147" s="11"/>
      <c r="B147" s="24" t="s">
        <v>343</v>
      </c>
      <c r="C147" s="25" t="s">
        <v>1</v>
      </c>
      <c r="D147" s="10" t="s">
        <v>53</v>
      </c>
      <c r="E147" s="10" t="s">
        <v>101</v>
      </c>
      <c r="F147" s="651" t="s">
        <v>42</v>
      </c>
      <c r="G147" s="652" t="s">
        <v>46</v>
      </c>
      <c r="H147" s="652" t="s">
        <v>44</v>
      </c>
      <c r="I147" s="653" t="s">
        <v>45</v>
      </c>
      <c r="J147" s="10"/>
      <c r="K147" s="26">
        <f t="shared" si="22"/>
        <v>7234</v>
      </c>
      <c r="L147" s="26">
        <f t="shared" si="22"/>
        <v>0</v>
      </c>
      <c r="M147" s="26">
        <f t="shared" si="22"/>
        <v>7234</v>
      </c>
      <c r="N147" s="26">
        <f t="shared" si="22"/>
        <v>5543.3</v>
      </c>
    </row>
    <row r="148" spans="1:14" s="7" customFormat="1" ht="54" x14ac:dyDescent="0.35">
      <c r="A148" s="11"/>
      <c r="B148" s="24" t="s">
        <v>335</v>
      </c>
      <c r="C148" s="25" t="s">
        <v>1</v>
      </c>
      <c r="D148" s="10" t="s">
        <v>53</v>
      </c>
      <c r="E148" s="10" t="s">
        <v>101</v>
      </c>
      <c r="F148" s="651" t="s">
        <v>42</v>
      </c>
      <c r="G148" s="652" t="s">
        <v>46</v>
      </c>
      <c r="H148" s="652" t="s">
        <v>89</v>
      </c>
      <c r="I148" s="653" t="s">
        <v>45</v>
      </c>
      <c r="J148" s="10"/>
      <c r="K148" s="26">
        <f>K149+K152</f>
        <v>7234</v>
      </c>
      <c r="L148" s="26">
        <f>L149+L152</f>
        <v>0</v>
      </c>
      <c r="M148" s="26">
        <f>M149+M152</f>
        <v>7234</v>
      </c>
      <c r="N148" s="26">
        <f>N149+N152</f>
        <v>5543.3</v>
      </c>
    </row>
    <row r="149" spans="1:14" s="7" customFormat="1" ht="41.25" customHeight="1" x14ac:dyDescent="0.35">
      <c r="A149" s="11"/>
      <c r="B149" s="105" t="s">
        <v>490</v>
      </c>
      <c r="C149" s="25" t="s">
        <v>1</v>
      </c>
      <c r="D149" s="10" t="s">
        <v>53</v>
      </c>
      <c r="E149" s="10" t="s">
        <v>101</v>
      </c>
      <c r="F149" s="651" t="s">
        <v>42</v>
      </c>
      <c r="G149" s="652" t="s">
        <v>46</v>
      </c>
      <c r="H149" s="652" t="s">
        <v>89</v>
      </c>
      <c r="I149" s="653" t="s">
        <v>92</v>
      </c>
      <c r="J149" s="10"/>
      <c r="K149" s="26">
        <f>K150+K151</f>
        <v>5491</v>
      </c>
      <c r="L149" s="26">
        <f>L150+L151</f>
        <v>0</v>
      </c>
      <c r="M149" s="26">
        <f>M150+M151</f>
        <v>5491</v>
      </c>
      <c r="N149" s="26">
        <f>N150+N151</f>
        <v>5543.3</v>
      </c>
    </row>
    <row r="150" spans="1:14" s="7" customFormat="1" ht="108" x14ac:dyDescent="0.35">
      <c r="A150" s="11"/>
      <c r="B150" s="24" t="s">
        <v>50</v>
      </c>
      <c r="C150" s="25" t="s">
        <v>1</v>
      </c>
      <c r="D150" s="10" t="s">
        <v>53</v>
      </c>
      <c r="E150" s="10" t="s">
        <v>101</v>
      </c>
      <c r="F150" s="651" t="s">
        <v>42</v>
      </c>
      <c r="G150" s="652" t="s">
        <v>46</v>
      </c>
      <c r="H150" s="652" t="s">
        <v>89</v>
      </c>
      <c r="I150" s="653" t="s">
        <v>92</v>
      </c>
      <c r="J150" s="10" t="s">
        <v>51</v>
      </c>
      <c r="K150" s="26">
        <v>5398</v>
      </c>
      <c r="L150" s="26">
        <f>M150-K150</f>
        <v>0</v>
      </c>
      <c r="M150" s="26">
        <v>5398</v>
      </c>
      <c r="N150" s="26">
        <v>5398</v>
      </c>
    </row>
    <row r="151" spans="1:14" s="7" customFormat="1" ht="54" x14ac:dyDescent="0.35">
      <c r="A151" s="11"/>
      <c r="B151" s="24" t="s">
        <v>56</v>
      </c>
      <c r="C151" s="25" t="s">
        <v>1</v>
      </c>
      <c r="D151" s="10" t="s">
        <v>53</v>
      </c>
      <c r="E151" s="10" t="s">
        <v>101</v>
      </c>
      <c r="F151" s="651" t="s">
        <v>42</v>
      </c>
      <c r="G151" s="652" t="s">
        <v>46</v>
      </c>
      <c r="H151" s="652" t="s">
        <v>89</v>
      </c>
      <c r="I151" s="653" t="s">
        <v>92</v>
      </c>
      <c r="J151" s="10" t="s">
        <v>57</v>
      </c>
      <c r="K151" s="26">
        <f>145.3-52.3</f>
        <v>93.000000000000014</v>
      </c>
      <c r="L151" s="26">
        <f>M151-K151</f>
        <v>0</v>
      </c>
      <c r="M151" s="26">
        <f>145.3-52.3</f>
        <v>93.000000000000014</v>
      </c>
      <c r="N151" s="26">
        <v>145.30000000000001</v>
      </c>
    </row>
    <row r="152" spans="1:14" s="7" customFormat="1" ht="54" x14ac:dyDescent="0.35">
      <c r="A152" s="11"/>
      <c r="B152" s="24" t="s">
        <v>610</v>
      </c>
      <c r="C152" s="25" t="s">
        <v>1</v>
      </c>
      <c r="D152" s="10" t="s">
        <v>53</v>
      </c>
      <c r="E152" s="10" t="s">
        <v>101</v>
      </c>
      <c r="F152" s="651" t="s">
        <v>42</v>
      </c>
      <c r="G152" s="652" t="s">
        <v>46</v>
      </c>
      <c r="H152" s="652" t="s">
        <v>89</v>
      </c>
      <c r="I152" s="653" t="s">
        <v>609</v>
      </c>
      <c r="J152" s="10"/>
      <c r="K152" s="26">
        <f>K153</f>
        <v>1743</v>
      </c>
      <c r="L152" s="26">
        <f>L153</f>
        <v>0</v>
      </c>
      <c r="M152" s="26">
        <f>M153</f>
        <v>1743</v>
      </c>
      <c r="N152" s="26">
        <f>N153</f>
        <v>0</v>
      </c>
    </row>
    <row r="153" spans="1:14" s="7" customFormat="1" ht="54" x14ac:dyDescent="0.35">
      <c r="A153" s="11"/>
      <c r="B153" s="24" t="s">
        <v>56</v>
      </c>
      <c r="C153" s="25" t="s">
        <v>1</v>
      </c>
      <c r="D153" s="10" t="s">
        <v>53</v>
      </c>
      <c r="E153" s="10" t="s">
        <v>101</v>
      </c>
      <c r="F153" s="651" t="s">
        <v>42</v>
      </c>
      <c r="G153" s="652" t="s">
        <v>46</v>
      </c>
      <c r="H153" s="652" t="s">
        <v>89</v>
      </c>
      <c r="I153" s="653" t="s">
        <v>609</v>
      </c>
      <c r="J153" s="10" t="s">
        <v>57</v>
      </c>
      <c r="K153" s="26">
        <f>52.3+1690.7</f>
        <v>1743</v>
      </c>
      <c r="L153" s="26">
        <f>M153-K153</f>
        <v>0</v>
      </c>
      <c r="M153" s="26">
        <f>52.3+1690.7</f>
        <v>1743</v>
      </c>
      <c r="N153" s="26">
        <v>0</v>
      </c>
    </row>
    <row r="154" spans="1:14" s="7" customFormat="1" ht="18" x14ac:dyDescent="0.35">
      <c r="A154" s="11"/>
      <c r="B154" s="24" t="s">
        <v>178</v>
      </c>
      <c r="C154" s="25" t="s">
        <v>1</v>
      </c>
      <c r="D154" s="10" t="s">
        <v>66</v>
      </c>
      <c r="E154" s="10"/>
      <c r="F154" s="651"/>
      <c r="G154" s="652"/>
      <c r="H154" s="652"/>
      <c r="I154" s="653"/>
      <c r="J154" s="10"/>
      <c r="K154" s="26">
        <f>K155+K161</f>
        <v>38516.199999999997</v>
      </c>
      <c r="L154" s="26">
        <f>L155+L161</f>
        <v>0</v>
      </c>
      <c r="M154" s="26">
        <f>M155+M161</f>
        <v>38516.199999999997</v>
      </c>
      <c r="N154" s="26">
        <f>N155+N161</f>
        <v>0</v>
      </c>
    </row>
    <row r="155" spans="1:14" s="7" customFormat="1" ht="18" x14ac:dyDescent="0.35">
      <c r="A155" s="11"/>
      <c r="B155" s="24" t="s">
        <v>512</v>
      </c>
      <c r="C155" s="25" t="s">
        <v>1</v>
      </c>
      <c r="D155" s="10" t="s">
        <v>66</v>
      </c>
      <c r="E155" s="10" t="s">
        <v>38</v>
      </c>
      <c r="F155" s="651"/>
      <c r="G155" s="652"/>
      <c r="H155" s="652"/>
      <c r="I155" s="653"/>
      <c r="J155" s="10"/>
      <c r="K155" s="26">
        <f t="shared" ref="K155:N159" si="23">K156</f>
        <v>35000</v>
      </c>
      <c r="L155" s="26">
        <f t="shared" si="23"/>
        <v>0</v>
      </c>
      <c r="M155" s="26">
        <f t="shared" si="23"/>
        <v>35000</v>
      </c>
      <c r="N155" s="26">
        <f t="shared" si="23"/>
        <v>0</v>
      </c>
    </row>
    <row r="156" spans="1:14" s="7" customFormat="1" ht="72" x14ac:dyDescent="0.35">
      <c r="A156" s="11"/>
      <c r="B156" s="420" t="s">
        <v>336</v>
      </c>
      <c r="C156" s="25" t="s">
        <v>1</v>
      </c>
      <c r="D156" s="10" t="s">
        <v>66</v>
      </c>
      <c r="E156" s="10" t="s">
        <v>38</v>
      </c>
      <c r="F156" s="651" t="s">
        <v>105</v>
      </c>
      <c r="G156" s="652" t="s">
        <v>43</v>
      </c>
      <c r="H156" s="652" t="s">
        <v>44</v>
      </c>
      <c r="I156" s="653" t="s">
        <v>45</v>
      </c>
      <c r="J156" s="10"/>
      <c r="K156" s="26">
        <f t="shared" si="23"/>
        <v>35000</v>
      </c>
      <c r="L156" s="26">
        <f t="shared" si="23"/>
        <v>0</v>
      </c>
      <c r="M156" s="26">
        <f t="shared" si="23"/>
        <v>35000</v>
      </c>
      <c r="N156" s="26">
        <f t="shared" si="23"/>
        <v>0</v>
      </c>
    </row>
    <row r="157" spans="1:14" s="7" customFormat="1" ht="36" x14ac:dyDescent="0.35">
      <c r="A157" s="11"/>
      <c r="B157" s="419" t="s">
        <v>518</v>
      </c>
      <c r="C157" s="25" t="s">
        <v>1</v>
      </c>
      <c r="D157" s="10" t="s">
        <v>66</v>
      </c>
      <c r="E157" s="10" t="s">
        <v>38</v>
      </c>
      <c r="F157" s="651" t="s">
        <v>105</v>
      </c>
      <c r="G157" s="652" t="s">
        <v>519</v>
      </c>
      <c r="H157" s="652" t="s">
        <v>44</v>
      </c>
      <c r="I157" s="653" t="s">
        <v>45</v>
      </c>
      <c r="J157" s="10"/>
      <c r="K157" s="26">
        <f t="shared" si="23"/>
        <v>35000</v>
      </c>
      <c r="L157" s="26">
        <f t="shared" si="23"/>
        <v>0</v>
      </c>
      <c r="M157" s="26">
        <f t="shared" si="23"/>
        <v>35000</v>
      </c>
      <c r="N157" s="26">
        <f t="shared" si="23"/>
        <v>0</v>
      </c>
    </row>
    <row r="158" spans="1:14" s="7" customFormat="1" ht="54" x14ac:dyDescent="0.35">
      <c r="A158" s="11"/>
      <c r="B158" s="24" t="s">
        <v>510</v>
      </c>
      <c r="C158" s="25" t="s">
        <v>1</v>
      </c>
      <c r="D158" s="10" t="s">
        <v>66</v>
      </c>
      <c r="E158" s="10" t="s">
        <v>38</v>
      </c>
      <c r="F158" s="651" t="s">
        <v>105</v>
      </c>
      <c r="G158" s="652" t="s">
        <v>519</v>
      </c>
      <c r="H158" s="652" t="s">
        <v>507</v>
      </c>
      <c r="I158" s="653" t="s">
        <v>45</v>
      </c>
      <c r="J158" s="10"/>
      <c r="K158" s="26">
        <f t="shared" si="23"/>
        <v>35000</v>
      </c>
      <c r="L158" s="26">
        <f t="shared" si="23"/>
        <v>0</v>
      </c>
      <c r="M158" s="26">
        <f t="shared" si="23"/>
        <v>35000</v>
      </c>
      <c r="N158" s="26">
        <f t="shared" si="23"/>
        <v>0</v>
      </c>
    </row>
    <row r="159" spans="1:14" s="7" customFormat="1" ht="108" x14ac:dyDescent="0.35">
      <c r="A159" s="11"/>
      <c r="B159" s="24" t="s">
        <v>511</v>
      </c>
      <c r="C159" s="25" t="s">
        <v>1</v>
      </c>
      <c r="D159" s="10" t="s">
        <v>66</v>
      </c>
      <c r="E159" s="10" t="s">
        <v>38</v>
      </c>
      <c r="F159" s="651" t="s">
        <v>105</v>
      </c>
      <c r="G159" s="652" t="s">
        <v>519</v>
      </c>
      <c r="H159" s="652" t="s">
        <v>507</v>
      </c>
      <c r="I159" s="653" t="s">
        <v>580</v>
      </c>
      <c r="J159" s="10"/>
      <c r="K159" s="26">
        <f t="shared" si="23"/>
        <v>35000</v>
      </c>
      <c r="L159" s="26">
        <f t="shared" si="23"/>
        <v>0</v>
      </c>
      <c r="M159" s="26">
        <f t="shared" si="23"/>
        <v>35000</v>
      </c>
      <c r="N159" s="26">
        <f t="shared" si="23"/>
        <v>0</v>
      </c>
    </row>
    <row r="160" spans="1:14" s="7" customFormat="1" ht="54" x14ac:dyDescent="0.35">
      <c r="A160" s="11"/>
      <c r="B160" s="24" t="s">
        <v>204</v>
      </c>
      <c r="C160" s="25" t="s">
        <v>1</v>
      </c>
      <c r="D160" s="10" t="s">
        <v>66</v>
      </c>
      <c r="E160" s="10" t="s">
        <v>38</v>
      </c>
      <c r="F160" s="651" t="s">
        <v>105</v>
      </c>
      <c r="G160" s="652" t="s">
        <v>519</v>
      </c>
      <c r="H160" s="652" t="s">
        <v>507</v>
      </c>
      <c r="I160" s="653" t="s">
        <v>580</v>
      </c>
      <c r="J160" s="10" t="s">
        <v>205</v>
      </c>
      <c r="K160" s="26">
        <v>35000</v>
      </c>
      <c r="L160" s="26">
        <f>M160-K160</f>
        <v>0</v>
      </c>
      <c r="M160" s="26">
        <v>35000</v>
      </c>
      <c r="N160" s="26">
        <v>0</v>
      </c>
    </row>
    <row r="161" spans="1:14" s="7" customFormat="1" ht="18" x14ac:dyDescent="0.35">
      <c r="A161" s="11"/>
      <c r="B161" s="351" t="s">
        <v>539</v>
      </c>
      <c r="C161" s="25" t="s">
        <v>1</v>
      </c>
      <c r="D161" s="10" t="s">
        <v>66</v>
      </c>
      <c r="E161" s="10" t="s">
        <v>64</v>
      </c>
      <c r="F161" s="651"/>
      <c r="G161" s="652"/>
      <c r="H161" s="652"/>
      <c r="I161" s="653"/>
      <c r="J161" s="10"/>
      <c r="K161" s="26">
        <f>K162</f>
        <v>3516.2</v>
      </c>
      <c r="L161" s="26">
        <f>L162</f>
        <v>0</v>
      </c>
      <c r="M161" s="26">
        <f>M162</f>
        <v>3516.2</v>
      </c>
      <c r="N161" s="26">
        <f>N162</f>
        <v>0</v>
      </c>
    </row>
    <row r="162" spans="1:14" s="7" customFormat="1" ht="72" x14ac:dyDescent="0.35">
      <c r="A162" s="11"/>
      <c r="B162" s="351" t="s">
        <v>540</v>
      </c>
      <c r="C162" s="25" t="s">
        <v>1</v>
      </c>
      <c r="D162" s="10" t="s">
        <v>66</v>
      </c>
      <c r="E162" s="10" t="s">
        <v>64</v>
      </c>
      <c r="F162" s="651" t="s">
        <v>105</v>
      </c>
      <c r="G162" s="652" t="s">
        <v>43</v>
      </c>
      <c r="H162" s="652" t="s">
        <v>44</v>
      </c>
      <c r="I162" s="653" t="s">
        <v>45</v>
      </c>
      <c r="J162" s="10"/>
      <c r="K162" s="26">
        <f t="shared" ref="K162:N165" si="24">K163</f>
        <v>3516.2</v>
      </c>
      <c r="L162" s="26">
        <f t="shared" si="24"/>
        <v>0</v>
      </c>
      <c r="M162" s="26">
        <f t="shared" si="24"/>
        <v>3516.2</v>
      </c>
      <c r="N162" s="26">
        <f t="shared" si="24"/>
        <v>0</v>
      </c>
    </row>
    <row r="163" spans="1:14" s="7" customFormat="1" ht="54" x14ac:dyDescent="0.35">
      <c r="A163" s="11"/>
      <c r="B163" s="24" t="s">
        <v>541</v>
      </c>
      <c r="C163" s="25" t="s">
        <v>1</v>
      </c>
      <c r="D163" s="10" t="s">
        <v>66</v>
      </c>
      <c r="E163" s="10" t="s">
        <v>64</v>
      </c>
      <c r="F163" s="651" t="s">
        <v>105</v>
      </c>
      <c r="G163" s="652" t="s">
        <v>35</v>
      </c>
      <c r="H163" s="652" t="s">
        <v>44</v>
      </c>
      <c r="I163" s="653" t="s">
        <v>45</v>
      </c>
      <c r="J163" s="10"/>
      <c r="K163" s="26">
        <f t="shared" si="24"/>
        <v>3516.2</v>
      </c>
      <c r="L163" s="26">
        <f t="shared" si="24"/>
        <v>0</v>
      </c>
      <c r="M163" s="26">
        <f t="shared" si="24"/>
        <v>3516.2</v>
      </c>
      <c r="N163" s="26">
        <f t="shared" si="24"/>
        <v>0</v>
      </c>
    </row>
    <row r="164" spans="1:14" s="7" customFormat="1" ht="54" x14ac:dyDescent="0.35">
      <c r="A164" s="11"/>
      <c r="B164" s="24" t="s">
        <v>542</v>
      </c>
      <c r="C164" s="25" t="s">
        <v>1</v>
      </c>
      <c r="D164" s="10" t="s">
        <v>66</v>
      </c>
      <c r="E164" s="10" t="s">
        <v>64</v>
      </c>
      <c r="F164" s="651" t="s">
        <v>105</v>
      </c>
      <c r="G164" s="652" t="s">
        <v>35</v>
      </c>
      <c r="H164" s="652" t="s">
        <v>38</v>
      </c>
      <c r="I164" s="653" t="s">
        <v>45</v>
      </c>
      <c r="J164" s="10"/>
      <c r="K164" s="26">
        <f t="shared" si="24"/>
        <v>3516.2</v>
      </c>
      <c r="L164" s="26">
        <f t="shared" si="24"/>
        <v>0</v>
      </c>
      <c r="M164" s="26">
        <f t="shared" si="24"/>
        <v>3516.2</v>
      </c>
      <c r="N164" s="26">
        <f t="shared" si="24"/>
        <v>0</v>
      </c>
    </row>
    <row r="165" spans="1:14" s="7" customFormat="1" ht="36" x14ac:dyDescent="0.35">
      <c r="A165" s="11"/>
      <c r="B165" s="24" t="s">
        <v>543</v>
      </c>
      <c r="C165" s="25" t="s">
        <v>1</v>
      </c>
      <c r="D165" s="10" t="s">
        <v>66</v>
      </c>
      <c r="E165" s="10" t="s">
        <v>64</v>
      </c>
      <c r="F165" s="651" t="s">
        <v>105</v>
      </c>
      <c r="G165" s="652" t="s">
        <v>35</v>
      </c>
      <c r="H165" s="652" t="s">
        <v>38</v>
      </c>
      <c r="I165" s="653" t="s">
        <v>544</v>
      </c>
      <c r="J165" s="10"/>
      <c r="K165" s="26">
        <f t="shared" si="24"/>
        <v>3516.2</v>
      </c>
      <c r="L165" s="26">
        <f t="shared" si="24"/>
        <v>0</v>
      </c>
      <c r="M165" s="26">
        <f t="shared" si="24"/>
        <v>3516.2</v>
      </c>
      <c r="N165" s="26">
        <f t="shared" si="24"/>
        <v>0</v>
      </c>
    </row>
    <row r="166" spans="1:14" s="7" customFormat="1" ht="54" x14ac:dyDescent="0.35">
      <c r="A166" s="11"/>
      <c r="B166" s="24" t="s">
        <v>56</v>
      </c>
      <c r="C166" s="25" t="s">
        <v>1</v>
      </c>
      <c r="D166" s="10" t="s">
        <v>66</v>
      </c>
      <c r="E166" s="10" t="s">
        <v>64</v>
      </c>
      <c r="F166" s="651" t="s">
        <v>105</v>
      </c>
      <c r="G166" s="652" t="s">
        <v>35</v>
      </c>
      <c r="H166" s="652" t="s">
        <v>38</v>
      </c>
      <c r="I166" s="653" t="s">
        <v>544</v>
      </c>
      <c r="J166" s="10" t="s">
        <v>57</v>
      </c>
      <c r="K166" s="26">
        <v>3516.2</v>
      </c>
      <c r="L166" s="26">
        <f>M166-K166</f>
        <v>0</v>
      </c>
      <c r="M166" s="26">
        <v>3516.2</v>
      </c>
      <c r="N166" s="26">
        <v>0</v>
      </c>
    </row>
    <row r="167" spans="1:14" s="143" customFormat="1" ht="18" x14ac:dyDescent="0.35">
      <c r="A167" s="11"/>
      <c r="B167" s="24" t="s">
        <v>120</v>
      </c>
      <c r="C167" s="25" t="s">
        <v>1</v>
      </c>
      <c r="D167" s="10" t="s">
        <v>105</v>
      </c>
      <c r="E167" s="10"/>
      <c r="F167" s="651"/>
      <c r="G167" s="652"/>
      <c r="H167" s="652"/>
      <c r="I167" s="653"/>
      <c r="J167" s="10"/>
      <c r="K167" s="26">
        <f>K168+K174</f>
        <v>1456.1</v>
      </c>
      <c r="L167" s="26">
        <f>L168+L174</f>
        <v>0</v>
      </c>
      <c r="M167" s="26">
        <f>M168+M174</f>
        <v>1456.1</v>
      </c>
      <c r="N167" s="26">
        <f>N168+N174</f>
        <v>1456.1</v>
      </c>
    </row>
    <row r="168" spans="1:14" s="143" customFormat="1" ht="18" x14ac:dyDescent="0.35">
      <c r="A168" s="11"/>
      <c r="B168" s="24" t="s">
        <v>362</v>
      </c>
      <c r="C168" s="25" t="s">
        <v>1</v>
      </c>
      <c r="D168" s="10" t="s">
        <v>105</v>
      </c>
      <c r="E168" s="10" t="s">
        <v>38</v>
      </c>
      <c r="F168" s="651"/>
      <c r="G168" s="652"/>
      <c r="H168" s="652"/>
      <c r="I168" s="653"/>
      <c r="J168" s="10"/>
      <c r="K168" s="26">
        <f t="shared" ref="K168:N172" si="25">K169</f>
        <v>504</v>
      </c>
      <c r="L168" s="26">
        <f t="shared" si="25"/>
        <v>0</v>
      </c>
      <c r="M168" s="26">
        <f t="shared" si="25"/>
        <v>504</v>
      </c>
      <c r="N168" s="26">
        <f t="shared" si="25"/>
        <v>504</v>
      </c>
    </row>
    <row r="169" spans="1:14" s="143" customFormat="1" ht="54" x14ac:dyDescent="0.35">
      <c r="A169" s="11"/>
      <c r="B169" s="31" t="s">
        <v>297</v>
      </c>
      <c r="C169" s="25" t="s">
        <v>1</v>
      </c>
      <c r="D169" s="10" t="s">
        <v>105</v>
      </c>
      <c r="E169" s="10" t="s">
        <v>38</v>
      </c>
      <c r="F169" s="651" t="s">
        <v>80</v>
      </c>
      <c r="G169" s="652" t="s">
        <v>43</v>
      </c>
      <c r="H169" s="652" t="s">
        <v>44</v>
      </c>
      <c r="I169" s="653" t="s">
        <v>45</v>
      </c>
      <c r="J169" s="10"/>
      <c r="K169" s="26">
        <f t="shared" si="25"/>
        <v>504</v>
      </c>
      <c r="L169" s="26">
        <f t="shared" si="25"/>
        <v>0</v>
      </c>
      <c r="M169" s="26">
        <f t="shared" si="25"/>
        <v>504</v>
      </c>
      <c r="N169" s="26">
        <f t="shared" si="25"/>
        <v>504</v>
      </c>
    </row>
    <row r="170" spans="1:14" s="143" customFormat="1" ht="36" x14ac:dyDescent="0.35">
      <c r="A170" s="11"/>
      <c r="B170" s="24" t="s">
        <v>343</v>
      </c>
      <c r="C170" s="25" t="s">
        <v>1</v>
      </c>
      <c r="D170" s="10" t="s">
        <v>105</v>
      </c>
      <c r="E170" s="10" t="s">
        <v>38</v>
      </c>
      <c r="F170" s="651" t="s">
        <v>80</v>
      </c>
      <c r="G170" s="652" t="s">
        <v>46</v>
      </c>
      <c r="H170" s="652" t="s">
        <v>44</v>
      </c>
      <c r="I170" s="653" t="s">
        <v>45</v>
      </c>
      <c r="J170" s="10"/>
      <c r="K170" s="26">
        <f t="shared" si="25"/>
        <v>504</v>
      </c>
      <c r="L170" s="26">
        <f t="shared" si="25"/>
        <v>0</v>
      </c>
      <c r="M170" s="26">
        <f t="shared" si="25"/>
        <v>504</v>
      </c>
      <c r="N170" s="26">
        <f t="shared" si="25"/>
        <v>504</v>
      </c>
    </row>
    <row r="171" spans="1:14" s="143" customFormat="1" ht="90" x14ac:dyDescent="0.35">
      <c r="A171" s="11"/>
      <c r="B171" s="27" t="s">
        <v>473</v>
      </c>
      <c r="C171" s="25" t="s">
        <v>1</v>
      </c>
      <c r="D171" s="10" t="s">
        <v>105</v>
      </c>
      <c r="E171" s="10" t="s">
        <v>38</v>
      </c>
      <c r="F171" s="651" t="s">
        <v>80</v>
      </c>
      <c r="G171" s="652" t="s">
        <v>46</v>
      </c>
      <c r="H171" s="652" t="s">
        <v>53</v>
      </c>
      <c r="I171" s="653" t="s">
        <v>45</v>
      </c>
      <c r="J171" s="10"/>
      <c r="K171" s="26">
        <f t="shared" si="25"/>
        <v>504</v>
      </c>
      <c r="L171" s="26">
        <f t="shared" si="25"/>
        <v>0</v>
      </c>
      <c r="M171" s="26">
        <f t="shared" si="25"/>
        <v>504</v>
      </c>
      <c r="N171" s="26">
        <f t="shared" si="25"/>
        <v>504</v>
      </c>
    </row>
    <row r="172" spans="1:14" s="143" customFormat="1" ht="75.75" customHeight="1" x14ac:dyDescent="0.35">
      <c r="A172" s="11"/>
      <c r="B172" s="27" t="s">
        <v>467</v>
      </c>
      <c r="C172" s="25" t="s">
        <v>1</v>
      </c>
      <c r="D172" s="10" t="s">
        <v>105</v>
      </c>
      <c r="E172" s="10" t="s">
        <v>38</v>
      </c>
      <c r="F172" s="651" t="s">
        <v>80</v>
      </c>
      <c r="G172" s="652" t="s">
        <v>46</v>
      </c>
      <c r="H172" s="652" t="s">
        <v>53</v>
      </c>
      <c r="I172" s="653" t="s">
        <v>363</v>
      </c>
      <c r="J172" s="10"/>
      <c r="K172" s="26">
        <f t="shared" si="25"/>
        <v>504</v>
      </c>
      <c r="L172" s="26">
        <f t="shared" si="25"/>
        <v>0</v>
      </c>
      <c r="M172" s="26">
        <f t="shared" si="25"/>
        <v>504</v>
      </c>
      <c r="N172" s="26">
        <f t="shared" si="25"/>
        <v>504</v>
      </c>
    </row>
    <row r="173" spans="1:14" s="143" customFormat="1" ht="36" x14ac:dyDescent="0.35">
      <c r="A173" s="11"/>
      <c r="B173" s="28" t="s">
        <v>121</v>
      </c>
      <c r="C173" s="25" t="s">
        <v>1</v>
      </c>
      <c r="D173" s="10" t="s">
        <v>105</v>
      </c>
      <c r="E173" s="10" t="s">
        <v>38</v>
      </c>
      <c r="F173" s="651" t="s">
        <v>80</v>
      </c>
      <c r="G173" s="652" t="s">
        <v>46</v>
      </c>
      <c r="H173" s="652" t="s">
        <v>53</v>
      </c>
      <c r="I173" s="653" t="s">
        <v>363</v>
      </c>
      <c r="J173" s="10" t="s">
        <v>122</v>
      </c>
      <c r="K173" s="26">
        <v>504</v>
      </c>
      <c r="L173" s="26">
        <f>M173-K173</f>
        <v>0</v>
      </c>
      <c r="M173" s="26">
        <v>504</v>
      </c>
      <c r="N173" s="26">
        <v>504</v>
      </c>
    </row>
    <row r="174" spans="1:14" s="143" customFormat="1" ht="36" x14ac:dyDescent="0.35">
      <c r="A174" s="11"/>
      <c r="B174" s="24" t="s">
        <v>123</v>
      </c>
      <c r="C174" s="25" t="s">
        <v>1</v>
      </c>
      <c r="D174" s="10" t="s">
        <v>105</v>
      </c>
      <c r="E174" s="10" t="s">
        <v>82</v>
      </c>
      <c r="F174" s="651"/>
      <c r="G174" s="652"/>
      <c r="H174" s="652"/>
      <c r="I174" s="653"/>
      <c r="J174" s="10"/>
      <c r="K174" s="26">
        <f t="shared" ref="K174:M177" si="26">K175</f>
        <v>952.1</v>
      </c>
      <c r="L174" s="26">
        <f t="shared" si="26"/>
        <v>0</v>
      </c>
      <c r="M174" s="26">
        <f t="shared" si="26"/>
        <v>952.1</v>
      </c>
      <c r="N174" s="26">
        <f>N175</f>
        <v>952.1</v>
      </c>
    </row>
    <row r="175" spans="1:14" s="143" customFormat="1" ht="72" x14ac:dyDescent="0.35">
      <c r="A175" s="11"/>
      <c r="B175" s="24" t="s">
        <v>73</v>
      </c>
      <c r="C175" s="25" t="s">
        <v>1</v>
      </c>
      <c r="D175" s="10" t="s">
        <v>105</v>
      </c>
      <c r="E175" s="10" t="s">
        <v>82</v>
      </c>
      <c r="F175" s="651" t="s">
        <v>74</v>
      </c>
      <c r="G175" s="652" t="s">
        <v>43</v>
      </c>
      <c r="H175" s="652" t="s">
        <v>44</v>
      </c>
      <c r="I175" s="653" t="s">
        <v>45</v>
      </c>
      <c r="J175" s="10"/>
      <c r="K175" s="26">
        <f t="shared" si="26"/>
        <v>952.1</v>
      </c>
      <c r="L175" s="26">
        <f t="shared" si="26"/>
        <v>0</v>
      </c>
      <c r="M175" s="26">
        <f t="shared" si="26"/>
        <v>952.1</v>
      </c>
      <c r="N175" s="26">
        <f>N176</f>
        <v>952.1</v>
      </c>
    </row>
    <row r="176" spans="1:14" s="143" customFormat="1" ht="36" x14ac:dyDescent="0.35">
      <c r="A176" s="11"/>
      <c r="B176" s="24" t="s">
        <v>343</v>
      </c>
      <c r="C176" s="25" t="s">
        <v>1</v>
      </c>
      <c r="D176" s="10" t="s">
        <v>105</v>
      </c>
      <c r="E176" s="10" t="s">
        <v>82</v>
      </c>
      <c r="F176" s="651" t="s">
        <v>74</v>
      </c>
      <c r="G176" s="652" t="s">
        <v>46</v>
      </c>
      <c r="H176" s="652" t="s">
        <v>44</v>
      </c>
      <c r="I176" s="653" t="s">
        <v>45</v>
      </c>
      <c r="J176" s="10"/>
      <c r="K176" s="26">
        <f t="shared" si="26"/>
        <v>952.1</v>
      </c>
      <c r="L176" s="26">
        <f t="shared" si="26"/>
        <v>0</v>
      </c>
      <c r="M176" s="26">
        <f t="shared" si="26"/>
        <v>952.1</v>
      </c>
      <c r="N176" s="26">
        <f>N177</f>
        <v>952.1</v>
      </c>
    </row>
    <row r="177" spans="1:14" s="143" customFormat="1" ht="54" x14ac:dyDescent="0.35">
      <c r="A177" s="11"/>
      <c r="B177" s="27" t="s">
        <v>267</v>
      </c>
      <c r="C177" s="25" t="s">
        <v>1</v>
      </c>
      <c r="D177" s="10" t="s">
        <v>105</v>
      </c>
      <c r="E177" s="10" t="s">
        <v>82</v>
      </c>
      <c r="F177" s="651" t="s">
        <v>74</v>
      </c>
      <c r="G177" s="652" t="s">
        <v>46</v>
      </c>
      <c r="H177" s="652" t="s">
        <v>38</v>
      </c>
      <c r="I177" s="653" t="s">
        <v>45</v>
      </c>
      <c r="J177" s="10"/>
      <c r="K177" s="26">
        <f t="shared" si="26"/>
        <v>952.1</v>
      </c>
      <c r="L177" s="26">
        <f t="shared" si="26"/>
        <v>0</v>
      </c>
      <c r="M177" s="26">
        <f t="shared" si="26"/>
        <v>952.1</v>
      </c>
      <c r="N177" s="26">
        <f>N178</f>
        <v>952.1</v>
      </c>
    </row>
    <row r="178" spans="1:14" s="143" customFormat="1" ht="54" x14ac:dyDescent="0.35">
      <c r="A178" s="11"/>
      <c r="B178" s="27" t="s">
        <v>75</v>
      </c>
      <c r="C178" s="25" t="s">
        <v>1</v>
      </c>
      <c r="D178" s="10" t="s">
        <v>105</v>
      </c>
      <c r="E178" s="10" t="s">
        <v>82</v>
      </c>
      <c r="F178" s="651" t="s">
        <v>74</v>
      </c>
      <c r="G178" s="652" t="s">
        <v>46</v>
      </c>
      <c r="H178" s="652" t="s">
        <v>38</v>
      </c>
      <c r="I178" s="653" t="s">
        <v>76</v>
      </c>
      <c r="J178" s="10"/>
      <c r="K178" s="26">
        <f>K179</f>
        <v>952.1</v>
      </c>
      <c r="L178" s="26">
        <f>L179</f>
        <v>0</v>
      </c>
      <c r="M178" s="26">
        <f>M179</f>
        <v>952.1</v>
      </c>
      <c r="N178" s="26">
        <f>N179</f>
        <v>952.1</v>
      </c>
    </row>
    <row r="179" spans="1:14" s="143" customFormat="1" ht="54" x14ac:dyDescent="0.35">
      <c r="A179" s="11"/>
      <c r="B179" s="28" t="s">
        <v>77</v>
      </c>
      <c r="C179" s="25" t="s">
        <v>1</v>
      </c>
      <c r="D179" s="10" t="s">
        <v>105</v>
      </c>
      <c r="E179" s="10" t="s">
        <v>82</v>
      </c>
      <c r="F179" s="651" t="s">
        <v>74</v>
      </c>
      <c r="G179" s="652" t="s">
        <v>46</v>
      </c>
      <c r="H179" s="652" t="s">
        <v>38</v>
      </c>
      <c r="I179" s="653" t="s">
        <v>76</v>
      </c>
      <c r="J179" s="10" t="s">
        <v>78</v>
      </c>
      <c r="K179" s="26">
        <v>952.1</v>
      </c>
      <c r="L179" s="26">
        <f>M179-K179</f>
        <v>0</v>
      </c>
      <c r="M179" s="26">
        <v>952.1</v>
      </c>
      <c r="N179" s="26">
        <v>952.1</v>
      </c>
    </row>
    <row r="180" spans="1:14" s="143" customFormat="1" ht="18" x14ac:dyDescent="0.35">
      <c r="A180" s="11"/>
      <c r="B180" s="28"/>
      <c r="C180" s="25"/>
      <c r="D180" s="10"/>
      <c r="E180" s="10"/>
      <c r="F180" s="651"/>
      <c r="G180" s="652"/>
      <c r="H180" s="652"/>
      <c r="I180" s="653"/>
      <c r="J180" s="10"/>
      <c r="K180" s="26"/>
      <c r="L180" s="26"/>
      <c r="M180" s="26"/>
      <c r="N180" s="26"/>
    </row>
    <row r="181" spans="1:14" ht="52.2" x14ac:dyDescent="0.3">
      <c r="A181" s="142">
        <v>2</v>
      </c>
      <c r="B181" s="18" t="s">
        <v>2</v>
      </c>
      <c r="C181" s="19" t="s">
        <v>304</v>
      </c>
      <c r="D181" s="20"/>
      <c r="E181" s="20"/>
      <c r="F181" s="21"/>
      <c r="G181" s="22"/>
      <c r="H181" s="22"/>
      <c r="I181" s="23"/>
      <c r="J181" s="20"/>
      <c r="K181" s="40">
        <f>K182+K200</f>
        <v>35633.800000000003</v>
      </c>
      <c r="L181" s="40">
        <f>L182+L200</f>
        <v>0</v>
      </c>
      <c r="M181" s="40">
        <f>M182+M200</f>
        <v>35633.800000000003</v>
      </c>
      <c r="N181" s="40">
        <f>N182+N200</f>
        <v>35626</v>
      </c>
    </row>
    <row r="182" spans="1:14" s="147" customFormat="1" ht="18" x14ac:dyDescent="0.35">
      <c r="A182" s="11"/>
      <c r="B182" s="24" t="s">
        <v>37</v>
      </c>
      <c r="C182" s="25" t="s">
        <v>304</v>
      </c>
      <c r="D182" s="10" t="s">
        <v>38</v>
      </c>
      <c r="E182" s="10"/>
      <c r="F182" s="651"/>
      <c r="G182" s="652"/>
      <c r="H182" s="652"/>
      <c r="I182" s="653"/>
      <c r="J182" s="10"/>
      <c r="K182" s="26">
        <f>K183+K191</f>
        <v>28633.8</v>
      </c>
      <c r="L182" s="26">
        <f>L183+L191</f>
        <v>0</v>
      </c>
      <c r="M182" s="26">
        <f>M183+M191</f>
        <v>28633.8</v>
      </c>
      <c r="N182" s="26">
        <f>N183+N191</f>
        <v>28626</v>
      </c>
    </row>
    <row r="183" spans="1:14" s="148" customFormat="1" ht="72" x14ac:dyDescent="0.35">
      <c r="A183" s="11"/>
      <c r="B183" s="24" t="s">
        <v>130</v>
      </c>
      <c r="C183" s="25" t="s">
        <v>304</v>
      </c>
      <c r="D183" s="10" t="s">
        <v>38</v>
      </c>
      <c r="E183" s="10" t="s">
        <v>82</v>
      </c>
      <c r="F183" s="651"/>
      <c r="G183" s="652"/>
      <c r="H183" s="652"/>
      <c r="I183" s="653"/>
      <c r="J183" s="10"/>
      <c r="K183" s="26">
        <f t="shared" ref="K183:N186" si="27">K184</f>
        <v>25791.5</v>
      </c>
      <c r="L183" s="26">
        <f t="shared" si="27"/>
        <v>0</v>
      </c>
      <c r="M183" s="26">
        <f t="shared" si="27"/>
        <v>25791.5</v>
      </c>
      <c r="N183" s="26">
        <f t="shared" si="27"/>
        <v>25792.2</v>
      </c>
    </row>
    <row r="184" spans="1:14" s="143" customFormat="1" ht="54.75" customHeight="1" x14ac:dyDescent="0.35">
      <c r="A184" s="11"/>
      <c r="B184" s="24" t="s">
        <v>224</v>
      </c>
      <c r="C184" s="25" t="s">
        <v>304</v>
      </c>
      <c r="D184" s="10" t="s">
        <v>38</v>
      </c>
      <c r="E184" s="10" t="s">
        <v>82</v>
      </c>
      <c r="F184" s="651" t="s">
        <v>225</v>
      </c>
      <c r="G184" s="652" t="s">
        <v>43</v>
      </c>
      <c r="H184" s="652" t="s">
        <v>44</v>
      </c>
      <c r="I184" s="653" t="s">
        <v>45</v>
      </c>
      <c r="J184" s="10"/>
      <c r="K184" s="26">
        <f t="shared" si="27"/>
        <v>25791.5</v>
      </c>
      <c r="L184" s="26">
        <f t="shared" si="27"/>
        <v>0</v>
      </c>
      <c r="M184" s="26">
        <f t="shared" si="27"/>
        <v>25791.5</v>
      </c>
      <c r="N184" s="26">
        <f t="shared" si="27"/>
        <v>25792.2</v>
      </c>
    </row>
    <row r="185" spans="1:14" s="143" customFormat="1" ht="36" x14ac:dyDescent="0.35">
      <c r="A185" s="11"/>
      <c r="B185" s="24" t="s">
        <v>343</v>
      </c>
      <c r="C185" s="25" t="s">
        <v>304</v>
      </c>
      <c r="D185" s="10" t="s">
        <v>38</v>
      </c>
      <c r="E185" s="10" t="s">
        <v>82</v>
      </c>
      <c r="F185" s="32" t="s">
        <v>225</v>
      </c>
      <c r="G185" s="33" t="s">
        <v>46</v>
      </c>
      <c r="H185" s="652" t="s">
        <v>44</v>
      </c>
      <c r="I185" s="653" t="s">
        <v>45</v>
      </c>
      <c r="J185" s="10"/>
      <c r="K185" s="26">
        <f>K186</f>
        <v>25791.5</v>
      </c>
      <c r="L185" s="26">
        <f>L186</f>
        <v>0</v>
      </c>
      <c r="M185" s="26">
        <f>M186</f>
        <v>25791.5</v>
      </c>
      <c r="N185" s="26">
        <f>N186</f>
        <v>25792.2</v>
      </c>
    </row>
    <row r="186" spans="1:14" s="143" customFormat="1" ht="54" x14ac:dyDescent="0.35">
      <c r="A186" s="11"/>
      <c r="B186" s="24" t="s">
        <v>305</v>
      </c>
      <c r="C186" s="25" t="s">
        <v>304</v>
      </c>
      <c r="D186" s="10" t="s">
        <v>38</v>
      </c>
      <c r="E186" s="10" t="s">
        <v>82</v>
      </c>
      <c r="F186" s="32" t="s">
        <v>225</v>
      </c>
      <c r="G186" s="33" t="s">
        <v>46</v>
      </c>
      <c r="H186" s="652" t="s">
        <v>38</v>
      </c>
      <c r="I186" s="653" t="s">
        <v>45</v>
      </c>
      <c r="J186" s="10"/>
      <c r="K186" s="26">
        <f t="shared" si="27"/>
        <v>25791.5</v>
      </c>
      <c r="L186" s="26">
        <f t="shared" si="27"/>
        <v>0</v>
      </c>
      <c r="M186" s="26">
        <f t="shared" si="27"/>
        <v>25791.5</v>
      </c>
      <c r="N186" s="26">
        <f t="shared" si="27"/>
        <v>25792.2</v>
      </c>
    </row>
    <row r="187" spans="1:14" s="143" customFormat="1" ht="36" x14ac:dyDescent="0.35">
      <c r="A187" s="11"/>
      <c r="B187" s="24" t="s">
        <v>48</v>
      </c>
      <c r="C187" s="25" t="s">
        <v>304</v>
      </c>
      <c r="D187" s="10" t="s">
        <v>38</v>
      </c>
      <c r="E187" s="10" t="s">
        <v>82</v>
      </c>
      <c r="F187" s="32" t="s">
        <v>225</v>
      </c>
      <c r="G187" s="33" t="s">
        <v>46</v>
      </c>
      <c r="H187" s="652" t="s">
        <v>38</v>
      </c>
      <c r="I187" s="653" t="s">
        <v>49</v>
      </c>
      <c r="J187" s="10"/>
      <c r="K187" s="26">
        <f>SUM(K188:K190)</f>
        <v>25791.5</v>
      </c>
      <c r="L187" s="26">
        <f>SUM(L188:L190)</f>
        <v>0</v>
      </c>
      <c r="M187" s="26">
        <f>SUM(M188:M190)</f>
        <v>25791.5</v>
      </c>
      <c r="N187" s="26">
        <f>SUM(N188:N190)</f>
        <v>25792.2</v>
      </c>
    </row>
    <row r="188" spans="1:14" s="143" customFormat="1" ht="108" x14ac:dyDescent="0.35">
      <c r="A188" s="11"/>
      <c r="B188" s="24" t="s">
        <v>50</v>
      </c>
      <c r="C188" s="25" t="s">
        <v>304</v>
      </c>
      <c r="D188" s="10" t="s">
        <v>38</v>
      </c>
      <c r="E188" s="10" t="s">
        <v>82</v>
      </c>
      <c r="F188" s="32" t="s">
        <v>225</v>
      </c>
      <c r="G188" s="33" t="s">
        <v>46</v>
      </c>
      <c r="H188" s="652" t="s">
        <v>38</v>
      </c>
      <c r="I188" s="653" t="s">
        <v>49</v>
      </c>
      <c r="J188" s="10" t="s">
        <v>51</v>
      </c>
      <c r="K188" s="26">
        <v>25067.7</v>
      </c>
      <c r="L188" s="26">
        <f>M188-K188</f>
        <v>0</v>
      </c>
      <c r="M188" s="26">
        <v>25067.7</v>
      </c>
      <c r="N188" s="26">
        <v>25067.7</v>
      </c>
    </row>
    <row r="189" spans="1:14" s="143" customFormat="1" ht="54" x14ac:dyDescent="0.35">
      <c r="A189" s="11"/>
      <c r="B189" s="24" t="s">
        <v>56</v>
      </c>
      <c r="C189" s="25" t="s">
        <v>304</v>
      </c>
      <c r="D189" s="10" t="s">
        <v>38</v>
      </c>
      <c r="E189" s="10" t="s">
        <v>82</v>
      </c>
      <c r="F189" s="32" t="s">
        <v>225</v>
      </c>
      <c r="G189" s="33" t="s">
        <v>46</v>
      </c>
      <c r="H189" s="652" t="s">
        <v>38</v>
      </c>
      <c r="I189" s="653" t="s">
        <v>49</v>
      </c>
      <c r="J189" s="10" t="s">
        <v>57</v>
      </c>
      <c r="K189" s="26">
        <v>719.1</v>
      </c>
      <c r="L189" s="26">
        <f>M189-K189</f>
        <v>0</v>
      </c>
      <c r="M189" s="26">
        <v>719.1</v>
      </c>
      <c r="N189" s="26">
        <v>719.9</v>
      </c>
    </row>
    <row r="190" spans="1:14" s="148" customFormat="1" ht="18" x14ac:dyDescent="0.35">
      <c r="A190" s="11"/>
      <c r="B190" s="24" t="s">
        <v>58</v>
      </c>
      <c r="C190" s="25" t="s">
        <v>304</v>
      </c>
      <c r="D190" s="10" t="s">
        <v>38</v>
      </c>
      <c r="E190" s="10" t="s">
        <v>82</v>
      </c>
      <c r="F190" s="32" t="s">
        <v>225</v>
      </c>
      <c r="G190" s="33" t="s">
        <v>46</v>
      </c>
      <c r="H190" s="652" t="s">
        <v>38</v>
      </c>
      <c r="I190" s="653" t="s">
        <v>49</v>
      </c>
      <c r="J190" s="10" t="s">
        <v>59</v>
      </c>
      <c r="K190" s="26">
        <v>4.7</v>
      </c>
      <c r="L190" s="26">
        <f>M190-K190</f>
        <v>0</v>
      </c>
      <c r="M190" s="26">
        <v>4.7</v>
      </c>
      <c r="N190" s="26">
        <v>4.5999999999999996</v>
      </c>
    </row>
    <row r="191" spans="1:14" s="148" customFormat="1" ht="18" x14ac:dyDescent="0.35">
      <c r="A191" s="11"/>
      <c r="B191" s="24" t="s">
        <v>71</v>
      </c>
      <c r="C191" s="25" t="s">
        <v>304</v>
      </c>
      <c r="D191" s="10" t="s">
        <v>38</v>
      </c>
      <c r="E191" s="10" t="s">
        <v>72</v>
      </c>
      <c r="F191" s="32"/>
      <c r="G191" s="33"/>
      <c r="H191" s="652"/>
      <c r="I191" s="653"/>
      <c r="J191" s="10"/>
      <c r="K191" s="26">
        <f t="shared" ref="K191:N192" si="28">K192</f>
        <v>2842.2999999999997</v>
      </c>
      <c r="L191" s="26">
        <f t="shared" si="28"/>
        <v>0</v>
      </c>
      <c r="M191" s="26">
        <f t="shared" si="28"/>
        <v>2842.2999999999997</v>
      </c>
      <c r="N191" s="26">
        <f t="shared" si="28"/>
        <v>2833.7999999999997</v>
      </c>
    </row>
    <row r="192" spans="1:14" s="148" customFormat="1" ht="54" x14ac:dyDescent="0.35">
      <c r="A192" s="11"/>
      <c r="B192" s="24" t="s">
        <v>224</v>
      </c>
      <c r="C192" s="25" t="s">
        <v>304</v>
      </c>
      <c r="D192" s="10" t="s">
        <v>38</v>
      </c>
      <c r="E192" s="10" t="s">
        <v>72</v>
      </c>
      <c r="F192" s="32" t="s">
        <v>225</v>
      </c>
      <c r="G192" s="33" t="s">
        <v>43</v>
      </c>
      <c r="H192" s="652" t="s">
        <v>44</v>
      </c>
      <c r="I192" s="653" t="s">
        <v>45</v>
      </c>
      <c r="J192" s="10"/>
      <c r="K192" s="26">
        <f t="shared" si="28"/>
        <v>2842.2999999999997</v>
      </c>
      <c r="L192" s="26">
        <f t="shared" si="28"/>
        <v>0</v>
      </c>
      <c r="M192" s="26">
        <f t="shared" si="28"/>
        <v>2842.2999999999997</v>
      </c>
      <c r="N192" s="26">
        <f t="shared" si="28"/>
        <v>2833.7999999999997</v>
      </c>
    </row>
    <row r="193" spans="1:14" s="148" customFormat="1" ht="36" x14ac:dyDescent="0.35">
      <c r="A193" s="11"/>
      <c r="B193" s="24" t="s">
        <v>343</v>
      </c>
      <c r="C193" s="25" t="s">
        <v>304</v>
      </c>
      <c r="D193" s="10" t="s">
        <v>38</v>
      </c>
      <c r="E193" s="10" t="s">
        <v>72</v>
      </c>
      <c r="F193" s="32" t="s">
        <v>225</v>
      </c>
      <c r="G193" s="33" t="s">
        <v>46</v>
      </c>
      <c r="H193" s="652" t="s">
        <v>44</v>
      </c>
      <c r="I193" s="653" t="s">
        <v>45</v>
      </c>
      <c r="J193" s="10"/>
      <c r="K193" s="26">
        <f>K194+K197</f>
        <v>2842.2999999999997</v>
      </c>
      <c r="L193" s="26">
        <f>L194+L197</f>
        <v>0</v>
      </c>
      <c r="M193" s="26">
        <f>M194+M197</f>
        <v>2842.2999999999997</v>
      </c>
      <c r="N193" s="26">
        <f>N194+N197</f>
        <v>2833.7999999999997</v>
      </c>
    </row>
    <row r="194" spans="1:14" s="148" customFormat="1" ht="36" x14ac:dyDescent="0.35">
      <c r="A194" s="11"/>
      <c r="B194" s="24" t="s">
        <v>358</v>
      </c>
      <c r="C194" s="25" t="s">
        <v>304</v>
      </c>
      <c r="D194" s="10" t="s">
        <v>38</v>
      </c>
      <c r="E194" s="10" t="s">
        <v>72</v>
      </c>
      <c r="F194" s="32" t="s">
        <v>225</v>
      </c>
      <c r="G194" s="33" t="s">
        <v>46</v>
      </c>
      <c r="H194" s="652" t="s">
        <v>64</v>
      </c>
      <c r="I194" s="653" t="s">
        <v>45</v>
      </c>
      <c r="J194" s="10"/>
      <c r="K194" s="26">
        <f t="shared" ref="K194:N195" si="29">K195</f>
        <v>2825.1</v>
      </c>
      <c r="L194" s="26">
        <f t="shared" si="29"/>
        <v>0</v>
      </c>
      <c r="M194" s="26">
        <f t="shared" si="29"/>
        <v>2825.1</v>
      </c>
      <c r="N194" s="26">
        <f t="shared" si="29"/>
        <v>2816.6</v>
      </c>
    </row>
    <row r="195" spans="1:14" s="148" customFormat="1" ht="57" customHeight="1" x14ac:dyDescent="0.35">
      <c r="A195" s="11"/>
      <c r="B195" s="24" t="s">
        <v>359</v>
      </c>
      <c r="C195" s="25" t="s">
        <v>304</v>
      </c>
      <c r="D195" s="10" t="s">
        <v>38</v>
      </c>
      <c r="E195" s="10" t="s">
        <v>72</v>
      </c>
      <c r="F195" s="32" t="s">
        <v>225</v>
      </c>
      <c r="G195" s="33" t="s">
        <v>46</v>
      </c>
      <c r="H195" s="652" t="s">
        <v>64</v>
      </c>
      <c r="I195" s="653" t="s">
        <v>106</v>
      </c>
      <c r="J195" s="10"/>
      <c r="K195" s="26">
        <f t="shared" si="29"/>
        <v>2825.1</v>
      </c>
      <c r="L195" s="26">
        <f t="shared" si="29"/>
        <v>0</v>
      </c>
      <c r="M195" s="26">
        <f t="shared" si="29"/>
        <v>2825.1</v>
      </c>
      <c r="N195" s="26">
        <f t="shared" si="29"/>
        <v>2816.6</v>
      </c>
    </row>
    <row r="196" spans="1:14" s="148" customFormat="1" ht="54" x14ac:dyDescent="0.35">
      <c r="A196" s="11"/>
      <c r="B196" s="24" t="s">
        <v>56</v>
      </c>
      <c r="C196" s="25" t="s">
        <v>304</v>
      </c>
      <c r="D196" s="10" t="s">
        <v>38</v>
      </c>
      <c r="E196" s="10" t="s">
        <v>72</v>
      </c>
      <c r="F196" s="32" t="s">
        <v>225</v>
      </c>
      <c r="G196" s="33" t="s">
        <v>46</v>
      </c>
      <c r="H196" s="652" t="s">
        <v>64</v>
      </c>
      <c r="I196" s="653" t="s">
        <v>106</v>
      </c>
      <c r="J196" s="10" t="s">
        <v>57</v>
      </c>
      <c r="K196" s="26">
        <v>2825.1</v>
      </c>
      <c r="L196" s="26">
        <f>M196-K196</f>
        <v>0</v>
      </c>
      <c r="M196" s="26">
        <v>2825.1</v>
      </c>
      <c r="N196" s="26">
        <v>2816.6</v>
      </c>
    </row>
    <row r="197" spans="1:14" s="148" customFormat="1" ht="36" x14ac:dyDescent="0.35">
      <c r="A197" s="11"/>
      <c r="B197" s="24" t="s">
        <v>494</v>
      </c>
      <c r="C197" s="25" t="s">
        <v>304</v>
      </c>
      <c r="D197" s="10" t="s">
        <v>38</v>
      </c>
      <c r="E197" s="10" t="s">
        <v>72</v>
      </c>
      <c r="F197" s="32" t="s">
        <v>225</v>
      </c>
      <c r="G197" s="33" t="s">
        <v>46</v>
      </c>
      <c r="H197" s="652" t="s">
        <v>66</v>
      </c>
      <c r="I197" s="653" t="s">
        <v>45</v>
      </c>
      <c r="J197" s="10"/>
      <c r="K197" s="26">
        <f t="shared" ref="K197:N198" si="30">K198</f>
        <v>17.2</v>
      </c>
      <c r="L197" s="26">
        <f t="shared" si="30"/>
        <v>0</v>
      </c>
      <c r="M197" s="26">
        <f t="shared" si="30"/>
        <v>17.2</v>
      </c>
      <c r="N197" s="26">
        <f t="shared" si="30"/>
        <v>17.2</v>
      </c>
    </row>
    <row r="198" spans="1:14" s="148" customFormat="1" ht="18" x14ac:dyDescent="0.35">
      <c r="A198" s="11"/>
      <c r="B198" s="24" t="s">
        <v>492</v>
      </c>
      <c r="C198" s="25" t="s">
        <v>304</v>
      </c>
      <c r="D198" s="10" t="s">
        <v>38</v>
      </c>
      <c r="E198" s="10" t="s">
        <v>72</v>
      </c>
      <c r="F198" s="32" t="s">
        <v>225</v>
      </c>
      <c r="G198" s="33" t="s">
        <v>46</v>
      </c>
      <c r="H198" s="652" t="s">
        <v>66</v>
      </c>
      <c r="I198" s="653" t="s">
        <v>493</v>
      </c>
      <c r="J198" s="10"/>
      <c r="K198" s="26">
        <f t="shared" si="30"/>
        <v>17.2</v>
      </c>
      <c r="L198" s="26">
        <f t="shared" si="30"/>
        <v>0</v>
      </c>
      <c r="M198" s="26">
        <f t="shared" si="30"/>
        <v>17.2</v>
      </c>
      <c r="N198" s="26">
        <f t="shared" si="30"/>
        <v>17.2</v>
      </c>
    </row>
    <row r="199" spans="1:14" s="148" customFormat="1" ht="54" x14ac:dyDescent="0.35">
      <c r="A199" s="11"/>
      <c r="B199" s="24" t="s">
        <v>56</v>
      </c>
      <c r="C199" s="25" t="s">
        <v>304</v>
      </c>
      <c r="D199" s="10" t="s">
        <v>38</v>
      </c>
      <c r="E199" s="10" t="s">
        <v>72</v>
      </c>
      <c r="F199" s="32" t="s">
        <v>225</v>
      </c>
      <c r="G199" s="33" t="s">
        <v>46</v>
      </c>
      <c r="H199" s="652" t="s">
        <v>66</v>
      </c>
      <c r="I199" s="653" t="s">
        <v>493</v>
      </c>
      <c r="J199" s="10" t="s">
        <v>57</v>
      </c>
      <c r="K199" s="26">
        <v>17.2</v>
      </c>
      <c r="L199" s="26">
        <f>M199-K199</f>
        <v>0</v>
      </c>
      <c r="M199" s="26">
        <v>17.2</v>
      </c>
      <c r="N199" s="26">
        <v>17.2</v>
      </c>
    </row>
    <row r="200" spans="1:14" s="148" customFormat="1" ht="54" x14ac:dyDescent="0.35">
      <c r="A200" s="11"/>
      <c r="B200" s="24" t="s">
        <v>201</v>
      </c>
      <c r="C200" s="25" t="s">
        <v>304</v>
      </c>
      <c r="D200" s="10" t="s">
        <v>89</v>
      </c>
      <c r="E200" s="10"/>
      <c r="F200" s="32"/>
      <c r="G200" s="33"/>
      <c r="H200" s="652"/>
      <c r="I200" s="653"/>
      <c r="J200" s="10"/>
      <c r="K200" s="26">
        <f t="shared" ref="K200:N203" si="31">K201</f>
        <v>7000</v>
      </c>
      <c r="L200" s="26">
        <f t="shared" si="31"/>
        <v>0</v>
      </c>
      <c r="M200" s="26">
        <f t="shared" si="31"/>
        <v>7000</v>
      </c>
      <c r="N200" s="26">
        <f t="shared" si="31"/>
        <v>7000</v>
      </c>
    </row>
    <row r="201" spans="1:14" s="148" customFormat="1" ht="54" x14ac:dyDescent="0.35">
      <c r="A201" s="11"/>
      <c r="B201" s="30" t="s">
        <v>202</v>
      </c>
      <c r="C201" s="25" t="s">
        <v>304</v>
      </c>
      <c r="D201" s="10" t="s">
        <v>89</v>
      </c>
      <c r="E201" s="10" t="s">
        <v>38</v>
      </c>
      <c r="F201" s="32"/>
      <c r="G201" s="33"/>
      <c r="H201" s="652"/>
      <c r="I201" s="653"/>
      <c r="J201" s="10"/>
      <c r="K201" s="26">
        <f t="shared" si="31"/>
        <v>7000</v>
      </c>
      <c r="L201" s="26">
        <f t="shared" si="31"/>
        <v>0</v>
      </c>
      <c r="M201" s="26">
        <f t="shared" si="31"/>
        <v>7000</v>
      </c>
      <c r="N201" s="26">
        <f t="shared" si="31"/>
        <v>7000</v>
      </c>
    </row>
    <row r="202" spans="1:14" s="148" customFormat="1" ht="54" x14ac:dyDescent="0.35">
      <c r="A202" s="11"/>
      <c r="B202" s="24" t="s">
        <v>224</v>
      </c>
      <c r="C202" s="25" t="s">
        <v>304</v>
      </c>
      <c r="D202" s="10" t="s">
        <v>89</v>
      </c>
      <c r="E202" s="10" t="s">
        <v>38</v>
      </c>
      <c r="F202" s="32" t="s">
        <v>225</v>
      </c>
      <c r="G202" s="33" t="s">
        <v>43</v>
      </c>
      <c r="H202" s="652" t="s">
        <v>44</v>
      </c>
      <c r="I202" s="653" t="s">
        <v>45</v>
      </c>
      <c r="J202" s="10"/>
      <c r="K202" s="26">
        <f t="shared" si="31"/>
        <v>7000</v>
      </c>
      <c r="L202" s="26">
        <f t="shared" si="31"/>
        <v>0</v>
      </c>
      <c r="M202" s="26">
        <f t="shared" si="31"/>
        <v>7000</v>
      </c>
      <c r="N202" s="26">
        <f t="shared" si="31"/>
        <v>7000</v>
      </c>
    </row>
    <row r="203" spans="1:14" s="148" customFormat="1" ht="36" x14ac:dyDescent="0.35">
      <c r="A203" s="11"/>
      <c r="B203" s="24" t="s">
        <v>343</v>
      </c>
      <c r="C203" s="25" t="s">
        <v>304</v>
      </c>
      <c r="D203" s="10" t="s">
        <v>89</v>
      </c>
      <c r="E203" s="10" t="s">
        <v>38</v>
      </c>
      <c r="F203" s="32" t="s">
        <v>225</v>
      </c>
      <c r="G203" s="33" t="s">
        <v>46</v>
      </c>
      <c r="H203" s="652" t="s">
        <v>44</v>
      </c>
      <c r="I203" s="653" t="s">
        <v>45</v>
      </c>
      <c r="J203" s="10"/>
      <c r="K203" s="26">
        <f t="shared" si="31"/>
        <v>7000</v>
      </c>
      <c r="L203" s="26">
        <f t="shared" si="31"/>
        <v>0</v>
      </c>
      <c r="M203" s="26">
        <f t="shared" si="31"/>
        <v>7000</v>
      </c>
      <c r="N203" s="26">
        <f t="shared" si="31"/>
        <v>7000</v>
      </c>
    </row>
    <row r="204" spans="1:14" s="148" customFormat="1" ht="36" x14ac:dyDescent="0.35">
      <c r="A204" s="11"/>
      <c r="B204" s="24" t="s">
        <v>306</v>
      </c>
      <c r="C204" s="25" t="s">
        <v>304</v>
      </c>
      <c r="D204" s="10" t="s">
        <v>89</v>
      </c>
      <c r="E204" s="10" t="s">
        <v>38</v>
      </c>
      <c r="F204" s="32" t="s">
        <v>225</v>
      </c>
      <c r="G204" s="33" t="s">
        <v>46</v>
      </c>
      <c r="H204" s="652" t="s">
        <v>40</v>
      </c>
      <c r="I204" s="653" t="s">
        <v>45</v>
      </c>
      <c r="J204" s="10"/>
      <c r="K204" s="26">
        <f t="shared" ref="K204:N205" si="32">K205</f>
        <v>7000</v>
      </c>
      <c r="L204" s="26">
        <f t="shared" si="32"/>
        <v>0</v>
      </c>
      <c r="M204" s="26">
        <f t="shared" si="32"/>
        <v>7000</v>
      </c>
      <c r="N204" s="26">
        <f t="shared" si="32"/>
        <v>7000</v>
      </c>
    </row>
    <row r="205" spans="1:14" s="148" customFormat="1" ht="36" x14ac:dyDescent="0.35">
      <c r="A205" s="11"/>
      <c r="B205" s="24" t="s">
        <v>259</v>
      </c>
      <c r="C205" s="25" t="s">
        <v>304</v>
      </c>
      <c r="D205" s="10" t="s">
        <v>89</v>
      </c>
      <c r="E205" s="10" t="s">
        <v>38</v>
      </c>
      <c r="F205" s="32" t="s">
        <v>225</v>
      </c>
      <c r="G205" s="33" t="s">
        <v>46</v>
      </c>
      <c r="H205" s="652" t="s">
        <v>40</v>
      </c>
      <c r="I205" s="653" t="s">
        <v>425</v>
      </c>
      <c r="J205" s="10"/>
      <c r="K205" s="26">
        <f t="shared" si="32"/>
        <v>7000</v>
      </c>
      <c r="L205" s="26">
        <f t="shared" si="32"/>
        <v>0</v>
      </c>
      <c r="M205" s="26">
        <f t="shared" si="32"/>
        <v>7000</v>
      </c>
      <c r="N205" s="26">
        <f t="shared" si="32"/>
        <v>7000</v>
      </c>
    </row>
    <row r="206" spans="1:14" s="148" customFormat="1" ht="18" x14ac:dyDescent="0.35">
      <c r="A206" s="11"/>
      <c r="B206" s="24" t="s">
        <v>124</v>
      </c>
      <c r="C206" s="25" t="s">
        <v>304</v>
      </c>
      <c r="D206" s="10" t="s">
        <v>89</v>
      </c>
      <c r="E206" s="10" t="s">
        <v>38</v>
      </c>
      <c r="F206" s="32" t="s">
        <v>225</v>
      </c>
      <c r="G206" s="33" t="s">
        <v>46</v>
      </c>
      <c r="H206" s="652" t="s">
        <v>40</v>
      </c>
      <c r="I206" s="653" t="s">
        <v>425</v>
      </c>
      <c r="J206" s="10" t="s">
        <v>125</v>
      </c>
      <c r="K206" s="26">
        <v>7000</v>
      </c>
      <c r="L206" s="26">
        <f>M206-K206</f>
        <v>0</v>
      </c>
      <c r="M206" s="26">
        <v>7000</v>
      </c>
      <c r="N206" s="26">
        <v>7000</v>
      </c>
    </row>
    <row r="207" spans="1:14" s="148" customFormat="1" ht="18" x14ac:dyDescent="0.35">
      <c r="A207" s="11"/>
      <c r="B207" s="24"/>
      <c r="C207" s="25"/>
      <c r="D207" s="10"/>
      <c r="E207" s="10"/>
      <c r="F207" s="32"/>
      <c r="G207" s="33"/>
      <c r="H207" s="652"/>
      <c r="I207" s="653"/>
      <c r="J207" s="10"/>
      <c r="K207" s="26"/>
      <c r="L207" s="26"/>
      <c r="M207" s="26"/>
      <c r="N207" s="26"/>
    </row>
    <row r="208" spans="1:14" s="149" customFormat="1" ht="52.2" x14ac:dyDescent="0.3">
      <c r="A208" s="142">
        <v>3</v>
      </c>
      <c r="B208" s="18" t="s">
        <v>36</v>
      </c>
      <c r="C208" s="19" t="s">
        <v>129</v>
      </c>
      <c r="D208" s="20"/>
      <c r="E208" s="20"/>
      <c r="F208" s="21"/>
      <c r="G208" s="22"/>
      <c r="H208" s="22"/>
      <c r="I208" s="23"/>
      <c r="J208" s="20"/>
      <c r="K208" s="40">
        <f t="shared" ref="K208:N211" si="33">K209</f>
        <v>4387.9000000000005</v>
      </c>
      <c r="L208" s="40">
        <f t="shared" si="33"/>
        <v>0</v>
      </c>
      <c r="M208" s="40">
        <f t="shared" si="33"/>
        <v>4387.9000000000005</v>
      </c>
      <c r="N208" s="40">
        <f t="shared" si="33"/>
        <v>4388</v>
      </c>
    </row>
    <row r="209" spans="1:14" s="149" customFormat="1" ht="18" x14ac:dyDescent="0.35">
      <c r="A209" s="11"/>
      <c r="B209" s="24" t="s">
        <v>37</v>
      </c>
      <c r="C209" s="25" t="s">
        <v>129</v>
      </c>
      <c r="D209" s="10" t="s">
        <v>38</v>
      </c>
      <c r="E209" s="10"/>
      <c r="F209" s="651"/>
      <c r="G209" s="652"/>
      <c r="H209" s="652"/>
      <c r="I209" s="653"/>
      <c r="J209" s="10"/>
      <c r="K209" s="26">
        <f t="shared" si="33"/>
        <v>4387.9000000000005</v>
      </c>
      <c r="L209" s="26">
        <f t="shared" si="33"/>
        <v>0</v>
      </c>
      <c r="M209" s="26">
        <f t="shared" si="33"/>
        <v>4387.9000000000005</v>
      </c>
      <c r="N209" s="26">
        <f t="shared" si="33"/>
        <v>4388</v>
      </c>
    </row>
    <row r="210" spans="1:14" s="149" customFormat="1" ht="72" x14ac:dyDescent="0.35">
      <c r="A210" s="11"/>
      <c r="B210" s="24" t="s">
        <v>130</v>
      </c>
      <c r="C210" s="25" t="s">
        <v>129</v>
      </c>
      <c r="D210" s="10" t="s">
        <v>38</v>
      </c>
      <c r="E210" s="10" t="s">
        <v>82</v>
      </c>
      <c r="F210" s="651"/>
      <c r="G210" s="652"/>
      <c r="H210" s="652"/>
      <c r="I210" s="653"/>
      <c r="J210" s="10"/>
      <c r="K210" s="26">
        <f t="shared" si="33"/>
        <v>4387.9000000000005</v>
      </c>
      <c r="L210" s="26">
        <f t="shared" si="33"/>
        <v>0</v>
      </c>
      <c r="M210" s="26">
        <f t="shared" si="33"/>
        <v>4387.9000000000005</v>
      </c>
      <c r="N210" s="26">
        <f t="shared" si="33"/>
        <v>4388</v>
      </c>
    </row>
    <row r="211" spans="1:14" s="149" customFormat="1" ht="36" x14ac:dyDescent="0.35">
      <c r="A211" s="11"/>
      <c r="B211" s="27" t="s">
        <v>131</v>
      </c>
      <c r="C211" s="25" t="s">
        <v>129</v>
      </c>
      <c r="D211" s="10" t="s">
        <v>38</v>
      </c>
      <c r="E211" s="10" t="s">
        <v>82</v>
      </c>
      <c r="F211" s="651" t="s">
        <v>132</v>
      </c>
      <c r="G211" s="652" t="s">
        <v>43</v>
      </c>
      <c r="H211" s="652" t="s">
        <v>44</v>
      </c>
      <c r="I211" s="653" t="s">
        <v>45</v>
      </c>
      <c r="J211" s="10"/>
      <c r="K211" s="26">
        <f t="shared" si="33"/>
        <v>4387.9000000000005</v>
      </c>
      <c r="L211" s="26">
        <f t="shared" si="33"/>
        <v>0</v>
      </c>
      <c r="M211" s="26">
        <f t="shared" si="33"/>
        <v>4387.9000000000005</v>
      </c>
      <c r="N211" s="26">
        <f t="shared" si="33"/>
        <v>4388</v>
      </c>
    </row>
    <row r="212" spans="1:14" s="149" customFormat="1" ht="34.5" customHeight="1" x14ac:dyDescent="0.35">
      <c r="A212" s="11"/>
      <c r="B212" s="27" t="s">
        <v>133</v>
      </c>
      <c r="C212" s="25" t="s">
        <v>129</v>
      </c>
      <c r="D212" s="10" t="s">
        <v>38</v>
      </c>
      <c r="E212" s="10" t="s">
        <v>82</v>
      </c>
      <c r="F212" s="651" t="s">
        <v>132</v>
      </c>
      <c r="G212" s="652" t="s">
        <v>46</v>
      </c>
      <c r="H212" s="652" t="s">
        <v>44</v>
      </c>
      <c r="I212" s="653" t="s">
        <v>45</v>
      </c>
      <c r="J212" s="10"/>
      <c r="K212" s="26">
        <f>K213</f>
        <v>4387.9000000000005</v>
      </c>
      <c r="L212" s="26">
        <f>L213</f>
        <v>0</v>
      </c>
      <c r="M212" s="26">
        <f>M213</f>
        <v>4387.9000000000005</v>
      </c>
      <c r="N212" s="26">
        <f>N213</f>
        <v>4388</v>
      </c>
    </row>
    <row r="213" spans="1:14" s="149" customFormat="1" ht="36" x14ac:dyDescent="0.35">
      <c r="A213" s="11"/>
      <c r="B213" s="24" t="s">
        <v>48</v>
      </c>
      <c r="C213" s="25" t="s">
        <v>129</v>
      </c>
      <c r="D213" s="10" t="s">
        <v>38</v>
      </c>
      <c r="E213" s="10" t="s">
        <v>82</v>
      </c>
      <c r="F213" s="651" t="s">
        <v>132</v>
      </c>
      <c r="G213" s="652" t="s">
        <v>46</v>
      </c>
      <c r="H213" s="652" t="s">
        <v>44</v>
      </c>
      <c r="I213" s="653" t="s">
        <v>49</v>
      </c>
      <c r="J213" s="10"/>
      <c r="K213" s="26">
        <f>K214+K215+K216</f>
        <v>4387.9000000000005</v>
      </c>
      <c r="L213" s="26">
        <f>L214+L215+L216</f>
        <v>0</v>
      </c>
      <c r="M213" s="26">
        <f>M214+M215+M216</f>
        <v>4387.9000000000005</v>
      </c>
      <c r="N213" s="26">
        <f>N214+N215+N216</f>
        <v>4388</v>
      </c>
    </row>
    <row r="214" spans="1:14" s="149" customFormat="1" ht="108" x14ac:dyDescent="0.35">
      <c r="A214" s="11"/>
      <c r="B214" s="24" t="s">
        <v>50</v>
      </c>
      <c r="C214" s="25" t="s">
        <v>129</v>
      </c>
      <c r="D214" s="10" t="s">
        <v>38</v>
      </c>
      <c r="E214" s="10" t="s">
        <v>82</v>
      </c>
      <c r="F214" s="651" t="s">
        <v>132</v>
      </c>
      <c r="G214" s="652" t="s">
        <v>46</v>
      </c>
      <c r="H214" s="652" t="s">
        <v>44</v>
      </c>
      <c r="I214" s="653" t="s">
        <v>49</v>
      </c>
      <c r="J214" s="10" t="s">
        <v>51</v>
      </c>
      <c r="K214" s="26">
        <v>4137.8</v>
      </c>
      <c r="L214" s="26">
        <f>M214-K214</f>
        <v>0</v>
      </c>
      <c r="M214" s="26">
        <v>4137.8</v>
      </c>
      <c r="N214" s="26">
        <v>4137.8</v>
      </c>
    </row>
    <row r="215" spans="1:14" s="149" customFormat="1" ht="54" x14ac:dyDescent="0.35">
      <c r="A215" s="11"/>
      <c r="B215" s="24" t="s">
        <v>56</v>
      </c>
      <c r="C215" s="25" t="s">
        <v>129</v>
      </c>
      <c r="D215" s="10" t="s">
        <v>38</v>
      </c>
      <c r="E215" s="10" t="s">
        <v>82</v>
      </c>
      <c r="F215" s="651" t="s">
        <v>132</v>
      </c>
      <c r="G215" s="652" t="s">
        <v>46</v>
      </c>
      <c r="H215" s="652" t="s">
        <v>44</v>
      </c>
      <c r="I215" s="653" t="s">
        <v>49</v>
      </c>
      <c r="J215" s="10" t="s">
        <v>57</v>
      </c>
      <c r="K215" s="26">
        <v>240.1</v>
      </c>
      <c r="L215" s="26">
        <f>M215-K215</f>
        <v>0</v>
      </c>
      <c r="M215" s="26">
        <v>240.1</v>
      </c>
      <c r="N215" s="26">
        <v>240.2</v>
      </c>
    </row>
    <row r="216" spans="1:14" s="149" customFormat="1" ht="18" x14ac:dyDescent="0.35">
      <c r="A216" s="11"/>
      <c r="B216" s="24" t="s">
        <v>58</v>
      </c>
      <c r="C216" s="25" t="s">
        <v>129</v>
      </c>
      <c r="D216" s="10" t="s">
        <v>38</v>
      </c>
      <c r="E216" s="10" t="s">
        <v>82</v>
      </c>
      <c r="F216" s="651" t="s">
        <v>132</v>
      </c>
      <c r="G216" s="652" t="s">
        <v>46</v>
      </c>
      <c r="H216" s="652" t="s">
        <v>44</v>
      </c>
      <c r="I216" s="653" t="s">
        <v>49</v>
      </c>
      <c r="J216" s="10" t="s">
        <v>59</v>
      </c>
      <c r="K216" s="26">
        <v>10</v>
      </c>
      <c r="L216" s="26">
        <f>M216-K216</f>
        <v>0</v>
      </c>
      <c r="M216" s="26">
        <v>10</v>
      </c>
      <c r="N216" s="26">
        <v>10</v>
      </c>
    </row>
    <row r="217" spans="1:14" s="149" customFormat="1" ht="18" x14ac:dyDescent="0.35">
      <c r="A217" s="11"/>
      <c r="B217" s="24"/>
      <c r="C217" s="25"/>
      <c r="D217" s="10"/>
      <c r="E217" s="10"/>
      <c r="F217" s="651"/>
      <c r="G217" s="652"/>
      <c r="H217" s="652"/>
      <c r="I217" s="653"/>
      <c r="J217" s="10"/>
      <c r="K217" s="26"/>
      <c r="L217" s="26"/>
      <c r="M217" s="26"/>
      <c r="N217" s="26"/>
    </row>
    <row r="218" spans="1:14" s="158" customFormat="1" ht="52.2" x14ac:dyDescent="0.3">
      <c r="A218" s="150">
        <v>4</v>
      </c>
      <c r="B218" s="151" t="s">
        <v>6</v>
      </c>
      <c r="C218" s="152" t="s">
        <v>435</v>
      </c>
      <c r="D218" s="153"/>
      <c r="E218" s="153"/>
      <c r="F218" s="154"/>
      <c r="G218" s="155"/>
      <c r="H218" s="155"/>
      <c r="I218" s="156"/>
      <c r="J218" s="153"/>
      <c r="K218" s="157">
        <f>K219+K272+K257+K281+K250</f>
        <v>263666.39999999997</v>
      </c>
      <c r="L218" s="157">
        <f>L219+L272+L257+L281+L250</f>
        <v>0</v>
      </c>
      <c r="M218" s="157">
        <f>M219+M272+M257+M281+M250</f>
        <v>263666.39999999997</v>
      </c>
      <c r="N218" s="157">
        <f>N219+N272+N257+N281+N250</f>
        <v>74774.899999999994</v>
      </c>
    </row>
    <row r="219" spans="1:14" s="164" customFormat="1" ht="18" x14ac:dyDescent="0.35">
      <c r="A219" s="159"/>
      <c r="B219" s="133" t="s">
        <v>37</v>
      </c>
      <c r="C219" s="160" t="s">
        <v>435</v>
      </c>
      <c r="D219" s="161" t="s">
        <v>38</v>
      </c>
      <c r="E219" s="111"/>
      <c r="F219" s="162"/>
      <c r="G219" s="109"/>
      <c r="H219" s="109"/>
      <c r="I219" s="110"/>
      <c r="J219" s="111"/>
      <c r="K219" s="163">
        <f>K220</f>
        <v>25771.399999999998</v>
      </c>
      <c r="L219" s="163">
        <f>L220</f>
        <v>0</v>
      </c>
      <c r="M219" s="163">
        <f>M220</f>
        <v>25771.399999999998</v>
      </c>
      <c r="N219" s="163">
        <f>N220</f>
        <v>27507</v>
      </c>
    </row>
    <row r="220" spans="1:14" s="158" customFormat="1" ht="18" x14ac:dyDescent="0.35">
      <c r="A220" s="159"/>
      <c r="B220" s="133" t="s">
        <v>71</v>
      </c>
      <c r="C220" s="160" t="s">
        <v>435</v>
      </c>
      <c r="D220" s="161" t="s">
        <v>38</v>
      </c>
      <c r="E220" s="161" t="s">
        <v>72</v>
      </c>
      <c r="F220" s="162"/>
      <c r="G220" s="109"/>
      <c r="H220" s="109"/>
      <c r="I220" s="110"/>
      <c r="J220" s="111"/>
      <c r="K220" s="163">
        <f>K221+K244</f>
        <v>25771.399999999998</v>
      </c>
      <c r="L220" s="163">
        <f>L221+L244</f>
        <v>0</v>
      </c>
      <c r="M220" s="163">
        <f>M221+M244</f>
        <v>25771.399999999998</v>
      </c>
      <c r="N220" s="163">
        <f>N221+N244</f>
        <v>27507</v>
      </c>
    </row>
    <row r="221" spans="1:14" s="164" customFormat="1" ht="54" customHeight="1" x14ac:dyDescent="0.35">
      <c r="A221" s="159"/>
      <c r="B221" s="133" t="s">
        <v>226</v>
      </c>
      <c r="C221" s="160" t="s">
        <v>435</v>
      </c>
      <c r="D221" s="161" t="s">
        <v>38</v>
      </c>
      <c r="E221" s="161" t="s">
        <v>72</v>
      </c>
      <c r="F221" s="121" t="s">
        <v>227</v>
      </c>
      <c r="G221" s="109" t="s">
        <v>43</v>
      </c>
      <c r="H221" s="109" t="s">
        <v>44</v>
      </c>
      <c r="I221" s="110" t="s">
        <v>45</v>
      </c>
      <c r="J221" s="111"/>
      <c r="K221" s="163">
        <f>K222+K226</f>
        <v>20561.899999999998</v>
      </c>
      <c r="L221" s="163">
        <f>L222+L226</f>
        <v>0</v>
      </c>
      <c r="M221" s="163">
        <f>M222+M226</f>
        <v>20561.899999999998</v>
      </c>
      <c r="N221" s="163">
        <f>N222+N226</f>
        <v>22293.899999999998</v>
      </c>
    </row>
    <row r="222" spans="1:14" s="164" customFormat="1" ht="41.25" customHeight="1" x14ac:dyDescent="0.35">
      <c r="A222" s="159"/>
      <c r="B222" s="133" t="s">
        <v>228</v>
      </c>
      <c r="C222" s="160" t="s">
        <v>435</v>
      </c>
      <c r="D222" s="161" t="s">
        <v>38</v>
      </c>
      <c r="E222" s="161" t="s">
        <v>72</v>
      </c>
      <c r="F222" s="165" t="s">
        <v>227</v>
      </c>
      <c r="G222" s="166" t="s">
        <v>46</v>
      </c>
      <c r="H222" s="166" t="s">
        <v>44</v>
      </c>
      <c r="I222" s="167" t="s">
        <v>45</v>
      </c>
      <c r="J222" s="111"/>
      <c r="K222" s="163">
        <f t="shared" ref="K222:N224" si="34">K223</f>
        <v>0</v>
      </c>
      <c r="L222" s="163">
        <f t="shared" si="34"/>
        <v>0</v>
      </c>
      <c r="M222" s="163">
        <f t="shared" si="34"/>
        <v>0</v>
      </c>
      <c r="N222" s="163">
        <f t="shared" si="34"/>
        <v>606.9</v>
      </c>
    </row>
    <row r="223" spans="1:14" s="158" customFormat="1" ht="36" x14ac:dyDescent="0.35">
      <c r="A223" s="159"/>
      <c r="B223" s="128" t="s">
        <v>342</v>
      </c>
      <c r="C223" s="160" t="s">
        <v>435</v>
      </c>
      <c r="D223" s="161" t="s">
        <v>38</v>
      </c>
      <c r="E223" s="161" t="s">
        <v>72</v>
      </c>
      <c r="F223" s="108" t="s">
        <v>227</v>
      </c>
      <c r="G223" s="109" t="s">
        <v>46</v>
      </c>
      <c r="H223" s="109" t="s">
        <v>40</v>
      </c>
      <c r="I223" s="110" t="s">
        <v>45</v>
      </c>
      <c r="J223" s="111"/>
      <c r="K223" s="163">
        <f>K224</f>
        <v>0</v>
      </c>
      <c r="L223" s="163">
        <f>L224</f>
        <v>0</v>
      </c>
      <c r="M223" s="163">
        <f>M224</f>
        <v>0</v>
      </c>
      <c r="N223" s="163">
        <f>N224</f>
        <v>606.9</v>
      </c>
    </row>
    <row r="224" spans="1:14" s="158" customFormat="1" ht="36" x14ac:dyDescent="0.35">
      <c r="A224" s="159"/>
      <c r="B224" s="128" t="s">
        <v>341</v>
      </c>
      <c r="C224" s="160" t="s">
        <v>435</v>
      </c>
      <c r="D224" s="161" t="s">
        <v>38</v>
      </c>
      <c r="E224" s="161" t="s">
        <v>72</v>
      </c>
      <c r="F224" s="108" t="s">
        <v>227</v>
      </c>
      <c r="G224" s="109" t="s">
        <v>46</v>
      </c>
      <c r="H224" s="109" t="s">
        <v>40</v>
      </c>
      <c r="I224" s="110" t="s">
        <v>340</v>
      </c>
      <c r="J224" s="111"/>
      <c r="K224" s="163">
        <f t="shared" si="34"/>
        <v>0</v>
      </c>
      <c r="L224" s="163">
        <f t="shared" si="34"/>
        <v>0</v>
      </c>
      <c r="M224" s="163">
        <f t="shared" si="34"/>
        <v>0</v>
      </c>
      <c r="N224" s="163">
        <f t="shared" si="34"/>
        <v>606.9</v>
      </c>
    </row>
    <row r="225" spans="1:14" s="158" customFormat="1" ht="54" x14ac:dyDescent="0.35">
      <c r="A225" s="159"/>
      <c r="B225" s="128" t="s">
        <v>56</v>
      </c>
      <c r="C225" s="160" t="s">
        <v>435</v>
      </c>
      <c r="D225" s="161" t="s">
        <v>38</v>
      </c>
      <c r="E225" s="161" t="s">
        <v>72</v>
      </c>
      <c r="F225" s="108" t="s">
        <v>227</v>
      </c>
      <c r="G225" s="109" t="s">
        <v>46</v>
      </c>
      <c r="H225" s="109" t="s">
        <v>40</v>
      </c>
      <c r="I225" s="110" t="s">
        <v>340</v>
      </c>
      <c r="J225" s="111" t="s">
        <v>57</v>
      </c>
      <c r="K225" s="163">
        <v>0</v>
      </c>
      <c r="L225" s="26">
        <f>M225-K225</f>
        <v>0</v>
      </c>
      <c r="M225" s="163">
        <v>0</v>
      </c>
      <c r="N225" s="163">
        <v>606.9</v>
      </c>
    </row>
    <row r="226" spans="1:14" s="158" customFormat="1" ht="36" x14ac:dyDescent="0.35">
      <c r="A226" s="159"/>
      <c r="B226" s="133" t="s">
        <v>230</v>
      </c>
      <c r="C226" s="160" t="s">
        <v>435</v>
      </c>
      <c r="D226" s="161" t="s">
        <v>38</v>
      </c>
      <c r="E226" s="161" t="s">
        <v>72</v>
      </c>
      <c r="F226" s="121" t="s">
        <v>227</v>
      </c>
      <c r="G226" s="109" t="s">
        <v>90</v>
      </c>
      <c r="H226" s="109" t="s">
        <v>44</v>
      </c>
      <c r="I226" s="110" t="s">
        <v>45</v>
      </c>
      <c r="J226" s="111"/>
      <c r="K226" s="163">
        <f>K227+K238+K241</f>
        <v>20561.899999999998</v>
      </c>
      <c r="L226" s="163">
        <f>L227+L238+L241</f>
        <v>0</v>
      </c>
      <c r="M226" s="163">
        <f>M227+M238+M241</f>
        <v>20561.899999999998</v>
      </c>
      <c r="N226" s="163">
        <f>N227+N238+N241</f>
        <v>21686.999999999996</v>
      </c>
    </row>
    <row r="227" spans="1:14" s="164" customFormat="1" ht="77.25" customHeight="1" x14ac:dyDescent="0.35">
      <c r="A227" s="159"/>
      <c r="B227" s="133" t="s">
        <v>303</v>
      </c>
      <c r="C227" s="160" t="s">
        <v>435</v>
      </c>
      <c r="D227" s="161" t="s">
        <v>38</v>
      </c>
      <c r="E227" s="161" t="s">
        <v>72</v>
      </c>
      <c r="F227" s="121" t="s">
        <v>227</v>
      </c>
      <c r="G227" s="109" t="s">
        <v>90</v>
      </c>
      <c r="H227" s="109" t="s">
        <v>38</v>
      </c>
      <c r="I227" s="110" t="s">
        <v>45</v>
      </c>
      <c r="J227" s="111"/>
      <c r="K227" s="163">
        <f>K228+K232+K236</f>
        <v>20547.099999999999</v>
      </c>
      <c r="L227" s="163">
        <f>L228+L232+L236</f>
        <v>0</v>
      </c>
      <c r="M227" s="163">
        <f>M228+M232+M236</f>
        <v>20547.099999999999</v>
      </c>
      <c r="N227" s="163">
        <f>N228+N232+N236</f>
        <v>20994.6</v>
      </c>
    </row>
    <row r="228" spans="1:14" s="158" customFormat="1" ht="36" x14ac:dyDescent="0.35">
      <c r="A228" s="159"/>
      <c r="B228" s="133" t="s">
        <v>48</v>
      </c>
      <c r="C228" s="160" t="s">
        <v>435</v>
      </c>
      <c r="D228" s="161" t="s">
        <v>38</v>
      </c>
      <c r="E228" s="161" t="s">
        <v>72</v>
      </c>
      <c r="F228" s="168" t="s">
        <v>227</v>
      </c>
      <c r="G228" s="166" t="s">
        <v>90</v>
      </c>
      <c r="H228" s="166" t="s">
        <v>38</v>
      </c>
      <c r="I228" s="167" t="s">
        <v>49</v>
      </c>
      <c r="J228" s="111"/>
      <c r="K228" s="163">
        <f>K229+K230+K231</f>
        <v>13047</v>
      </c>
      <c r="L228" s="163">
        <f>L229+L230+L231</f>
        <v>0</v>
      </c>
      <c r="M228" s="163">
        <f>M229+M230+M231</f>
        <v>13047</v>
      </c>
      <c r="N228" s="163">
        <f>N229+N230+N231</f>
        <v>13269.7</v>
      </c>
    </row>
    <row r="229" spans="1:14" s="164" customFormat="1" ht="108" x14ac:dyDescent="0.35">
      <c r="A229" s="159"/>
      <c r="B229" s="24" t="s">
        <v>50</v>
      </c>
      <c r="C229" s="160" t="s">
        <v>435</v>
      </c>
      <c r="D229" s="161" t="s">
        <v>38</v>
      </c>
      <c r="E229" s="161" t="s">
        <v>72</v>
      </c>
      <c r="F229" s="121" t="s">
        <v>227</v>
      </c>
      <c r="G229" s="109" t="s">
        <v>90</v>
      </c>
      <c r="H229" s="109" t="s">
        <v>38</v>
      </c>
      <c r="I229" s="110" t="s">
        <v>49</v>
      </c>
      <c r="J229" s="111" t="s">
        <v>51</v>
      </c>
      <c r="K229" s="163">
        <v>12941.5</v>
      </c>
      <c r="L229" s="26">
        <f>M229-K229</f>
        <v>0</v>
      </c>
      <c r="M229" s="163">
        <v>12941.5</v>
      </c>
      <c r="N229" s="163">
        <v>12941.5</v>
      </c>
    </row>
    <row r="230" spans="1:14" s="164" customFormat="1" ht="54" x14ac:dyDescent="0.35">
      <c r="A230" s="159"/>
      <c r="B230" s="128" t="s">
        <v>56</v>
      </c>
      <c r="C230" s="160" t="s">
        <v>435</v>
      </c>
      <c r="D230" s="161" t="s">
        <v>38</v>
      </c>
      <c r="E230" s="161" t="s">
        <v>72</v>
      </c>
      <c r="F230" s="121" t="s">
        <v>227</v>
      </c>
      <c r="G230" s="109" t="s">
        <v>90</v>
      </c>
      <c r="H230" s="109" t="s">
        <v>38</v>
      </c>
      <c r="I230" s="110" t="s">
        <v>49</v>
      </c>
      <c r="J230" s="111" t="s">
        <v>57</v>
      </c>
      <c r="K230" s="163">
        <v>104.3</v>
      </c>
      <c r="L230" s="26">
        <f>M230-K230</f>
        <v>0</v>
      </c>
      <c r="M230" s="163">
        <v>104.3</v>
      </c>
      <c r="N230" s="163">
        <v>327</v>
      </c>
    </row>
    <row r="231" spans="1:14" s="164" customFormat="1" ht="18" x14ac:dyDescent="0.35">
      <c r="A231" s="159"/>
      <c r="B231" s="133" t="s">
        <v>58</v>
      </c>
      <c r="C231" s="160" t="s">
        <v>435</v>
      </c>
      <c r="D231" s="161" t="s">
        <v>38</v>
      </c>
      <c r="E231" s="161" t="s">
        <v>72</v>
      </c>
      <c r="F231" s="121" t="s">
        <v>227</v>
      </c>
      <c r="G231" s="109" t="s">
        <v>90</v>
      </c>
      <c r="H231" s="109" t="s">
        <v>38</v>
      </c>
      <c r="I231" s="110" t="s">
        <v>49</v>
      </c>
      <c r="J231" s="111" t="s">
        <v>59</v>
      </c>
      <c r="K231" s="163">
        <v>1.2</v>
      </c>
      <c r="L231" s="26">
        <f>M231-K231</f>
        <v>0</v>
      </c>
      <c r="M231" s="163">
        <v>1.2</v>
      </c>
      <c r="N231" s="163">
        <v>1.2</v>
      </c>
    </row>
    <row r="232" spans="1:14" s="164" customFormat="1" ht="40.5" customHeight="1" x14ac:dyDescent="0.35">
      <c r="A232" s="159"/>
      <c r="B232" s="105" t="s">
        <v>490</v>
      </c>
      <c r="C232" s="160" t="s">
        <v>435</v>
      </c>
      <c r="D232" s="161" t="s">
        <v>38</v>
      </c>
      <c r="E232" s="161" t="s">
        <v>72</v>
      </c>
      <c r="F232" s="121" t="s">
        <v>227</v>
      </c>
      <c r="G232" s="109" t="s">
        <v>90</v>
      </c>
      <c r="H232" s="109" t="s">
        <v>38</v>
      </c>
      <c r="I232" s="110" t="s">
        <v>92</v>
      </c>
      <c r="J232" s="111"/>
      <c r="K232" s="163">
        <f>K233+K234+K235</f>
        <v>7431.0999999999995</v>
      </c>
      <c r="L232" s="163">
        <f>L233+L234+L235</f>
        <v>0</v>
      </c>
      <c r="M232" s="163">
        <f>M233+M234+M235</f>
        <v>7431.0999999999995</v>
      </c>
      <c r="N232" s="163">
        <f>N233+N234+N235</f>
        <v>7655.9</v>
      </c>
    </row>
    <row r="233" spans="1:14" s="164" customFormat="1" ht="108" x14ac:dyDescent="0.35">
      <c r="A233" s="159"/>
      <c r="B233" s="24" t="s">
        <v>50</v>
      </c>
      <c r="C233" s="160" t="s">
        <v>435</v>
      </c>
      <c r="D233" s="161" t="s">
        <v>38</v>
      </c>
      <c r="E233" s="161" t="s">
        <v>72</v>
      </c>
      <c r="F233" s="121" t="s">
        <v>227</v>
      </c>
      <c r="G233" s="109" t="s">
        <v>90</v>
      </c>
      <c r="H233" s="109" t="s">
        <v>38</v>
      </c>
      <c r="I233" s="110" t="s">
        <v>92</v>
      </c>
      <c r="J233" s="111" t="s">
        <v>51</v>
      </c>
      <c r="K233" s="163">
        <f>7298.3+14.4</f>
        <v>7312.7</v>
      </c>
      <c r="L233" s="26">
        <f>M233-K233</f>
        <v>0</v>
      </c>
      <c r="M233" s="163">
        <f>7298.3+14.4</f>
        <v>7312.7</v>
      </c>
      <c r="N233" s="163">
        <f>7298.3+14.4</f>
        <v>7312.7</v>
      </c>
    </row>
    <row r="234" spans="1:14" s="164" customFormat="1" ht="54" x14ac:dyDescent="0.35">
      <c r="A234" s="159"/>
      <c r="B234" s="128" t="s">
        <v>56</v>
      </c>
      <c r="C234" s="160" t="s">
        <v>435</v>
      </c>
      <c r="D234" s="161" t="s">
        <v>38</v>
      </c>
      <c r="E234" s="161" t="s">
        <v>72</v>
      </c>
      <c r="F234" s="168" t="s">
        <v>227</v>
      </c>
      <c r="G234" s="166" t="s">
        <v>90</v>
      </c>
      <c r="H234" s="166" t="s">
        <v>38</v>
      </c>
      <c r="I234" s="167" t="s">
        <v>92</v>
      </c>
      <c r="J234" s="111" t="s">
        <v>57</v>
      </c>
      <c r="K234" s="163">
        <f>98.9</f>
        <v>98.9</v>
      </c>
      <c r="L234" s="26">
        <f>M234-K234</f>
        <v>0</v>
      </c>
      <c r="M234" s="163">
        <f>98.9</f>
        <v>98.9</v>
      </c>
      <c r="N234" s="163">
        <f>338.9-14.4</f>
        <v>324.5</v>
      </c>
    </row>
    <row r="235" spans="1:14" s="164" customFormat="1" ht="18" x14ac:dyDescent="0.35">
      <c r="A235" s="159"/>
      <c r="B235" s="133" t="s">
        <v>58</v>
      </c>
      <c r="C235" s="160" t="s">
        <v>435</v>
      </c>
      <c r="D235" s="161" t="s">
        <v>38</v>
      </c>
      <c r="E235" s="161" t="s">
        <v>72</v>
      </c>
      <c r="F235" s="121" t="s">
        <v>227</v>
      </c>
      <c r="G235" s="109" t="s">
        <v>90</v>
      </c>
      <c r="H235" s="109" t="s">
        <v>38</v>
      </c>
      <c r="I235" s="110" t="s">
        <v>92</v>
      </c>
      <c r="J235" s="111" t="s">
        <v>59</v>
      </c>
      <c r="K235" s="163">
        <v>19.5</v>
      </c>
      <c r="L235" s="26">
        <f>M235-K235</f>
        <v>0</v>
      </c>
      <c r="M235" s="163">
        <v>19.5</v>
      </c>
      <c r="N235" s="163">
        <v>18.7</v>
      </c>
    </row>
    <row r="236" spans="1:14" s="164" customFormat="1" ht="54" x14ac:dyDescent="0.35">
      <c r="A236" s="159"/>
      <c r="B236" s="128" t="s">
        <v>361</v>
      </c>
      <c r="C236" s="160" t="s">
        <v>435</v>
      </c>
      <c r="D236" s="161" t="s">
        <v>38</v>
      </c>
      <c r="E236" s="161" t="s">
        <v>72</v>
      </c>
      <c r="F236" s="121" t="s">
        <v>227</v>
      </c>
      <c r="G236" s="109" t="s">
        <v>90</v>
      </c>
      <c r="H236" s="109" t="s">
        <v>38</v>
      </c>
      <c r="I236" s="110" t="s">
        <v>360</v>
      </c>
      <c r="J236" s="111"/>
      <c r="K236" s="163">
        <f>K237</f>
        <v>69</v>
      </c>
      <c r="L236" s="163">
        <f>L237</f>
        <v>0</v>
      </c>
      <c r="M236" s="163">
        <f>M237</f>
        <v>69</v>
      </c>
      <c r="N236" s="163">
        <f>N237</f>
        <v>69</v>
      </c>
    </row>
    <row r="237" spans="1:14" s="164" customFormat="1" ht="54" x14ac:dyDescent="0.35">
      <c r="A237" s="159"/>
      <c r="B237" s="128" t="s">
        <v>56</v>
      </c>
      <c r="C237" s="160" t="s">
        <v>435</v>
      </c>
      <c r="D237" s="161" t="s">
        <v>38</v>
      </c>
      <c r="E237" s="161" t="s">
        <v>72</v>
      </c>
      <c r="F237" s="121" t="s">
        <v>227</v>
      </c>
      <c r="G237" s="109" t="s">
        <v>90</v>
      </c>
      <c r="H237" s="109" t="s">
        <v>38</v>
      </c>
      <c r="I237" s="199" t="s">
        <v>360</v>
      </c>
      <c r="J237" s="111" t="s">
        <v>57</v>
      </c>
      <c r="K237" s="163">
        <v>69</v>
      </c>
      <c r="L237" s="26">
        <f>M237-K237</f>
        <v>0</v>
      </c>
      <c r="M237" s="163">
        <v>69</v>
      </c>
      <c r="N237" s="163">
        <v>69</v>
      </c>
    </row>
    <row r="238" spans="1:14" s="164" customFormat="1" ht="36" x14ac:dyDescent="0.35">
      <c r="A238" s="159"/>
      <c r="B238" s="201" t="s">
        <v>358</v>
      </c>
      <c r="C238" s="202" t="s">
        <v>435</v>
      </c>
      <c r="D238" s="203" t="s">
        <v>38</v>
      </c>
      <c r="E238" s="203" t="s">
        <v>72</v>
      </c>
      <c r="F238" s="121" t="s">
        <v>227</v>
      </c>
      <c r="G238" s="122" t="s">
        <v>90</v>
      </c>
      <c r="H238" s="122" t="s">
        <v>40</v>
      </c>
      <c r="I238" s="123" t="s">
        <v>45</v>
      </c>
      <c r="J238" s="124"/>
      <c r="K238" s="163">
        <f t="shared" ref="K238:N239" si="35">K239</f>
        <v>0</v>
      </c>
      <c r="L238" s="163">
        <f t="shared" si="35"/>
        <v>0</v>
      </c>
      <c r="M238" s="163">
        <f t="shared" si="35"/>
        <v>0</v>
      </c>
      <c r="N238" s="163">
        <f t="shared" si="35"/>
        <v>677.6</v>
      </c>
    </row>
    <row r="239" spans="1:14" s="164" customFormat="1" ht="58.5" customHeight="1" x14ac:dyDescent="0.35">
      <c r="A239" s="159"/>
      <c r="B239" s="208" t="s">
        <v>359</v>
      </c>
      <c r="C239" s="160" t="s">
        <v>435</v>
      </c>
      <c r="D239" s="161" t="s">
        <v>38</v>
      </c>
      <c r="E239" s="161" t="s">
        <v>72</v>
      </c>
      <c r="F239" s="170" t="s">
        <v>227</v>
      </c>
      <c r="G239" s="122" t="s">
        <v>90</v>
      </c>
      <c r="H239" s="122" t="s">
        <v>40</v>
      </c>
      <c r="I239" s="123" t="s">
        <v>106</v>
      </c>
      <c r="J239" s="125"/>
      <c r="K239" s="163">
        <f t="shared" si="35"/>
        <v>0</v>
      </c>
      <c r="L239" s="163">
        <f t="shared" si="35"/>
        <v>0</v>
      </c>
      <c r="M239" s="163">
        <f t="shared" si="35"/>
        <v>0</v>
      </c>
      <c r="N239" s="163">
        <f t="shared" si="35"/>
        <v>677.6</v>
      </c>
    </row>
    <row r="240" spans="1:14" s="164" customFormat="1" ht="54" x14ac:dyDescent="0.35">
      <c r="A240" s="159"/>
      <c r="B240" s="210" t="s">
        <v>56</v>
      </c>
      <c r="C240" s="160" t="s">
        <v>435</v>
      </c>
      <c r="D240" s="161" t="s">
        <v>38</v>
      </c>
      <c r="E240" s="161" t="s">
        <v>72</v>
      </c>
      <c r="F240" s="170" t="s">
        <v>227</v>
      </c>
      <c r="G240" s="127" t="s">
        <v>90</v>
      </c>
      <c r="H240" s="127" t="s">
        <v>40</v>
      </c>
      <c r="I240" s="211" t="s">
        <v>106</v>
      </c>
      <c r="J240" s="212" t="s">
        <v>57</v>
      </c>
      <c r="K240" s="163">
        <v>0</v>
      </c>
      <c r="L240" s="26">
        <f>M240-K240</f>
        <v>0</v>
      </c>
      <c r="M240" s="163">
        <v>0</v>
      </c>
      <c r="N240" s="163">
        <v>677.6</v>
      </c>
    </row>
    <row r="241" spans="1:14" s="164" customFormat="1" ht="36" x14ac:dyDescent="0.35">
      <c r="A241" s="159"/>
      <c r="B241" s="213" t="s">
        <v>381</v>
      </c>
      <c r="C241" s="160" t="s">
        <v>435</v>
      </c>
      <c r="D241" s="161" t="s">
        <v>38</v>
      </c>
      <c r="E241" s="161" t="s">
        <v>72</v>
      </c>
      <c r="F241" s="170" t="s">
        <v>227</v>
      </c>
      <c r="G241" s="122" t="s">
        <v>90</v>
      </c>
      <c r="H241" s="122" t="s">
        <v>64</v>
      </c>
      <c r="I241" s="123" t="s">
        <v>45</v>
      </c>
      <c r="J241" s="125"/>
      <c r="K241" s="163">
        <f t="shared" ref="K241:N242" si="36">K242</f>
        <v>14.8</v>
      </c>
      <c r="L241" s="163">
        <f t="shared" si="36"/>
        <v>0</v>
      </c>
      <c r="M241" s="163">
        <f t="shared" si="36"/>
        <v>14.8</v>
      </c>
      <c r="N241" s="163">
        <f t="shared" si="36"/>
        <v>14.8</v>
      </c>
    </row>
    <row r="242" spans="1:14" s="164" customFormat="1" ht="36" x14ac:dyDescent="0.35">
      <c r="A242" s="159"/>
      <c r="B242" s="213" t="s">
        <v>341</v>
      </c>
      <c r="C242" s="160" t="s">
        <v>435</v>
      </c>
      <c r="D242" s="161" t="s">
        <v>38</v>
      </c>
      <c r="E242" s="161" t="s">
        <v>72</v>
      </c>
      <c r="F242" s="126" t="s">
        <v>227</v>
      </c>
      <c r="G242" s="127" t="s">
        <v>90</v>
      </c>
      <c r="H242" s="127" t="s">
        <v>64</v>
      </c>
      <c r="I242" s="211" t="s">
        <v>340</v>
      </c>
      <c r="J242" s="125"/>
      <c r="K242" s="163">
        <f t="shared" si="36"/>
        <v>14.8</v>
      </c>
      <c r="L242" s="163">
        <f t="shared" si="36"/>
        <v>0</v>
      </c>
      <c r="M242" s="163">
        <f t="shared" si="36"/>
        <v>14.8</v>
      </c>
      <c r="N242" s="163">
        <f t="shared" si="36"/>
        <v>14.8</v>
      </c>
    </row>
    <row r="243" spans="1:14" s="164" customFormat="1" ht="18" x14ac:dyDescent="0.35">
      <c r="A243" s="159"/>
      <c r="B243" s="133" t="s">
        <v>58</v>
      </c>
      <c r="C243" s="215" t="s">
        <v>435</v>
      </c>
      <c r="D243" s="161" t="s">
        <v>38</v>
      </c>
      <c r="E243" s="161" t="s">
        <v>72</v>
      </c>
      <c r="F243" s="121" t="s">
        <v>227</v>
      </c>
      <c r="G243" s="122" t="s">
        <v>90</v>
      </c>
      <c r="H243" s="122" t="s">
        <v>64</v>
      </c>
      <c r="I243" s="123" t="s">
        <v>340</v>
      </c>
      <c r="J243" s="125" t="s">
        <v>59</v>
      </c>
      <c r="K243" s="163">
        <v>14.8</v>
      </c>
      <c r="L243" s="26">
        <f>M243-K243</f>
        <v>0</v>
      </c>
      <c r="M243" s="163">
        <v>14.8</v>
      </c>
      <c r="N243" s="163">
        <v>14.8</v>
      </c>
    </row>
    <row r="244" spans="1:14" s="164" customFormat="1" ht="56.25" customHeight="1" x14ac:dyDescent="0.35">
      <c r="A244" s="159"/>
      <c r="B244" s="169" t="s">
        <v>41</v>
      </c>
      <c r="C244" s="160" t="s">
        <v>435</v>
      </c>
      <c r="D244" s="161" t="s">
        <v>38</v>
      </c>
      <c r="E244" s="161" t="s">
        <v>72</v>
      </c>
      <c r="F244" s="170" t="s">
        <v>42</v>
      </c>
      <c r="G244" s="109" t="s">
        <v>43</v>
      </c>
      <c r="H244" s="109" t="s">
        <v>44</v>
      </c>
      <c r="I244" s="110" t="s">
        <v>45</v>
      </c>
      <c r="J244" s="111"/>
      <c r="K244" s="163">
        <f t="shared" ref="K244:N246" si="37">K245</f>
        <v>5209.5</v>
      </c>
      <c r="L244" s="163">
        <f t="shared" si="37"/>
        <v>0</v>
      </c>
      <c r="M244" s="163">
        <f t="shared" si="37"/>
        <v>5209.5</v>
      </c>
      <c r="N244" s="163">
        <f t="shared" si="37"/>
        <v>5213.1000000000004</v>
      </c>
    </row>
    <row r="245" spans="1:14" s="164" customFormat="1" ht="36" x14ac:dyDescent="0.35">
      <c r="A245" s="159"/>
      <c r="B245" s="128" t="s">
        <v>343</v>
      </c>
      <c r="C245" s="160" t="s">
        <v>435</v>
      </c>
      <c r="D245" s="161" t="s">
        <v>38</v>
      </c>
      <c r="E245" s="161" t="s">
        <v>72</v>
      </c>
      <c r="F245" s="121" t="s">
        <v>42</v>
      </c>
      <c r="G245" s="109" t="s">
        <v>46</v>
      </c>
      <c r="H245" s="109" t="s">
        <v>44</v>
      </c>
      <c r="I245" s="110" t="s">
        <v>45</v>
      </c>
      <c r="J245" s="111"/>
      <c r="K245" s="163">
        <f t="shared" si="37"/>
        <v>5209.5</v>
      </c>
      <c r="L245" s="163">
        <f t="shared" si="37"/>
        <v>0</v>
      </c>
      <c r="M245" s="163">
        <f t="shared" si="37"/>
        <v>5209.5</v>
      </c>
      <c r="N245" s="163">
        <f t="shared" si="37"/>
        <v>5213.1000000000004</v>
      </c>
    </row>
    <row r="246" spans="1:14" s="164" customFormat="1" ht="72" x14ac:dyDescent="0.35">
      <c r="A246" s="159"/>
      <c r="B246" s="133" t="s">
        <v>301</v>
      </c>
      <c r="C246" s="160" t="s">
        <v>435</v>
      </c>
      <c r="D246" s="161" t="s">
        <v>38</v>
      </c>
      <c r="E246" s="161" t="s">
        <v>72</v>
      </c>
      <c r="F246" s="121" t="s">
        <v>42</v>
      </c>
      <c r="G246" s="109" t="s">
        <v>46</v>
      </c>
      <c r="H246" s="109" t="s">
        <v>82</v>
      </c>
      <c r="I246" s="110" t="s">
        <v>45</v>
      </c>
      <c r="J246" s="111"/>
      <c r="K246" s="163">
        <f t="shared" si="37"/>
        <v>5209.5</v>
      </c>
      <c r="L246" s="163">
        <f t="shared" si="37"/>
        <v>0</v>
      </c>
      <c r="M246" s="163">
        <f t="shared" si="37"/>
        <v>5209.5</v>
      </c>
      <c r="N246" s="163">
        <f t="shared" si="37"/>
        <v>5213.1000000000004</v>
      </c>
    </row>
    <row r="247" spans="1:14" s="164" customFormat="1" ht="42.75" customHeight="1" x14ac:dyDescent="0.35">
      <c r="A247" s="159"/>
      <c r="B247" s="105" t="s">
        <v>490</v>
      </c>
      <c r="C247" s="160" t="s">
        <v>435</v>
      </c>
      <c r="D247" s="161" t="s">
        <v>38</v>
      </c>
      <c r="E247" s="161" t="s">
        <v>72</v>
      </c>
      <c r="F247" s="121" t="s">
        <v>42</v>
      </c>
      <c r="G247" s="109" t="s">
        <v>46</v>
      </c>
      <c r="H247" s="109" t="s">
        <v>82</v>
      </c>
      <c r="I247" s="110" t="s">
        <v>92</v>
      </c>
      <c r="J247" s="111"/>
      <c r="K247" s="163">
        <f>K248+K249</f>
        <v>5209.5</v>
      </c>
      <c r="L247" s="163">
        <f>L248+L249</f>
        <v>0</v>
      </c>
      <c r="M247" s="163">
        <f>M248+M249</f>
        <v>5209.5</v>
      </c>
      <c r="N247" s="163">
        <f>N248+N249</f>
        <v>5213.1000000000004</v>
      </c>
    </row>
    <row r="248" spans="1:14" s="164" customFormat="1" ht="108" x14ac:dyDescent="0.35">
      <c r="A248" s="159"/>
      <c r="B248" s="24" t="s">
        <v>50</v>
      </c>
      <c r="C248" s="160" t="s">
        <v>435</v>
      </c>
      <c r="D248" s="161" t="s">
        <v>38</v>
      </c>
      <c r="E248" s="161" t="s">
        <v>72</v>
      </c>
      <c r="F248" s="121" t="s">
        <v>42</v>
      </c>
      <c r="G248" s="109" t="s">
        <v>46</v>
      </c>
      <c r="H248" s="109" t="s">
        <v>82</v>
      </c>
      <c r="I248" s="110" t="s">
        <v>92</v>
      </c>
      <c r="J248" s="111" t="s">
        <v>51</v>
      </c>
      <c r="K248" s="163">
        <v>4729.8</v>
      </c>
      <c r="L248" s="26">
        <f>M248-K248</f>
        <v>0</v>
      </c>
      <c r="M248" s="163">
        <v>4729.8</v>
      </c>
      <c r="N248" s="163">
        <v>4729.8</v>
      </c>
    </row>
    <row r="249" spans="1:14" s="164" customFormat="1" ht="54" x14ac:dyDescent="0.35">
      <c r="A249" s="159"/>
      <c r="B249" s="128" t="s">
        <v>56</v>
      </c>
      <c r="C249" s="160" t="s">
        <v>435</v>
      </c>
      <c r="D249" s="161" t="s">
        <v>38</v>
      </c>
      <c r="E249" s="161" t="s">
        <v>72</v>
      </c>
      <c r="F249" s="121" t="s">
        <v>42</v>
      </c>
      <c r="G249" s="109" t="s">
        <v>46</v>
      </c>
      <c r="H249" s="109" t="s">
        <v>82</v>
      </c>
      <c r="I249" s="110" t="s">
        <v>92</v>
      </c>
      <c r="J249" s="111" t="s">
        <v>57</v>
      </c>
      <c r="K249" s="240">
        <v>479.7</v>
      </c>
      <c r="L249" s="26">
        <f>M249-K249</f>
        <v>0</v>
      </c>
      <c r="M249" s="240">
        <v>479.7</v>
      </c>
      <c r="N249" s="240">
        <v>483.3</v>
      </c>
    </row>
    <row r="250" spans="1:14" s="164" customFormat="1" ht="18" x14ac:dyDescent="0.35">
      <c r="A250" s="159"/>
      <c r="B250" s="133" t="s">
        <v>178</v>
      </c>
      <c r="C250" s="160" t="s">
        <v>435</v>
      </c>
      <c r="D250" s="161" t="s">
        <v>66</v>
      </c>
      <c r="E250" s="161"/>
      <c r="F250" s="108"/>
      <c r="G250" s="109"/>
      <c r="H250" s="109"/>
      <c r="I250" s="134"/>
      <c r="J250" s="111"/>
      <c r="K250" s="323">
        <f t="shared" ref="K250:N255" si="38">K251</f>
        <v>57894.8</v>
      </c>
      <c r="L250" s="26">
        <f t="shared" si="38"/>
        <v>0</v>
      </c>
      <c r="M250" s="323">
        <f t="shared" si="38"/>
        <v>57894.8</v>
      </c>
      <c r="N250" s="323">
        <f t="shared" si="38"/>
        <v>0</v>
      </c>
    </row>
    <row r="251" spans="1:14" s="164" customFormat="1" ht="18" x14ac:dyDescent="0.35">
      <c r="A251" s="159"/>
      <c r="B251" s="133" t="s">
        <v>337</v>
      </c>
      <c r="C251" s="160" t="s">
        <v>435</v>
      </c>
      <c r="D251" s="161" t="s">
        <v>66</v>
      </c>
      <c r="E251" s="161" t="s">
        <v>40</v>
      </c>
      <c r="F251" s="108"/>
      <c r="G251" s="109"/>
      <c r="H251" s="109"/>
      <c r="I251" s="134"/>
      <c r="J251" s="111"/>
      <c r="K251" s="323">
        <f t="shared" si="38"/>
        <v>57894.8</v>
      </c>
      <c r="L251" s="26">
        <f t="shared" si="38"/>
        <v>0</v>
      </c>
      <c r="M251" s="323">
        <f t="shared" si="38"/>
        <v>57894.8</v>
      </c>
      <c r="N251" s="323">
        <f t="shared" si="38"/>
        <v>0</v>
      </c>
    </row>
    <row r="252" spans="1:14" s="164" customFormat="1" ht="72" x14ac:dyDescent="0.35">
      <c r="A252" s="159"/>
      <c r="B252" s="171" t="s">
        <v>336</v>
      </c>
      <c r="C252" s="160" t="s">
        <v>435</v>
      </c>
      <c r="D252" s="161" t="s">
        <v>66</v>
      </c>
      <c r="E252" s="161" t="s">
        <v>40</v>
      </c>
      <c r="F252" s="108" t="s">
        <v>105</v>
      </c>
      <c r="G252" s="109" t="s">
        <v>43</v>
      </c>
      <c r="H252" s="109" t="s">
        <v>44</v>
      </c>
      <c r="I252" s="134" t="s">
        <v>45</v>
      </c>
      <c r="J252" s="111"/>
      <c r="K252" s="323">
        <f t="shared" si="38"/>
        <v>57894.8</v>
      </c>
      <c r="L252" s="26">
        <f t="shared" si="38"/>
        <v>0</v>
      </c>
      <c r="M252" s="323">
        <f t="shared" si="38"/>
        <v>57894.8</v>
      </c>
      <c r="N252" s="323">
        <f t="shared" si="38"/>
        <v>0</v>
      </c>
    </row>
    <row r="253" spans="1:14" s="164" customFormat="1" ht="54" x14ac:dyDescent="0.35">
      <c r="A253" s="159"/>
      <c r="B253" s="128" t="s">
        <v>338</v>
      </c>
      <c r="C253" s="160" t="s">
        <v>435</v>
      </c>
      <c r="D253" s="161" t="s">
        <v>66</v>
      </c>
      <c r="E253" s="161" t="s">
        <v>40</v>
      </c>
      <c r="F253" s="108" t="s">
        <v>105</v>
      </c>
      <c r="G253" s="109" t="s">
        <v>46</v>
      </c>
      <c r="H253" s="109" t="s">
        <v>44</v>
      </c>
      <c r="I253" s="134" t="s">
        <v>45</v>
      </c>
      <c r="J253" s="111"/>
      <c r="K253" s="323">
        <f t="shared" si="38"/>
        <v>57894.8</v>
      </c>
      <c r="L253" s="26">
        <f t="shared" si="38"/>
        <v>0</v>
      </c>
      <c r="M253" s="323">
        <f t="shared" si="38"/>
        <v>57894.8</v>
      </c>
      <c r="N253" s="323">
        <f t="shared" si="38"/>
        <v>0</v>
      </c>
    </row>
    <row r="254" spans="1:14" s="164" customFormat="1" ht="54" x14ac:dyDescent="0.35">
      <c r="A254" s="159"/>
      <c r="B254" s="128" t="s">
        <v>380</v>
      </c>
      <c r="C254" s="160" t="s">
        <v>435</v>
      </c>
      <c r="D254" s="161" t="s">
        <v>66</v>
      </c>
      <c r="E254" s="161" t="s">
        <v>40</v>
      </c>
      <c r="F254" s="108" t="s">
        <v>105</v>
      </c>
      <c r="G254" s="109" t="s">
        <v>46</v>
      </c>
      <c r="H254" s="109" t="s">
        <v>38</v>
      </c>
      <c r="I254" s="134" t="s">
        <v>45</v>
      </c>
      <c r="J254" s="111"/>
      <c r="K254" s="323">
        <f t="shared" si="38"/>
        <v>57894.8</v>
      </c>
      <c r="L254" s="26">
        <f t="shared" si="38"/>
        <v>0</v>
      </c>
      <c r="M254" s="323">
        <f t="shared" si="38"/>
        <v>57894.8</v>
      </c>
      <c r="N254" s="323">
        <f t="shared" si="38"/>
        <v>0</v>
      </c>
    </row>
    <row r="255" spans="1:14" s="164" customFormat="1" ht="72" x14ac:dyDescent="0.35">
      <c r="A255" s="159"/>
      <c r="B255" s="128" t="s">
        <v>546</v>
      </c>
      <c r="C255" s="160" t="s">
        <v>435</v>
      </c>
      <c r="D255" s="161" t="s">
        <v>66</v>
      </c>
      <c r="E255" s="161" t="s">
        <v>40</v>
      </c>
      <c r="F255" s="108" t="s">
        <v>105</v>
      </c>
      <c r="G255" s="109" t="s">
        <v>46</v>
      </c>
      <c r="H255" s="109" t="s">
        <v>38</v>
      </c>
      <c r="I255" s="134" t="s">
        <v>436</v>
      </c>
      <c r="J255" s="111"/>
      <c r="K255" s="323">
        <f t="shared" si="38"/>
        <v>57894.8</v>
      </c>
      <c r="L255" s="26">
        <f t="shared" si="38"/>
        <v>0</v>
      </c>
      <c r="M255" s="323">
        <f t="shared" si="38"/>
        <v>57894.8</v>
      </c>
      <c r="N255" s="323">
        <f t="shared" si="38"/>
        <v>0</v>
      </c>
    </row>
    <row r="256" spans="1:14" s="164" customFormat="1" ht="54" x14ac:dyDescent="0.35">
      <c r="A256" s="159"/>
      <c r="B256" s="128" t="s">
        <v>204</v>
      </c>
      <c r="C256" s="160" t="s">
        <v>435</v>
      </c>
      <c r="D256" s="161" t="s">
        <v>66</v>
      </c>
      <c r="E256" s="161" t="s">
        <v>40</v>
      </c>
      <c r="F256" s="108" t="s">
        <v>105</v>
      </c>
      <c r="G256" s="109" t="s">
        <v>46</v>
      </c>
      <c r="H256" s="109" t="s">
        <v>38</v>
      </c>
      <c r="I256" s="134" t="s">
        <v>436</v>
      </c>
      <c r="J256" s="111" t="s">
        <v>205</v>
      </c>
      <c r="K256" s="323">
        <f>55000+2894.8</f>
        <v>57894.8</v>
      </c>
      <c r="L256" s="26">
        <f>M256-K256</f>
        <v>0</v>
      </c>
      <c r="M256" s="323">
        <f>55000+2894.8</f>
        <v>57894.8</v>
      </c>
      <c r="N256" s="323">
        <v>0</v>
      </c>
    </row>
    <row r="257" spans="1:14" s="164" customFormat="1" ht="18" x14ac:dyDescent="0.35">
      <c r="A257" s="159"/>
      <c r="B257" s="107" t="s">
        <v>180</v>
      </c>
      <c r="C257" s="160" t="s">
        <v>435</v>
      </c>
      <c r="D257" s="161" t="s">
        <v>225</v>
      </c>
      <c r="E257" s="161"/>
      <c r="F257" s="108"/>
      <c r="G257" s="109"/>
      <c r="H257" s="109"/>
      <c r="I257" s="134"/>
      <c r="J257" s="111"/>
      <c r="K257" s="26">
        <f>K258+K266</f>
        <v>123465.5</v>
      </c>
      <c r="L257" s="26">
        <f>L258+L266</f>
        <v>-1912.2000000000007</v>
      </c>
      <c r="M257" s="26">
        <f>M258+M266</f>
        <v>121553.29999999999</v>
      </c>
      <c r="N257" s="26">
        <f>N258+N266</f>
        <v>0</v>
      </c>
    </row>
    <row r="258" spans="1:14" s="164" customFormat="1" ht="18" x14ac:dyDescent="0.35">
      <c r="A258" s="159"/>
      <c r="B258" s="107" t="s">
        <v>182</v>
      </c>
      <c r="C258" s="160" t="s">
        <v>435</v>
      </c>
      <c r="D258" s="161" t="s">
        <v>225</v>
      </c>
      <c r="E258" s="161" t="s">
        <v>38</v>
      </c>
      <c r="F258" s="108"/>
      <c r="G258" s="109"/>
      <c r="H258" s="109"/>
      <c r="I258" s="110"/>
      <c r="J258" s="111"/>
      <c r="K258" s="340">
        <f t="shared" ref="K258:N260" si="39">K259</f>
        <v>108202.9</v>
      </c>
      <c r="L258" s="340">
        <f t="shared" si="39"/>
        <v>0</v>
      </c>
      <c r="M258" s="340">
        <f t="shared" si="39"/>
        <v>108202.9</v>
      </c>
      <c r="N258" s="163">
        <f t="shared" si="39"/>
        <v>0</v>
      </c>
    </row>
    <row r="259" spans="1:14" s="164" customFormat="1" ht="54" x14ac:dyDescent="0.35">
      <c r="A259" s="159"/>
      <c r="B259" s="107" t="s">
        <v>461</v>
      </c>
      <c r="C259" s="160" t="s">
        <v>435</v>
      </c>
      <c r="D259" s="161" t="s">
        <v>225</v>
      </c>
      <c r="E259" s="161" t="s">
        <v>38</v>
      </c>
      <c r="F259" s="108" t="s">
        <v>40</v>
      </c>
      <c r="G259" s="109" t="s">
        <v>43</v>
      </c>
      <c r="H259" s="109" t="s">
        <v>44</v>
      </c>
      <c r="I259" s="110" t="s">
        <v>45</v>
      </c>
      <c r="J259" s="111"/>
      <c r="K259" s="340">
        <f t="shared" si="39"/>
        <v>108202.9</v>
      </c>
      <c r="L259" s="340">
        <f t="shared" si="39"/>
        <v>0</v>
      </c>
      <c r="M259" s="340">
        <f t="shared" si="39"/>
        <v>108202.9</v>
      </c>
      <c r="N259" s="163">
        <f t="shared" si="39"/>
        <v>0</v>
      </c>
    </row>
    <row r="260" spans="1:14" s="164" customFormat="1" ht="36" x14ac:dyDescent="0.35">
      <c r="A260" s="159"/>
      <c r="B260" s="107" t="s">
        <v>207</v>
      </c>
      <c r="C260" s="160" t="s">
        <v>435</v>
      </c>
      <c r="D260" s="161" t="s">
        <v>225</v>
      </c>
      <c r="E260" s="161" t="s">
        <v>38</v>
      </c>
      <c r="F260" s="108" t="s">
        <v>40</v>
      </c>
      <c r="G260" s="109" t="s">
        <v>46</v>
      </c>
      <c r="H260" s="109" t="s">
        <v>44</v>
      </c>
      <c r="I260" s="110" t="s">
        <v>45</v>
      </c>
      <c r="J260" s="111"/>
      <c r="K260" s="340">
        <f t="shared" si="39"/>
        <v>108202.9</v>
      </c>
      <c r="L260" s="340">
        <f t="shared" si="39"/>
        <v>0</v>
      </c>
      <c r="M260" s="340">
        <f t="shared" si="39"/>
        <v>108202.9</v>
      </c>
      <c r="N260" s="163">
        <f t="shared" si="39"/>
        <v>0</v>
      </c>
    </row>
    <row r="261" spans="1:14" s="164" customFormat="1" ht="36" x14ac:dyDescent="0.35">
      <c r="A261" s="159"/>
      <c r="B261" s="107" t="s">
        <v>268</v>
      </c>
      <c r="C261" s="160" t="s">
        <v>435</v>
      </c>
      <c r="D261" s="161" t="s">
        <v>225</v>
      </c>
      <c r="E261" s="161" t="s">
        <v>38</v>
      </c>
      <c r="F261" s="108" t="s">
        <v>40</v>
      </c>
      <c r="G261" s="109" t="s">
        <v>46</v>
      </c>
      <c r="H261" s="109" t="s">
        <v>38</v>
      </c>
      <c r="I261" s="134" t="s">
        <v>45</v>
      </c>
      <c r="J261" s="111"/>
      <c r="K261" s="340">
        <f>K262+K264</f>
        <v>108202.9</v>
      </c>
      <c r="L261" s="340">
        <f>L262+L264</f>
        <v>0</v>
      </c>
      <c r="M261" s="340">
        <f>M262+M264</f>
        <v>108202.9</v>
      </c>
      <c r="N261" s="340">
        <f>N262+N264</f>
        <v>0</v>
      </c>
    </row>
    <row r="262" spans="1:14" s="164" customFormat="1" ht="36" x14ac:dyDescent="0.35">
      <c r="A262" s="159"/>
      <c r="B262" s="24" t="s">
        <v>209</v>
      </c>
      <c r="C262" s="160" t="s">
        <v>435</v>
      </c>
      <c r="D262" s="161" t="s">
        <v>225</v>
      </c>
      <c r="E262" s="161" t="s">
        <v>38</v>
      </c>
      <c r="F262" s="108" t="s">
        <v>40</v>
      </c>
      <c r="G262" s="109" t="s">
        <v>46</v>
      </c>
      <c r="H262" s="109" t="s">
        <v>38</v>
      </c>
      <c r="I262" s="134" t="s">
        <v>275</v>
      </c>
      <c r="J262" s="111"/>
      <c r="K262" s="340">
        <f>K263</f>
        <v>23118.499999999993</v>
      </c>
      <c r="L262" s="340">
        <f>L263</f>
        <v>0</v>
      </c>
      <c r="M262" s="340">
        <f>M263</f>
        <v>23118.499999999993</v>
      </c>
      <c r="N262" s="340">
        <f>N263</f>
        <v>0</v>
      </c>
    </row>
    <row r="263" spans="1:14" s="164" customFormat="1" ht="54" x14ac:dyDescent="0.35">
      <c r="A263" s="159"/>
      <c r="B263" s="107" t="s">
        <v>204</v>
      </c>
      <c r="C263" s="160" t="s">
        <v>435</v>
      </c>
      <c r="D263" s="161" t="s">
        <v>225</v>
      </c>
      <c r="E263" s="161" t="s">
        <v>38</v>
      </c>
      <c r="F263" s="108" t="s">
        <v>40</v>
      </c>
      <c r="G263" s="109" t="s">
        <v>46</v>
      </c>
      <c r="H263" s="109" t="s">
        <v>38</v>
      </c>
      <c r="I263" s="134" t="s">
        <v>275</v>
      </c>
      <c r="J263" s="111" t="s">
        <v>205</v>
      </c>
      <c r="K263" s="607">
        <f>194+267.7+1011.8+30647.1+9195.1+12232.7-5447.4-24125.5-857</f>
        <v>23118.499999999993</v>
      </c>
      <c r="L263" s="606">
        <f>M263-K263</f>
        <v>0</v>
      </c>
      <c r="M263" s="607">
        <f>194+267.7+1011.8+30647.1+9195.1+12232.7-5447.4-24125.5-857</f>
        <v>23118.499999999993</v>
      </c>
      <c r="N263" s="163">
        <v>0</v>
      </c>
    </row>
    <row r="264" spans="1:14" s="164" customFormat="1" ht="108" x14ac:dyDescent="0.35">
      <c r="A264" s="159"/>
      <c r="B264" s="107" t="s">
        <v>550</v>
      </c>
      <c r="C264" s="160" t="s">
        <v>435</v>
      </c>
      <c r="D264" s="161" t="s">
        <v>225</v>
      </c>
      <c r="E264" s="161" t="s">
        <v>38</v>
      </c>
      <c r="F264" s="108" t="s">
        <v>40</v>
      </c>
      <c r="G264" s="109" t="s">
        <v>46</v>
      </c>
      <c r="H264" s="109" t="s">
        <v>38</v>
      </c>
      <c r="I264" s="134" t="s">
        <v>549</v>
      </c>
      <c r="J264" s="111"/>
      <c r="K264" s="323">
        <f>K265</f>
        <v>85084.400000000009</v>
      </c>
      <c r="L264" s="26">
        <f>L265</f>
        <v>0</v>
      </c>
      <c r="M264" s="323">
        <f>M265</f>
        <v>85084.400000000009</v>
      </c>
      <c r="N264" s="340">
        <f>N265</f>
        <v>0</v>
      </c>
    </row>
    <row r="265" spans="1:14" s="164" customFormat="1" ht="54" x14ac:dyDescent="0.35">
      <c r="A265" s="159"/>
      <c r="B265" s="107" t="s">
        <v>204</v>
      </c>
      <c r="C265" s="160" t="s">
        <v>435</v>
      </c>
      <c r="D265" s="161" t="s">
        <v>225</v>
      </c>
      <c r="E265" s="161" t="s">
        <v>38</v>
      </c>
      <c r="F265" s="108" t="s">
        <v>40</v>
      </c>
      <c r="G265" s="109" t="s">
        <v>46</v>
      </c>
      <c r="H265" s="109" t="s">
        <v>38</v>
      </c>
      <c r="I265" s="134" t="s">
        <v>549</v>
      </c>
      <c r="J265" s="111" t="s">
        <v>205</v>
      </c>
      <c r="K265" s="323">
        <f>82531.8+2552.6</f>
        <v>85084.400000000009</v>
      </c>
      <c r="L265" s="26">
        <f>M265-K265</f>
        <v>0</v>
      </c>
      <c r="M265" s="323">
        <f>82531.8+2552.6</f>
        <v>85084.400000000009</v>
      </c>
      <c r="N265" s="340">
        <v>0</v>
      </c>
    </row>
    <row r="266" spans="1:14" s="164" customFormat="1" ht="18" x14ac:dyDescent="0.35">
      <c r="A266" s="159"/>
      <c r="B266" s="107" t="s">
        <v>184</v>
      </c>
      <c r="C266" s="160" t="s">
        <v>435</v>
      </c>
      <c r="D266" s="161" t="s">
        <v>225</v>
      </c>
      <c r="E266" s="161" t="s">
        <v>40</v>
      </c>
      <c r="F266" s="108"/>
      <c r="G266" s="109"/>
      <c r="H266" s="109"/>
      <c r="I266" s="134"/>
      <c r="J266" s="111"/>
      <c r="K266" s="608">
        <f t="shared" ref="K266:M270" si="40">K267</f>
        <v>15262.599999999999</v>
      </c>
      <c r="L266" s="608">
        <f t="shared" si="40"/>
        <v>-1912.2000000000007</v>
      </c>
      <c r="M266" s="608">
        <f t="shared" si="40"/>
        <v>13350.399999999998</v>
      </c>
      <c r="N266" s="163">
        <v>0</v>
      </c>
    </row>
    <row r="267" spans="1:14" s="164" customFormat="1" ht="54" x14ac:dyDescent="0.35">
      <c r="A267" s="159"/>
      <c r="B267" s="107" t="s">
        <v>206</v>
      </c>
      <c r="C267" s="160" t="s">
        <v>435</v>
      </c>
      <c r="D267" s="161" t="s">
        <v>225</v>
      </c>
      <c r="E267" s="161" t="s">
        <v>40</v>
      </c>
      <c r="F267" s="108" t="s">
        <v>40</v>
      </c>
      <c r="G267" s="109" t="s">
        <v>43</v>
      </c>
      <c r="H267" s="109" t="s">
        <v>44</v>
      </c>
      <c r="I267" s="110" t="s">
        <v>45</v>
      </c>
      <c r="J267" s="111"/>
      <c r="K267" s="340">
        <f t="shared" si="40"/>
        <v>15262.599999999999</v>
      </c>
      <c r="L267" s="340">
        <f t="shared" si="40"/>
        <v>-1912.2000000000007</v>
      </c>
      <c r="M267" s="340">
        <f t="shared" si="40"/>
        <v>13350.399999999998</v>
      </c>
      <c r="N267" s="163">
        <v>0</v>
      </c>
    </row>
    <row r="268" spans="1:14" s="164" customFormat="1" ht="36" x14ac:dyDescent="0.35">
      <c r="A268" s="159"/>
      <c r="B268" s="107" t="s">
        <v>207</v>
      </c>
      <c r="C268" s="160" t="s">
        <v>435</v>
      </c>
      <c r="D268" s="161" t="s">
        <v>225</v>
      </c>
      <c r="E268" s="161" t="s">
        <v>40</v>
      </c>
      <c r="F268" s="108" t="s">
        <v>40</v>
      </c>
      <c r="G268" s="109" t="s">
        <v>46</v>
      </c>
      <c r="H268" s="109" t="s">
        <v>44</v>
      </c>
      <c r="I268" s="110" t="s">
        <v>45</v>
      </c>
      <c r="J268" s="111"/>
      <c r="K268" s="340">
        <f t="shared" si="40"/>
        <v>15262.599999999999</v>
      </c>
      <c r="L268" s="340">
        <f t="shared" si="40"/>
        <v>-1912.2000000000007</v>
      </c>
      <c r="M268" s="340">
        <f t="shared" si="40"/>
        <v>13350.399999999998</v>
      </c>
      <c r="N268" s="163">
        <v>0</v>
      </c>
    </row>
    <row r="269" spans="1:14" s="164" customFormat="1" ht="18" x14ac:dyDescent="0.35">
      <c r="A269" s="159"/>
      <c r="B269" s="107" t="s">
        <v>273</v>
      </c>
      <c r="C269" s="160" t="s">
        <v>435</v>
      </c>
      <c r="D269" s="161" t="s">
        <v>225</v>
      </c>
      <c r="E269" s="161" t="s">
        <v>40</v>
      </c>
      <c r="F269" s="108" t="s">
        <v>40</v>
      </c>
      <c r="G269" s="109" t="s">
        <v>46</v>
      </c>
      <c r="H269" s="109" t="s">
        <v>40</v>
      </c>
      <c r="I269" s="110" t="s">
        <v>45</v>
      </c>
      <c r="J269" s="111"/>
      <c r="K269" s="340">
        <f t="shared" si="40"/>
        <v>15262.599999999999</v>
      </c>
      <c r="L269" s="340">
        <f t="shared" si="40"/>
        <v>-1912.2000000000007</v>
      </c>
      <c r="M269" s="340">
        <f t="shared" si="40"/>
        <v>13350.399999999998</v>
      </c>
      <c r="N269" s="163">
        <v>0</v>
      </c>
    </row>
    <row r="270" spans="1:14" s="164" customFormat="1" ht="36" x14ac:dyDescent="0.35">
      <c r="A270" s="159"/>
      <c r="B270" s="107" t="s">
        <v>209</v>
      </c>
      <c r="C270" s="160" t="s">
        <v>435</v>
      </c>
      <c r="D270" s="161" t="s">
        <v>225</v>
      </c>
      <c r="E270" s="161" t="s">
        <v>40</v>
      </c>
      <c r="F270" s="108" t="s">
        <v>40</v>
      </c>
      <c r="G270" s="109" t="s">
        <v>46</v>
      </c>
      <c r="H270" s="109" t="s">
        <v>40</v>
      </c>
      <c r="I270" s="110" t="s">
        <v>275</v>
      </c>
      <c r="J270" s="111"/>
      <c r="K270" s="340">
        <f t="shared" si="40"/>
        <v>15262.599999999999</v>
      </c>
      <c r="L270" s="340">
        <f t="shared" si="40"/>
        <v>-1912.2000000000007</v>
      </c>
      <c r="M270" s="340">
        <f t="shared" si="40"/>
        <v>13350.399999999998</v>
      </c>
      <c r="N270" s="163">
        <v>0</v>
      </c>
    </row>
    <row r="271" spans="1:14" s="164" customFormat="1" ht="54" x14ac:dyDescent="0.35">
      <c r="A271" s="159"/>
      <c r="B271" s="107" t="s">
        <v>204</v>
      </c>
      <c r="C271" s="160" t="s">
        <v>435</v>
      </c>
      <c r="D271" s="161" t="s">
        <v>225</v>
      </c>
      <c r="E271" s="161" t="s">
        <v>40</v>
      </c>
      <c r="F271" s="108" t="s">
        <v>40</v>
      </c>
      <c r="G271" s="109" t="s">
        <v>46</v>
      </c>
      <c r="H271" s="109" t="s">
        <v>40</v>
      </c>
      <c r="I271" s="110" t="s">
        <v>275</v>
      </c>
      <c r="J271" s="111" t="s">
        <v>205</v>
      </c>
      <c r="K271" s="340">
        <f>190.9+124.1+296+252.1+269.8+7319.8+13754.9-6945</f>
        <v>15262.599999999999</v>
      </c>
      <c r="L271" s="26">
        <f>M271-K271</f>
        <v>-1912.2000000000007</v>
      </c>
      <c r="M271" s="340">
        <f>190.9+124.1+296+252.1+269.8+7319.8+13754.9-6945-1912.2</f>
        <v>13350.399999999998</v>
      </c>
      <c r="N271" s="163">
        <v>0</v>
      </c>
    </row>
    <row r="272" spans="1:14" s="175" customFormat="1" ht="18" x14ac:dyDescent="0.35">
      <c r="A272" s="172"/>
      <c r="B272" s="173" t="s">
        <v>120</v>
      </c>
      <c r="C272" s="174" t="s">
        <v>435</v>
      </c>
      <c r="D272" s="132" t="s">
        <v>105</v>
      </c>
      <c r="E272" s="132"/>
      <c r="F272" s="129"/>
      <c r="G272" s="130"/>
      <c r="H272" s="130"/>
      <c r="I272" s="131"/>
      <c r="J272" s="132"/>
      <c r="K272" s="163">
        <f>K273+K425</f>
        <v>47267.9</v>
      </c>
      <c r="L272" s="163">
        <f>L273+L425</f>
        <v>0</v>
      </c>
      <c r="M272" s="163">
        <f>M273+M425</f>
        <v>47267.9</v>
      </c>
      <c r="N272" s="163">
        <f>N273+N425</f>
        <v>47267.9</v>
      </c>
    </row>
    <row r="273" spans="1:14" s="175" customFormat="1" ht="18" x14ac:dyDescent="0.35">
      <c r="A273" s="172"/>
      <c r="B273" s="128" t="s">
        <v>194</v>
      </c>
      <c r="C273" s="174" t="s">
        <v>435</v>
      </c>
      <c r="D273" s="132" t="s">
        <v>105</v>
      </c>
      <c r="E273" s="132" t="s">
        <v>53</v>
      </c>
      <c r="F273" s="129"/>
      <c r="G273" s="130"/>
      <c r="H273" s="130"/>
      <c r="I273" s="131"/>
      <c r="J273" s="132"/>
      <c r="K273" s="163">
        <f t="shared" ref="K273:N275" si="41">K274</f>
        <v>47267.9</v>
      </c>
      <c r="L273" s="163">
        <f t="shared" si="41"/>
        <v>0</v>
      </c>
      <c r="M273" s="163">
        <f t="shared" si="41"/>
        <v>47267.9</v>
      </c>
      <c r="N273" s="163">
        <f t="shared" si="41"/>
        <v>47267.9</v>
      </c>
    </row>
    <row r="274" spans="1:14" s="175" customFormat="1" ht="54" x14ac:dyDescent="0.35">
      <c r="A274" s="172"/>
      <c r="B274" s="176" t="s">
        <v>231</v>
      </c>
      <c r="C274" s="174" t="s">
        <v>435</v>
      </c>
      <c r="D274" s="132" t="s">
        <v>105</v>
      </c>
      <c r="E274" s="132" t="s">
        <v>53</v>
      </c>
      <c r="F274" s="129" t="s">
        <v>80</v>
      </c>
      <c r="G274" s="130" t="s">
        <v>43</v>
      </c>
      <c r="H274" s="130" t="s">
        <v>44</v>
      </c>
      <c r="I274" s="131" t="s">
        <v>45</v>
      </c>
      <c r="J274" s="132"/>
      <c r="K274" s="163">
        <f t="shared" si="41"/>
        <v>47267.9</v>
      </c>
      <c r="L274" s="163">
        <f t="shared" si="41"/>
        <v>0</v>
      </c>
      <c r="M274" s="163">
        <f t="shared" si="41"/>
        <v>47267.9</v>
      </c>
      <c r="N274" s="163">
        <f t="shared" si="41"/>
        <v>47267.9</v>
      </c>
    </row>
    <row r="275" spans="1:14" s="175" customFormat="1" ht="36" x14ac:dyDescent="0.35">
      <c r="A275" s="172"/>
      <c r="B275" s="128" t="s">
        <v>343</v>
      </c>
      <c r="C275" s="174" t="s">
        <v>435</v>
      </c>
      <c r="D275" s="132" t="s">
        <v>105</v>
      </c>
      <c r="E275" s="132" t="s">
        <v>53</v>
      </c>
      <c r="F275" s="129" t="s">
        <v>80</v>
      </c>
      <c r="G275" s="130" t="s">
        <v>46</v>
      </c>
      <c r="H275" s="130" t="s">
        <v>44</v>
      </c>
      <c r="I275" s="131" t="s">
        <v>45</v>
      </c>
      <c r="J275" s="132"/>
      <c r="K275" s="163">
        <f t="shared" si="41"/>
        <v>47267.9</v>
      </c>
      <c r="L275" s="163">
        <f t="shared" si="41"/>
        <v>0</v>
      </c>
      <c r="M275" s="163">
        <f t="shared" si="41"/>
        <v>47267.9</v>
      </c>
      <c r="N275" s="163">
        <f t="shared" si="41"/>
        <v>47267.9</v>
      </c>
    </row>
    <row r="276" spans="1:14" s="177" customFormat="1" ht="90" x14ac:dyDescent="0.35">
      <c r="A276" s="172"/>
      <c r="B276" s="128" t="s">
        <v>302</v>
      </c>
      <c r="C276" s="174" t="s">
        <v>435</v>
      </c>
      <c r="D276" s="132" t="s">
        <v>105</v>
      </c>
      <c r="E276" s="132" t="s">
        <v>53</v>
      </c>
      <c r="F276" s="129" t="s">
        <v>80</v>
      </c>
      <c r="G276" s="130" t="s">
        <v>46</v>
      </c>
      <c r="H276" s="130" t="s">
        <v>40</v>
      </c>
      <c r="I276" s="131" t="s">
        <v>45</v>
      </c>
      <c r="J276" s="132"/>
      <c r="K276" s="163">
        <f>K277+K279</f>
        <v>47267.9</v>
      </c>
      <c r="L276" s="163">
        <f>L277+L279</f>
        <v>0</v>
      </c>
      <c r="M276" s="163">
        <f>M277+M279</f>
        <v>47267.9</v>
      </c>
      <c r="N276" s="163">
        <f>N277+N279</f>
        <v>47267.9</v>
      </c>
    </row>
    <row r="277" spans="1:14" s="164" customFormat="1" ht="110.25" customHeight="1" x14ac:dyDescent="0.35">
      <c r="A277" s="159"/>
      <c r="B277" s="133" t="s">
        <v>437</v>
      </c>
      <c r="C277" s="160" t="s">
        <v>435</v>
      </c>
      <c r="D277" s="161" t="s">
        <v>105</v>
      </c>
      <c r="E277" s="161" t="s">
        <v>53</v>
      </c>
      <c r="F277" s="108" t="s">
        <v>80</v>
      </c>
      <c r="G277" s="109" t="s">
        <v>46</v>
      </c>
      <c r="H277" s="109" t="s">
        <v>40</v>
      </c>
      <c r="I277" s="134" t="s">
        <v>438</v>
      </c>
      <c r="J277" s="111"/>
      <c r="K277" s="163">
        <f>K278</f>
        <v>39126.1</v>
      </c>
      <c r="L277" s="163">
        <f>L278</f>
        <v>0</v>
      </c>
      <c r="M277" s="163">
        <f>M278</f>
        <v>39126.1</v>
      </c>
      <c r="N277" s="163">
        <f>N278</f>
        <v>39126.1</v>
      </c>
    </row>
    <row r="278" spans="1:14" s="164" customFormat="1" ht="54" x14ac:dyDescent="0.35">
      <c r="A278" s="159"/>
      <c r="B278" s="133" t="s">
        <v>204</v>
      </c>
      <c r="C278" s="160" t="s">
        <v>435</v>
      </c>
      <c r="D278" s="161" t="s">
        <v>105</v>
      </c>
      <c r="E278" s="161" t="s">
        <v>53</v>
      </c>
      <c r="F278" s="108" t="s">
        <v>80</v>
      </c>
      <c r="G278" s="109" t="s">
        <v>46</v>
      </c>
      <c r="H278" s="109" t="s">
        <v>40</v>
      </c>
      <c r="I278" s="134" t="s">
        <v>438</v>
      </c>
      <c r="J278" s="111" t="s">
        <v>205</v>
      </c>
      <c r="K278" s="240">
        <f>47267.9-8141.8</f>
        <v>39126.1</v>
      </c>
      <c r="L278" s="26">
        <f>M278-K278</f>
        <v>0</v>
      </c>
      <c r="M278" s="240">
        <f>47267.9-8141.8</f>
        <v>39126.1</v>
      </c>
      <c r="N278" s="240">
        <f>47267.9-8141.8</f>
        <v>39126.1</v>
      </c>
    </row>
    <row r="279" spans="1:14" s="164" customFormat="1" ht="108" x14ac:dyDescent="0.35">
      <c r="A279" s="159"/>
      <c r="B279" s="133" t="s">
        <v>437</v>
      </c>
      <c r="C279" s="160" t="s">
        <v>435</v>
      </c>
      <c r="D279" s="161" t="s">
        <v>105</v>
      </c>
      <c r="E279" s="161" t="s">
        <v>53</v>
      </c>
      <c r="F279" s="108" t="s">
        <v>80</v>
      </c>
      <c r="G279" s="109" t="s">
        <v>46</v>
      </c>
      <c r="H279" s="109" t="s">
        <v>40</v>
      </c>
      <c r="I279" s="134" t="s">
        <v>630</v>
      </c>
      <c r="J279" s="162"/>
      <c r="K279" s="323">
        <f>K280</f>
        <v>8141.8</v>
      </c>
      <c r="L279" s="323">
        <f>L280</f>
        <v>0</v>
      </c>
      <c r="M279" s="323">
        <f>M280</f>
        <v>8141.8</v>
      </c>
      <c r="N279" s="323">
        <f>N280</f>
        <v>8141.8</v>
      </c>
    </row>
    <row r="280" spans="1:14" s="164" customFormat="1" ht="54" x14ac:dyDescent="0.35">
      <c r="A280" s="159"/>
      <c r="B280" s="133" t="s">
        <v>204</v>
      </c>
      <c r="C280" s="160" t="s">
        <v>435</v>
      </c>
      <c r="D280" s="161" t="s">
        <v>105</v>
      </c>
      <c r="E280" s="161" t="s">
        <v>53</v>
      </c>
      <c r="F280" s="108" t="s">
        <v>80</v>
      </c>
      <c r="G280" s="109" t="s">
        <v>46</v>
      </c>
      <c r="H280" s="109" t="s">
        <v>40</v>
      </c>
      <c r="I280" s="134" t="s">
        <v>630</v>
      </c>
      <c r="J280" s="162" t="s">
        <v>205</v>
      </c>
      <c r="K280" s="323">
        <v>8141.8</v>
      </c>
      <c r="L280" s="26">
        <f>M280-K280</f>
        <v>0</v>
      </c>
      <c r="M280" s="323">
        <v>8141.8</v>
      </c>
      <c r="N280" s="323">
        <v>8141.8</v>
      </c>
    </row>
    <row r="281" spans="1:14" s="164" customFormat="1" ht="18" x14ac:dyDescent="0.35">
      <c r="A281" s="159"/>
      <c r="B281" s="133" t="s">
        <v>325</v>
      </c>
      <c r="C281" s="160" t="s">
        <v>435</v>
      </c>
      <c r="D281" s="161" t="s">
        <v>68</v>
      </c>
      <c r="E281" s="161"/>
      <c r="F281" s="108"/>
      <c r="G281" s="109"/>
      <c r="H281" s="109"/>
      <c r="I281" s="134"/>
      <c r="J281" s="111"/>
      <c r="K281" s="595">
        <f t="shared" ref="K281:N286" si="42">K282</f>
        <v>9266.8000000000011</v>
      </c>
      <c r="L281" s="595">
        <f t="shared" si="42"/>
        <v>1912.2000000000007</v>
      </c>
      <c r="M281" s="595">
        <f t="shared" si="42"/>
        <v>11179.000000000002</v>
      </c>
      <c r="N281" s="596">
        <f t="shared" si="42"/>
        <v>0</v>
      </c>
    </row>
    <row r="282" spans="1:14" s="164" customFormat="1" ht="18" x14ac:dyDescent="0.35">
      <c r="A282" s="159"/>
      <c r="B282" s="133" t="s">
        <v>367</v>
      </c>
      <c r="C282" s="160" t="s">
        <v>435</v>
      </c>
      <c r="D282" s="161" t="s">
        <v>68</v>
      </c>
      <c r="E282" s="161" t="s">
        <v>38</v>
      </c>
      <c r="F282" s="108"/>
      <c r="G282" s="109"/>
      <c r="H282" s="109"/>
      <c r="I282" s="134"/>
      <c r="J282" s="111"/>
      <c r="K282" s="581">
        <f t="shared" si="42"/>
        <v>9266.8000000000011</v>
      </c>
      <c r="L282" s="581">
        <f t="shared" si="42"/>
        <v>1912.2000000000007</v>
      </c>
      <c r="M282" s="581">
        <f t="shared" si="42"/>
        <v>11179.000000000002</v>
      </c>
      <c r="N282" s="323">
        <f t="shared" si="42"/>
        <v>0</v>
      </c>
    </row>
    <row r="283" spans="1:14" s="164" customFormat="1" ht="54" x14ac:dyDescent="0.35">
      <c r="A283" s="159"/>
      <c r="B283" s="133" t="s">
        <v>218</v>
      </c>
      <c r="C283" s="160" t="s">
        <v>435</v>
      </c>
      <c r="D283" s="161" t="s">
        <v>68</v>
      </c>
      <c r="E283" s="161" t="s">
        <v>38</v>
      </c>
      <c r="F283" s="108" t="s">
        <v>53</v>
      </c>
      <c r="G283" s="109" t="s">
        <v>43</v>
      </c>
      <c r="H283" s="109" t="s">
        <v>44</v>
      </c>
      <c r="I283" s="134" t="s">
        <v>45</v>
      </c>
      <c r="J283" s="111"/>
      <c r="K283" s="581">
        <f t="shared" si="42"/>
        <v>9266.8000000000011</v>
      </c>
      <c r="L283" s="581">
        <f t="shared" si="42"/>
        <v>1912.2000000000007</v>
      </c>
      <c r="M283" s="581">
        <f t="shared" si="42"/>
        <v>11179.000000000002</v>
      </c>
      <c r="N283" s="323">
        <f t="shared" si="42"/>
        <v>0</v>
      </c>
    </row>
    <row r="284" spans="1:14" s="164" customFormat="1" ht="36" x14ac:dyDescent="0.35">
      <c r="A284" s="159"/>
      <c r="B284" s="133" t="s">
        <v>343</v>
      </c>
      <c r="C284" s="160" t="s">
        <v>435</v>
      </c>
      <c r="D284" s="161" t="s">
        <v>68</v>
      </c>
      <c r="E284" s="161" t="s">
        <v>38</v>
      </c>
      <c r="F284" s="108" t="s">
        <v>53</v>
      </c>
      <c r="G284" s="109" t="s">
        <v>32</v>
      </c>
      <c r="H284" s="109" t="s">
        <v>44</v>
      </c>
      <c r="I284" s="134" t="s">
        <v>45</v>
      </c>
      <c r="J284" s="111"/>
      <c r="K284" s="581">
        <f t="shared" si="42"/>
        <v>9266.8000000000011</v>
      </c>
      <c r="L284" s="581">
        <f t="shared" si="42"/>
        <v>1912.2000000000007</v>
      </c>
      <c r="M284" s="581">
        <f t="shared" si="42"/>
        <v>11179.000000000002</v>
      </c>
      <c r="N284" s="323">
        <f t="shared" si="42"/>
        <v>0</v>
      </c>
    </row>
    <row r="285" spans="1:14" s="164" customFormat="1" ht="72" x14ac:dyDescent="0.35">
      <c r="A285" s="159"/>
      <c r="B285" s="133" t="s">
        <v>431</v>
      </c>
      <c r="C285" s="160" t="s">
        <v>435</v>
      </c>
      <c r="D285" s="161" t="s">
        <v>68</v>
      </c>
      <c r="E285" s="161" t="s">
        <v>38</v>
      </c>
      <c r="F285" s="108" t="s">
        <v>53</v>
      </c>
      <c r="G285" s="109" t="s">
        <v>32</v>
      </c>
      <c r="H285" s="109" t="s">
        <v>64</v>
      </c>
      <c r="I285" s="134" t="s">
        <v>45</v>
      </c>
      <c r="J285" s="111"/>
      <c r="K285" s="581">
        <f t="shared" si="42"/>
        <v>9266.8000000000011</v>
      </c>
      <c r="L285" s="581">
        <f t="shared" si="42"/>
        <v>1912.2000000000007</v>
      </c>
      <c r="M285" s="581">
        <f t="shared" si="42"/>
        <v>11179.000000000002</v>
      </c>
      <c r="N285" s="323">
        <f t="shared" si="42"/>
        <v>0</v>
      </c>
    </row>
    <row r="286" spans="1:14" s="164" customFormat="1" ht="54" x14ac:dyDescent="0.35">
      <c r="A286" s="159"/>
      <c r="B286" s="133" t="s">
        <v>220</v>
      </c>
      <c r="C286" s="160" t="s">
        <v>435</v>
      </c>
      <c r="D286" s="161" t="s">
        <v>68</v>
      </c>
      <c r="E286" s="161" t="s">
        <v>38</v>
      </c>
      <c r="F286" s="108" t="s">
        <v>53</v>
      </c>
      <c r="G286" s="109" t="s">
        <v>32</v>
      </c>
      <c r="H286" s="109" t="s">
        <v>64</v>
      </c>
      <c r="I286" s="134" t="s">
        <v>294</v>
      </c>
      <c r="J286" s="111"/>
      <c r="K286" s="581">
        <f>K287</f>
        <v>9266.8000000000011</v>
      </c>
      <c r="L286" s="581">
        <f>L287</f>
        <v>1912.2000000000007</v>
      </c>
      <c r="M286" s="581">
        <f>M287</f>
        <v>11179.000000000002</v>
      </c>
      <c r="N286" s="323">
        <f t="shared" si="42"/>
        <v>0</v>
      </c>
    </row>
    <row r="287" spans="1:14" s="164" customFormat="1" ht="54" x14ac:dyDescent="0.35">
      <c r="A287" s="159"/>
      <c r="B287" s="133" t="s">
        <v>204</v>
      </c>
      <c r="C287" s="160" t="s">
        <v>435</v>
      </c>
      <c r="D287" s="161" t="s">
        <v>68</v>
      </c>
      <c r="E287" s="161" t="s">
        <v>38</v>
      </c>
      <c r="F287" s="108" t="s">
        <v>53</v>
      </c>
      <c r="G287" s="109" t="s">
        <v>32</v>
      </c>
      <c r="H287" s="109" t="s">
        <v>64</v>
      </c>
      <c r="I287" s="134" t="s">
        <v>294</v>
      </c>
      <c r="J287" s="579" t="s">
        <v>205</v>
      </c>
      <c r="K287" s="581">
        <f>129.7+10124.6-987.5</f>
        <v>9266.8000000000011</v>
      </c>
      <c r="L287" s="26">
        <f>M287-K287</f>
        <v>1912.2000000000007</v>
      </c>
      <c r="M287" s="581">
        <f>129.7+10124.6-987.5+1912.2</f>
        <v>11179.000000000002</v>
      </c>
      <c r="N287" s="582">
        <v>0</v>
      </c>
    </row>
    <row r="288" spans="1:14" s="149" customFormat="1" ht="18" x14ac:dyDescent="0.35">
      <c r="A288" s="11"/>
      <c r="B288" s="24"/>
      <c r="C288" s="25"/>
      <c r="D288" s="10"/>
      <c r="E288" s="10"/>
      <c r="F288" s="651"/>
      <c r="G288" s="652"/>
      <c r="H288" s="652"/>
      <c r="I288" s="653"/>
      <c r="J288" s="10"/>
      <c r="K288" s="26"/>
      <c r="L288" s="26"/>
      <c r="M288" s="26"/>
      <c r="N288" s="26"/>
    </row>
    <row r="289" spans="1:15" s="147" customFormat="1" ht="52.2" x14ac:dyDescent="0.3">
      <c r="A289" s="142">
        <v>5</v>
      </c>
      <c r="B289" s="18" t="s">
        <v>7</v>
      </c>
      <c r="C289" s="19" t="s">
        <v>448</v>
      </c>
      <c r="D289" s="20"/>
      <c r="E289" s="20"/>
      <c r="F289" s="21"/>
      <c r="G289" s="22"/>
      <c r="H289" s="22"/>
      <c r="I289" s="23"/>
      <c r="J289" s="20"/>
      <c r="K289" s="40">
        <f>K303+K417+K290</f>
        <v>1047827.6000000002</v>
      </c>
      <c r="L289" s="40">
        <f>L303+L417+L290</f>
        <v>0</v>
      </c>
      <c r="M289" s="40">
        <f>M303+M417+M290</f>
        <v>1047827.6000000002</v>
      </c>
      <c r="N289" s="40">
        <f>N303+N417+N290</f>
        <v>1098850.2</v>
      </c>
      <c r="O289" s="178"/>
    </row>
    <row r="290" spans="1:15" s="147" customFormat="1" ht="18" x14ac:dyDescent="0.35">
      <c r="A290" s="142"/>
      <c r="B290" s="290" t="s">
        <v>37</v>
      </c>
      <c r="C290" s="298" t="s">
        <v>448</v>
      </c>
      <c r="D290" s="291" t="s">
        <v>38</v>
      </c>
      <c r="E290" s="104"/>
      <c r="F290" s="299"/>
      <c r="G290" s="114"/>
      <c r="H290" s="114"/>
      <c r="I290" s="115"/>
      <c r="J290" s="104"/>
      <c r="K290" s="254">
        <f t="shared" ref="K290:M291" si="43">K291</f>
        <v>257.2</v>
      </c>
      <c r="L290" s="254">
        <f t="shared" si="43"/>
        <v>0</v>
      </c>
      <c r="M290" s="254">
        <f t="shared" si="43"/>
        <v>257.2</v>
      </c>
      <c r="N290" s="254">
        <f>N291</f>
        <v>257.2</v>
      </c>
      <c r="O290" s="178"/>
    </row>
    <row r="291" spans="1:15" s="147" customFormat="1" ht="18" x14ac:dyDescent="0.35">
      <c r="A291" s="142"/>
      <c r="B291" s="290" t="s">
        <v>71</v>
      </c>
      <c r="C291" s="300" t="s">
        <v>448</v>
      </c>
      <c r="D291" s="291" t="s">
        <v>38</v>
      </c>
      <c r="E291" s="291" t="s">
        <v>72</v>
      </c>
      <c r="F291" s="299"/>
      <c r="G291" s="114"/>
      <c r="H291" s="114"/>
      <c r="I291" s="115"/>
      <c r="J291" s="104"/>
      <c r="K291" s="254">
        <f t="shared" si="43"/>
        <v>257.2</v>
      </c>
      <c r="L291" s="254">
        <f t="shared" si="43"/>
        <v>0</v>
      </c>
      <c r="M291" s="254">
        <f t="shared" si="43"/>
        <v>257.2</v>
      </c>
      <c r="N291" s="254">
        <f>N292</f>
        <v>257.2</v>
      </c>
      <c r="O291" s="178"/>
    </row>
    <row r="292" spans="1:15" s="147" customFormat="1" ht="54" x14ac:dyDescent="0.35">
      <c r="A292" s="142"/>
      <c r="B292" s="290" t="s">
        <v>206</v>
      </c>
      <c r="C292" s="298" t="s">
        <v>448</v>
      </c>
      <c r="D292" s="291" t="s">
        <v>38</v>
      </c>
      <c r="E292" s="291" t="s">
        <v>72</v>
      </c>
      <c r="F292" s="647" t="s">
        <v>40</v>
      </c>
      <c r="G292" s="648" t="s">
        <v>43</v>
      </c>
      <c r="H292" s="648" t="s">
        <v>44</v>
      </c>
      <c r="I292" s="649" t="s">
        <v>45</v>
      </c>
      <c r="J292" s="291"/>
      <c r="K292" s="254">
        <f>K293</f>
        <v>257.2</v>
      </c>
      <c r="L292" s="254">
        <f>L293</f>
        <v>0</v>
      </c>
      <c r="M292" s="254">
        <f>M293</f>
        <v>257.2</v>
      </c>
      <c r="N292" s="254">
        <f>N293</f>
        <v>257.2</v>
      </c>
      <c r="O292" s="178"/>
    </row>
    <row r="293" spans="1:15" s="147" customFormat="1" ht="54" x14ac:dyDescent="0.35">
      <c r="A293" s="142"/>
      <c r="B293" s="269" t="s">
        <v>213</v>
      </c>
      <c r="C293" s="298" t="s">
        <v>448</v>
      </c>
      <c r="D293" s="291" t="s">
        <v>38</v>
      </c>
      <c r="E293" s="291" t="s">
        <v>72</v>
      </c>
      <c r="F293" s="647" t="s">
        <v>40</v>
      </c>
      <c r="G293" s="648" t="s">
        <v>31</v>
      </c>
      <c r="H293" s="648" t="s">
        <v>44</v>
      </c>
      <c r="I293" s="649" t="s">
        <v>45</v>
      </c>
      <c r="J293" s="291"/>
      <c r="K293" s="254">
        <f>K294+K297+K300</f>
        <v>257.2</v>
      </c>
      <c r="L293" s="254">
        <f>L294+L297+L300</f>
        <v>0</v>
      </c>
      <c r="M293" s="254">
        <f>M294+M297+M300</f>
        <v>257.2</v>
      </c>
      <c r="N293" s="254">
        <f>N294+N297+N300</f>
        <v>257.2</v>
      </c>
      <c r="O293" s="178"/>
    </row>
    <row r="294" spans="1:15" s="147" customFormat="1" ht="36" x14ac:dyDescent="0.35">
      <c r="A294" s="142"/>
      <c r="B294" s="290" t="s">
        <v>358</v>
      </c>
      <c r="C294" s="298" t="s">
        <v>448</v>
      </c>
      <c r="D294" s="291" t="s">
        <v>38</v>
      </c>
      <c r="E294" s="291" t="s">
        <v>72</v>
      </c>
      <c r="F294" s="647" t="s">
        <v>40</v>
      </c>
      <c r="G294" s="648" t="s">
        <v>31</v>
      </c>
      <c r="H294" s="648" t="s">
        <v>64</v>
      </c>
      <c r="I294" s="649" t="s">
        <v>45</v>
      </c>
      <c r="J294" s="291"/>
      <c r="K294" s="254">
        <f t="shared" ref="K294:N295" si="44">K295</f>
        <v>127.4</v>
      </c>
      <c r="L294" s="254">
        <f t="shared" si="44"/>
        <v>0</v>
      </c>
      <c r="M294" s="254">
        <f t="shared" si="44"/>
        <v>127.4</v>
      </c>
      <c r="N294" s="254">
        <f t="shared" si="44"/>
        <v>127.4</v>
      </c>
      <c r="O294" s="178"/>
    </row>
    <row r="295" spans="1:15" s="147" customFormat="1" ht="57" customHeight="1" x14ac:dyDescent="0.35">
      <c r="A295" s="142"/>
      <c r="B295" s="269" t="s">
        <v>505</v>
      </c>
      <c r="C295" s="300" t="s">
        <v>448</v>
      </c>
      <c r="D295" s="291" t="s">
        <v>38</v>
      </c>
      <c r="E295" s="291" t="s">
        <v>72</v>
      </c>
      <c r="F295" s="647" t="s">
        <v>40</v>
      </c>
      <c r="G295" s="648" t="s">
        <v>31</v>
      </c>
      <c r="H295" s="648" t="s">
        <v>64</v>
      </c>
      <c r="I295" s="649" t="s">
        <v>106</v>
      </c>
      <c r="J295" s="291"/>
      <c r="K295" s="254">
        <f t="shared" si="44"/>
        <v>127.4</v>
      </c>
      <c r="L295" s="254">
        <f t="shared" si="44"/>
        <v>0</v>
      </c>
      <c r="M295" s="254">
        <f t="shared" si="44"/>
        <v>127.4</v>
      </c>
      <c r="N295" s="254">
        <f t="shared" si="44"/>
        <v>127.4</v>
      </c>
      <c r="O295" s="178"/>
    </row>
    <row r="296" spans="1:15" s="147" customFormat="1" ht="54" x14ac:dyDescent="0.35">
      <c r="A296" s="142"/>
      <c r="B296" s="269" t="s">
        <v>56</v>
      </c>
      <c r="C296" s="300" t="s">
        <v>448</v>
      </c>
      <c r="D296" s="291" t="s">
        <v>38</v>
      </c>
      <c r="E296" s="291" t="s">
        <v>72</v>
      </c>
      <c r="F296" s="647" t="s">
        <v>40</v>
      </c>
      <c r="G296" s="648" t="s">
        <v>31</v>
      </c>
      <c r="H296" s="648" t="s">
        <v>64</v>
      </c>
      <c r="I296" s="649" t="s">
        <v>106</v>
      </c>
      <c r="J296" s="291" t="s">
        <v>57</v>
      </c>
      <c r="K296" s="254">
        <v>127.4</v>
      </c>
      <c r="L296" s="26">
        <f>M296-K296</f>
        <v>0</v>
      </c>
      <c r="M296" s="254">
        <v>127.4</v>
      </c>
      <c r="N296" s="254">
        <v>127.4</v>
      </c>
      <c r="O296" s="178"/>
    </row>
    <row r="297" spans="1:15" s="147" customFormat="1" ht="36" x14ac:dyDescent="0.35">
      <c r="A297" s="142"/>
      <c r="B297" s="269" t="s">
        <v>494</v>
      </c>
      <c r="C297" s="298" t="s">
        <v>448</v>
      </c>
      <c r="D297" s="291" t="s">
        <v>38</v>
      </c>
      <c r="E297" s="291" t="s">
        <v>72</v>
      </c>
      <c r="F297" s="647" t="s">
        <v>40</v>
      </c>
      <c r="G297" s="648" t="s">
        <v>31</v>
      </c>
      <c r="H297" s="648" t="s">
        <v>53</v>
      </c>
      <c r="I297" s="649" t="s">
        <v>45</v>
      </c>
      <c r="J297" s="291"/>
      <c r="K297" s="254">
        <f t="shared" ref="K297:N298" si="45">K298</f>
        <v>24</v>
      </c>
      <c r="L297" s="254">
        <f t="shared" si="45"/>
        <v>0</v>
      </c>
      <c r="M297" s="254">
        <f t="shared" si="45"/>
        <v>24</v>
      </c>
      <c r="N297" s="254">
        <f t="shared" si="45"/>
        <v>24</v>
      </c>
      <c r="O297" s="178"/>
    </row>
    <row r="298" spans="1:15" s="147" customFormat="1" ht="18" x14ac:dyDescent="0.35">
      <c r="A298" s="142"/>
      <c r="B298" s="269" t="s">
        <v>506</v>
      </c>
      <c r="C298" s="300" t="s">
        <v>448</v>
      </c>
      <c r="D298" s="291" t="s">
        <v>38</v>
      </c>
      <c r="E298" s="291" t="s">
        <v>72</v>
      </c>
      <c r="F298" s="647" t="s">
        <v>40</v>
      </c>
      <c r="G298" s="648" t="s">
        <v>31</v>
      </c>
      <c r="H298" s="648" t="s">
        <v>53</v>
      </c>
      <c r="I298" s="649" t="s">
        <v>493</v>
      </c>
      <c r="J298" s="291"/>
      <c r="K298" s="254">
        <f t="shared" si="45"/>
        <v>24</v>
      </c>
      <c r="L298" s="254">
        <f t="shared" si="45"/>
        <v>0</v>
      </c>
      <c r="M298" s="254">
        <f t="shared" si="45"/>
        <v>24</v>
      </c>
      <c r="N298" s="254">
        <f t="shared" si="45"/>
        <v>24</v>
      </c>
      <c r="O298" s="178"/>
    </row>
    <row r="299" spans="1:15" s="147" customFormat="1" ht="54" x14ac:dyDescent="0.35">
      <c r="A299" s="142"/>
      <c r="B299" s="269" t="s">
        <v>56</v>
      </c>
      <c r="C299" s="300" t="s">
        <v>448</v>
      </c>
      <c r="D299" s="291" t="s">
        <v>38</v>
      </c>
      <c r="E299" s="291" t="s">
        <v>72</v>
      </c>
      <c r="F299" s="647" t="s">
        <v>40</v>
      </c>
      <c r="G299" s="648" t="s">
        <v>31</v>
      </c>
      <c r="H299" s="648" t="s">
        <v>53</v>
      </c>
      <c r="I299" s="649" t="s">
        <v>493</v>
      </c>
      <c r="J299" s="291" t="s">
        <v>57</v>
      </c>
      <c r="K299" s="254">
        <v>24</v>
      </c>
      <c r="L299" s="26">
        <f>M299-K299</f>
        <v>0</v>
      </c>
      <c r="M299" s="254">
        <v>24</v>
      </c>
      <c r="N299" s="254">
        <v>24</v>
      </c>
      <c r="O299" s="178"/>
    </row>
    <row r="300" spans="1:15" s="147" customFormat="1" ht="36" x14ac:dyDescent="0.35">
      <c r="A300" s="142"/>
      <c r="B300" s="269" t="s">
        <v>504</v>
      </c>
      <c r="C300" s="300" t="s">
        <v>448</v>
      </c>
      <c r="D300" s="291" t="s">
        <v>38</v>
      </c>
      <c r="E300" s="291" t="s">
        <v>72</v>
      </c>
      <c r="F300" s="647" t="s">
        <v>40</v>
      </c>
      <c r="G300" s="648" t="s">
        <v>31</v>
      </c>
      <c r="H300" s="648" t="s">
        <v>66</v>
      </c>
      <c r="I300" s="537" t="s">
        <v>45</v>
      </c>
      <c r="J300" s="102"/>
      <c r="K300" s="254">
        <f t="shared" ref="K300:N301" si="46">K301</f>
        <v>105.8</v>
      </c>
      <c r="L300" s="254">
        <f t="shared" si="46"/>
        <v>0</v>
      </c>
      <c r="M300" s="254">
        <f t="shared" si="46"/>
        <v>105.8</v>
      </c>
      <c r="N300" s="254">
        <f t="shared" si="46"/>
        <v>105.8</v>
      </c>
      <c r="O300" s="178"/>
    </row>
    <row r="301" spans="1:15" s="147" customFormat="1" ht="36" x14ac:dyDescent="0.35">
      <c r="A301" s="142"/>
      <c r="B301" s="269" t="s">
        <v>128</v>
      </c>
      <c r="C301" s="300" t="s">
        <v>448</v>
      </c>
      <c r="D301" s="291" t="s">
        <v>38</v>
      </c>
      <c r="E301" s="291" t="s">
        <v>72</v>
      </c>
      <c r="F301" s="647" t="s">
        <v>40</v>
      </c>
      <c r="G301" s="648" t="s">
        <v>31</v>
      </c>
      <c r="H301" s="648" t="s">
        <v>66</v>
      </c>
      <c r="I301" s="537" t="s">
        <v>91</v>
      </c>
      <c r="J301" s="102"/>
      <c r="K301" s="254">
        <f t="shared" si="46"/>
        <v>105.8</v>
      </c>
      <c r="L301" s="254">
        <f t="shared" si="46"/>
        <v>0</v>
      </c>
      <c r="M301" s="254">
        <f t="shared" si="46"/>
        <v>105.8</v>
      </c>
      <c r="N301" s="254">
        <f t="shared" si="46"/>
        <v>105.8</v>
      </c>
      <c r="O301" s="178"/>
    </row>
    <row r="302" spans="1:15" s="147" customFormat="1" ht="54" x14ac:dyDescent="0.35">
      <c r="A302" s="142"/>
      <c r="B302" s="269" t="s">
        <v>56</v>
      </c>
      <c r="C302" s="300" t="s">
        <v>448</v>
      </c>
      <c r="D302" s="291" t="s">
        <v>38</v>
      </c>
      <c r="E302" s="291" t="s">
        <v>72</v>
      </c>
      <c r="F302" s="647" t="s">
        <v>40</v>
      </c>
      <c r="G302" s="648" t="s">
        <v>31</v>
      </c>
      <c r="H302" s="648" t="s">
        <v>66</v>
      </c>
      <c r="I302" s="537" t="s">
        <v>91</v>
      </c>
      <c r="J302" s="102" t="s">
        <v>57</v>
      </c>
      <c r="K302" s="254">
        <v>105.8</v>
      </c>
      <c r="L302" s="26">
        <f>M302-K302</f>
        <v>0</v>
      </c>
      <c r="M302" s="254">
        <v>105.8</v>
      </c>
      <c r="N302" s="254">
        <v>105.8</v>
      </c>
      <c r="O302" s="178"/>
    </row>
    <row r="303" spans="1:15" s="148" customFormat="1" ht="18" x14ac:dyDescent="0.35">
      <c r="A303" s="11"/>
      <c r="B303" s="24" t="s">
        <v>180</v>
      </c>
      <c r="C303" s="25" t="s">
        <v>448</v>
      </c>
      <c r="D303" s="10" t="s">
        <v>225</v>
      </c>
      <c r="E303" s="10"/>
      <c r="F303" s="651"/>
      <c r="G303" s="652"/>
      <c r="H303" s="652"/>
      <c r="I303" s="653"/>
      <c r="J303" s="10"/>
      <c r="K303" s="26">
        <f>K304+K326+K400+K371+K392</f>
        <v>1042117.9000000003</v>
      </c>
      <c r="L303" s="26">
        <f>L304+L326+L400+L371+L392</f>
        <v>0</v>
      </c>
      <c r="M303" s="26">
        <f>M304+M326+M400+M371+M392</f>
        <v>1042117.9000000003</v>
      </c>
      <c r="N303" s="26">
        <f>N304+N326+N400+N371+N392</f>
        <v>1093140.5</v>
      </c>
      <c r="O303" s="179"/>
    </row>
    <row r="304" spans="1:15" s="147" customFormat="1" ht="18" x14ac:dyDescent="0.35">
      <c r="A304" s="11"/>
      <c r="B304" s="24" t="s">
        <v>182</v>
      </c>
      <c r="C304" s="25" t="s">
        <v>448</v>
      </c>
      <c r="D304" s="10" t="s">
        <v>225</v>
      </c>
      <c r="E304" s="10" t="s">
        <v>38</v>
      </c>
      <c r="F304" s="651"/>
      <c r="G304" s="652"/>
      <c r="H304" s="652"/>
      <c r="I304" s="653"/>
      <c r="J304" s="10"/>
      <c r="K304" s="26">
        <f>K305+K316+K321</f>
        <v>330062</v>
      </c>
      <c r="L304" s="26">
        <f>L305+L316+L321</f>
        <v>0</v>
      </c>
      <c r="M304" s="26">
        <f>M305+M316+M321</f>
        <v>330062</v>
      </c>
      <c r="N304" s="26">
        <f>N305+N316+N321</f>
        <v>338318.30000000005</v>
      </c>
    </row>
    <row r="305" spans="1:14" s="147" customFormat="1" ht="54" x14ac:dyDescent="0.35">
      <c r="A305" s="11"/>
      <c r="B305" s="24" t="s">
        <v>206</v>
      </c>
      <c r="C305" s="25" t="s">
        <v>448</v>
      </c>
      <c r="D305" s="10" t="s">
        <v>225</v>
      </c>
      <c r="E305" s="10" t="s">
        <v>38</v>
      </c>
      <c r="F305" s="651" t="s">
        <v>40</v>
      </c>
      <c r="G305" s="652" t="s">
        <v>43</v>
      </c>
      <c r="H305" s="652" t="s">
        <v>44</v>
      </c>
      <c r="I305" s="653" t="s">
        <v>45</v>
      </c>
      <c r="J305" s="10"/>
      <c r="K305" s="26">
        <f t="shared" ref="K305:N306" si="47">K306</f>
        <v>329380.3</v>
      </c>
      <c r="L305" s="26">
        <f t="shared" si="47"/>
        <v>0</v>
      </c>
      <c r="M305" s="26">
        <f t="shared" si="47"/>
        <v>329380.3</v>
      </c>
      <c r="N305" s="26">
        <f t="shared" si="47"/>
        <v>338264.9</v>
      </c>
    </row>
    <row r="306" spans="1:14" s="147" customFormat="1" ht="36" x14ac:dyDescent="0.35">
      <c r="A306" s="11"/>
      <c r="B306" s="24" t="s">
        <v>207</v>
      </c>
      <c r="C306" s="25" t="s">
        <v>448</v>
      </c>
      <c r="D306" s="10" t="s">
        <v>225</v>
      </c>
      <c r="E306" s="10" t="s">
        <v>38</v>
      </c>
      <c r="F306" s="651" t="s">
        <v>40</v>
      </c>
      <c r="G306" s="652" t="s">
        <v>46</v>
      </c>
      <c r="H306" s="652" t="s">
        <v>44</v>
      </c>
      <c r="I306" s="653" t="s">
        <v>45</v>
      </c>
      <c r="J306" s="10"/>
      <c r="K306" s="26">
        <f>K307</f>
        <v>329380.3</v>
      </c>
      <c r="L306" s="26">
        <f>L307</f>
        <v>0</v>
      </c>
      <c r="M306" s="26">
        <f>M307</f>
        <v>329380.3</v>
      </c>
      <c r="N306" s="26">
        <f t="shared" si="47"/>
        <v>338264.9</v>
      </c>
    </row>
    <row r="307" spans="1:14" s="147" customFormat="1" ht="36" x14ac:dyDescent="0.35">
      <c r="A307" s="11"/>
      <c r="B307" s="24" t="s">
        <v>268</v>
      </c>
      <c r="C307" s="25" t="s">
        <v>448</v>
      </c>
      <c r="D307" s="10" t="s">
        <v>225</v>
      </c>
      <c r="E307" s="10" t="s">
        <v>38</v>
      </c>
      <c r="F307" s="651" t="s">
        <v>40</v>
      </c>
      <c r="G307" s="652" t="s">
        <v>46</v>
      </c>
      <c r="H307" s="652" t="s">
        <v>38</v>
      </c>
      <c r="I307" s="653" t="s">
        <v>45</v>
      </c>
      <c r="J307" s="10"/>
      <c r="K307" s="26">
        <f>K312+K310+K314+K308</f>
        <v>329380.3</v>
      </c>
      <c r="L307" s="26">
        <f>L312+L310+L314+L308</f>
        <v>0</v>
      </c>
      <c r="M307" s="26">
        <f>M312+M310+M314+M308</f>
        <v>329380.3</v>
      </c>
      <c r="N307" s="26">
        <f>N312+N310+N314+N308</f>
        <v>338264.9</v>
      </c>
    </row>
    <row r="308" spans="1:14" s="143" customFormat="1" ht="36" x14ac:dyDescent="0.35">
      <c r="A308" s="11"/>
      <c r="B308" s="105" t="s">
        <v>490</v>
      </c>
      <c r="C308" s="25" t="s">
        <v>448</v>
      </c>
      <c r="D308" s="10" t="s">
        <v>225</v>
      </c>
      <c r="E308" s="10" t="s">
        <v>38</v>
      </c>
      <c r="F308" s="651" t="s">
        <v>40</v>
      </c>
      <c r="G308" s="652" t="s">
        <v>46</v>
      </c>
      <c r="H308" s="652" t="s">
        <v>38</v>
      </c>
      <c r="I308" s="653" t="s">
        <v>92</v>
      </c>
      <c r="J308" s="10"/>
      <c r="K308" s="26">
        <f>K309</f>
        <v>88673.2</v>
      </c>
      <c r="L308" s="26">
        <f>L309</f>
        <v>0</v>
      </c>
      <c r="M308" s="26">
        <f>M309</f>
        <v>88673.2</v>
      </c>
      <c r="N308" s="26">
        <f>N309</f>
        <v>97540.6</v>
      </c>
    </row>
    <row r="309" spans="1:14" s="143" customFormat="1" ht="54" x14ac:dyDescent="0.35">
      <c r="A309" s="11"/>
      <c r="B309" s="24" t="s">
        <v>77</v>
      </c>
      <c r="C309" s="25" t="s">
        <v>448</v>
      </c>
      <c r="D309" s="10" t="s">
        <v>225</v>
      </c>
      <c r="E309" s="10" t="s">
        <v>38</v>
      </c>
      <c r="F309" s="651" t="s">
        <v>40</v>
      </c>
      <c r="G309" s="652" t="s">
        <v>46</v>
      </c>
      <c r="H309" s="652" t="s">
        <v>38</v>
      </c>
      <c r="I309" s="653" t="s">
        <v>92</v>
      </c>
      <c r="J309" s="10" t="s">
        <v>78</v>
      </c>
      <c r="K309" s="26">
        <v>88673.2</v>
      </c>
      <c r="L309" s="26">
        <f>M309-K309</f>
        <v>0</v>
      </c>
      <c r="M309" s="26">
        <v>88673.2</v>
      </c>
      <c r="N309" s="26">
        <v>97540.6</v>
      </c>
    </row>
    <row r="310" spans="1:14" s="143" customFormat="1" ht="54" x14ac:dyDescent="0.35">
      <c r="A310" s="11"/>
      <c r="B310" s="24" t="s">
        <v>208</v>
      </c>
      <c r="C310" s="25" t="s">
        <v>448</v>
      </c>
      <c r="D310" s="10" t="s">
        <v>225</v>
      </c>
      <c r="E310" s="10" t="s">
        <v>38</v>
      </c>
      <c r="F310" s="651" t="s">
        <v>40</v>
      </c>
      <c r="G310" s="652" t="s">
        <v>46</v>
      </c>
      <c r="H310" s="652" t="s">
        <v>38</v>
      </c>
      <c r="I310" s="653" t="s">
        <v>274</v>
      </c>
      <c r="J310" s="10"/>
      <c r="K310" s="26">
        <f>K311</f>
        <v>25889.5</v>
      </c>
      <c r="L310" s="26">
        <f>L311</f>
        <v>0</v>
      </c>
      <c r="M310" s="26">
        <f>M311</f>
        <v>25889.5</v>
      </c>
      <c r="N310" s="26">
        <f>N311</f>
        <v>25889.5</v>
      </c>
    </row>
    <row r="311" spans="1:14" s="143" customFormat="1" ht="54" x14ac:dyDescent="0.35">
      <c r="A311" s="11"/>
      <c r="B311" s="24" t="s">
        <v>77</v>
      </c>
      <c r="C311" s="25" t="s">
        <v>448</v>
      </c>
      <c r="D311" s="10" t="s">
        <v>225</v>
      </c>
      <c r="E311" s="10" t="s">
        <v>38</v>
      </c>
      <c r="F311" s="651" t="s">
        <v>40</v>
      </c>
      <c r="G311" s="652" t="s">
        <v>46</v>
      </c>
      <c r="H311" s="652" t="s">
        <v>38</v>
      </c>
      <c r="I311" s="653" t="s">
        <v>274</v>
      </c>
      <c r="J311" s="10" t="s">
        <v>78</v>
      </c>
      <c r="K311" s="26">
        <f>25093.2+796.3</f>
        <v>25889.5</v>
      </c>
      <c r="L311" s="26">
        <f>M311-K311</f>
        <v>0</v>
      </c>
      <c r="M311" s="26">
        <f>25093.2+796.3</f>
        <v>25889.5</v>
      </c>
      <c r="N311" s="26">
        <f>25093.2+796.3</f>
        <v>25889.5</v>
      </c>
    </row>
    <row r="312" spans="1:14" s="147" customFormat="1" ht="180" x14ac:dyDescent="0.35">
      <c r="A312" s="11"/>
      <c r="B312" s="24" t="s">
        <v>269</v>
      </c>
      <c r="C312" s="25" t="s">
        <v>448</v>
      </c>
      <c r="D312" s="10" t="s">
        <v>225</v>
      </c>
      <c r="E312" s="10" t="s">
        <v>38</v>
      </c>
      <c r="F312" s="651" t="s">
        <v>40</v>
      </c>
      <c r="G312" s="652" t="s">
        <v>46</v>
      </c>
      <c r="H312" s="652" t="s">
        <v>38</v>
      </c>
      <c r="I312" s="653" t="s">
        <v>270</v>
      </c>
      <c r="J312" s="10"/>
      <c r="K312" s="26">
        <f>K313</f>
        <v>571.29999999999995</v>
      </c>
      <c r="L312" s="26">
        <f>L313</f>
        <v>0</v>
      </c>
      <c r="M312" s="26">
        <f>M313</f>
        <v>571.29999999999995</v>
      </c>
      <c r="N312" s="26">
        <f>N313</f>
        <v>588.5</v>
      </c>
    </row>
    <row r="313" spans="1:14" s="147" customFormat="1" ht="54" x14ac:dyDescent="0.35">
      <c r="A313" s="11"/>
      <c r="B313" s="24" t="s">
        <v>77</v>
      </c>
      <c r="C313" s="25" t="s">
        <v>448</v>
      </c>
      <c r="D313" s="10" t="s">
        <v>225</v>
      </c>
      <c r="E313" s="10" t="s">
        <v>38</v>
      </c>
      <c r="F313" s="651" t="s">
        <v>40</v>
      </c>
      <c r="G313" s="652" t="s">
        <v>46</v>
      </c>
      <c r="H313" s="652" t="s">
        <v>38</v>
      </c>
      <c r="I313" s="653" t="s">
        <v>270</v>
      </c>
      <c r="J313" s="10" t="s">
        <v>78</v>
      </c>
      <c r="K313" s="26">
        <v>571.29999999999995</v>
      </c>
      <c r="L313" s="26">
        <f>M313-K313</f>
        <v>0</v>
      </c>
      <c r="M313" s="26">
        <v>571.29999999999995</v>
      </c>
      <c r="N313" s="26">
        <v>588.5</v>
      </c>
    </row>
    <row r="314" spans="1:14" s="147" customFormat="1" ht="108" x14ac:dyDescent="0.35">
      <c r="A314" s="11"/>
      <c r="B314" s="24" t="s">
        <v>352</v>
      </c>
      <c r="C314" s="25" t="s">
        <v>448</v>
      </c>
      <c r="D314" s="10" t="s">
        <v>225</v>
      </c>
      <c r="E314" s="10" t="s">
        <v>38</v>
      </c>
      <c r="F314" s="651" t="s">
        <v>40</v>
      </c>
      <c r="G314" s="652" t="s">
        <v>46</v>
      </c>
      <c r="H314" s="652" t="s">
        <v>38</v>
      </c>
      <c r="I314" s="653" t="s">
        <v>271</v>
      </c>
      <c r="J314" s="10"/>
      <c r="K314" s="26">
        <f>K315</f>
        <v>214246.3</v>
      </c>
      <c r="L314" s="26">
        <f>L315</f>
        <v>0</v>
      </c>
      <c r="M314" s="26">
        <f>M315</f>
        <v>214246.3</v>
      </c>
      <c r="N314" s="26">
        <f>N315</f>
        <v>214246.3</v>
      </c>
    </row>
    <row r="315" spans="1:14" s="147" customFormat="1" ht="54" x14ac:dyDescent="0.35">
      <c r="A315" s="11"/>
      <c r="B315" s="24" t="s">
        <v>77</v>
      </c>
      <c r="C315" s="25" t="s">
        <v>448</v>
      </c>
      <c r="D315" s="10" t="s">
        <v>225</v>
      </c>
      <c r="E315" s="10" t="s">
        <v>38</v>
      </c>
      <c r="F315" s="651" t="s">
        <v>40</v>
      </c>
      <c r="G315" s="652" t="s">
        <v>46</v>
      </c>
      <c r="H315" s="652" t="s">
        <v>38</v>
      </c>
      <c r="I315" s="653" t="s">
        <v>271</v>
      </c>
      <c r="J315" s="10" t="s">
        <v>78</v>
      </c>
      <c r="K315" s="26">
        <v>214246.3</v>
      </c>
      <c r="L315" s="26">
        <f>M315-K315</f>
        <v>0</v>
      </c>
      <c r="M315" s="26">
        <v>214246.3</v>
      </c>
      <c r="N315" s="26">
        <v>214246.3</v>
      </c>
    </row>
    <row r="316" spans="1:14" s="147" customFormat="1" ht="60" customHeight="1" x14ac:dyDescent="0.35">
      <c r="A316" s="11"/>
      <c r="B316" s="24" t="s">
        <v>81</v>
      </c>
      <c r="C316" s="25" t="s">
        <v>448</v>
      </c>
      <c r="D316" s="10" t="s">
        <v>225</v>
      </c>
      <c r="E316" s="10" t="s">
        <v>38</v>
      </c>
      <c r="F316" s="651" t="s">
        <v>82</v>
      </c>
      <c r="G316" s="652" t="s">
        <v>43</v>
      </c>
      <c r="H316" s="652" t="s">
        <v>44</v>
      </c>
      <c r="I316" s="653" t="s">
        <v>45</v>
      </c>
      <c r="J316" s="10"/>
      <c r="K316" s="26">
        <f t="shared" ref="K316:N319" si="48">K317</f>
        <v>628.29999999999995</v>
      </c>
      <c r="L316" s="26">
        <f t="shared" si="48"/>
        <v>0</v>
      </c>
      <c r="M316" s="26">
        <f t="shared" si="48"/>
        <v>628.29999999999995</v>
      </c>
      <c r="N316" s="26">
        <f>N317</f>
        <v>0</v>
      </c>
    </row>
    <row r="317" spans="1:14" s="147" customFormat="1" ht="36" x14ac:dyDescent="0.35">
      <c r="A317" s="11"/>
      <c r="B317" s="24" t="s">
        <v>126</v>
      </c>
      <c r="C317" s="25" t="s">
        <v>448</v>
      </c>
      <c r="D317" s="10" t="s">
        <v>225</v>
      </c>
      <c r="E317" s="10" t="s">
        <v>38</v>
      </c>
      <c r="F317" s="651" t="s">
        <v>82</v>
      </c>
      <c r="G317" s="652" t="s">
        <v>90</v>
      </c>
      <c r="H317" s="652" t="s">
        <v>44</v>
      </c>
      <c r="I317" s="653" t="s">
        <v>45</v>
      </c>
      <c r="J317" s="10"/>
      <c r="K317" s="26">
        <f t="shared" si="48"/>
        <v>628.29999999999995</v>
      </c>
      <c r="L317" s="26">
        <f t="shared" si="48"/>
        <v>0</v>
      </c>
      <c r="M317" s="26">
        <f t="shared" si="48"/>
        <v>628.29999999999995</v>
      </c>
      <c r="N317" s="26">
        <f t="shared" si="48"/>
        <v>0</v>
      </c>
    </row>
    <row r="318" spans="1:14" s="147" customFormat="1" ht="41.25" customHeight="1" x14ac:dyDescent="0.35">
      <c r="A318" s="11"/>
      <c r="B318" s="24" t="s">
        <v>272</v>
      </c>
      <c r="C318" s="25" t="s">
        <v>448</v>
      </c>
      <c r="D318" s="10" t="s">
        <v>225</v>
      </c>
      <c r="E318" s="10" t="s">
        <v>38</v>
      </c>
      <c r="F318" s="651" t="s">
        <v>82</v>
      </c>
      <c r="G318" s="652" t="s">
        <v>90</v>
      </c>
      <c r="H318" s="652" t="s">
        <v>38</v>
      </c>
      <c r="I318" s="653" t="s">
        <v>45</v>
      </c>
      <c r="J318" s="10"/>
      <c r="K318" s="26">
        <f t="shared" si="48"/>
        <v>628.29999999999995</v>
      </c>
      <c r="L318" s="26">
        <f t="shared" si="48"/>
        <v>0</v>
      </c>
      <c r="M318" s="26">
        <f t="shared" si="48"/>
        <v>628.29999999999995</v>
      </c>
      <c r="N318" s="26">
        <f t="shared" si="48"/>
        <v>0</v>
      </c>
    </row>
    <row r="319" spans="1:14" s="147" customFormat="1" ht="18" x14ac:dyDescent="0.35">
      <c r="A319" s="11"/>
      <c r="B319" s="24" t="s">
        <v>452</v>
      </c>
      <c r="C319" s="25" t="s">
        <v>448</v>
      </c>
      <c r="D319" s="10" t="s">
        <v>225</v>
      </c>
      <c r="E319" s="10" t="s">
        <v>38</v>
      </c>
      <c r="F319" s="651" t="s">
        <v>82</v>
      </c>
      <c r="G319" s="652" t="s">
        <v>90</v>
      </c>
      <c r="H319" s="652" t="s">
        <v>38</v>
      </c>
      <c r="I319" s="653" t="s">
        <v>453</v>
      </c>
      <c r="J319" s="10"/>
      <c r="K319" s="26">
        <f t="shared" si="48"/>
        <v>628.29999999999995</v>
      </c>
      <c r="L319" s="26">
        <f t="shared" si="48"/>
        <v>0</v>
      </c>
      <c r="M319" s="26">
        <f t="shared" si="48"/>
        <v>628.29999999999995</v>
      </c>
      <c r="N319" s="26">
        <f t="shared" si="48"/>
        <v>0</v>
      </c>
    </row>
    <row r="320" spans="1:14" s="147" customFormat="1" ht="54" x14ac:dyDescent="0.35">
      <c r="A320" s="11"/>
      <c r="B320" s="24" t="s">
        <v>77</v>
      </c>
      <c r="C320" s="25" t="s">
        <v>448</v>
      </c>
      <c r="D320" s="10" t="s">
        <v>225</v>
      </c>
      <c r="E320" s="10" t="s">
        <v>38</v>
      </c>
      <c r="F320" s="651" t="s">
        <v>82</v>
      </c>
      <c r="G320" s="652" t="s">
        <v>90</v>
      </c>
      <c r="H320" s="652" t="s">
        <v>38</v>
      </c>
      <c r="I320" s="653" t="s">
        <v>453</v>
      </c>
      <c r="J320" s="10" t="s">
        <v>78</v>
      </c>
      <c r="K320" s="26">
        <v>628.29999999999995</v>
      </c>
      <c r="L320" s="26">
        <f>M320-K320</f>
        <v>0</v>
      </c>
      <c r="M320" s="26">
        <v>628.29999999999995</v>
      </c>
      <c r="N320" s="26">
        <v>0</v>
      </c>
    </row>
    <row r="321" spans="1:14" s="147" customFormat="1" ht="54" x14ac:dyDescent="0.35">
      <c r="A321" s="11"/>
      <c r="B321" s="24" t="s">
        <v>234</v>
      </c>
      <c r="C321" s="25" t="s">
        <v>448</v>
      </c>
      <c r="D321" s="10" t="s">
        <v>225</v>
      </c>
      <c r="E321" s="10" t="s">
        <v>38</v>
      </c>
      <c r="F321" s="651" t="s">
        <v>235</v>
      </c>
      <c r="G321" s="652" t="s">
        <v>43</v>
      </c>
      <c r="H321" s="652" t="s">
        <v>44</v>
      </c>
      <c r="I321" s="653" t="s">
        <v>45</v>
      </c>
      <c r="J321" s="10"/>
      <c r="K321" s="26">
        <f t="shared" ref="K321:N324" si="49">K322</f>
        <v>53.4</v>
      </c>
      <c r="L321" s="26">
        <f t="shared" si="49"/>
        <v>0</v>
      </c>
      <c r="M321" s="26">
        <f t="shared" si="49"/>
        <v>53.4</v>
      </c>
      <c r="N321" s="26">
        <f t="shared" si="49"/>
        <v>53.4</v>
      </c>
    </row>
    <row r="322" spans="1:14" s="147" customFormat="1" ht="36" x14ac:dyDescent="0.35">
      <c r="A322" s="11"/>
      <c r="B322" s="24" t="s">
        <v>343</v>
      </c>
      <c r="C322" s="25" t="s">
        <v>448</v>
      </c>
      <c r="D322" s="10" t="s">
        <v>225</v>
      </c>
      <c r="E322" s="10" t="s">
        <v>38</v>
      </c>
      <c r="F322" s="651" t="s">
        <v>235</v>
      </c>
      <c r="G322" s="652" t="s">
        <v>46</v>
      </c>
      <c r="H322" s="652" t="s">
        <v>44</v>
      </c>
      <c r="I322" s="653" t="s">
        <v>45</v>
      </c>
      <c r="J322" s="10"/>
      <c r="K322" s="26">
        <f t="shared" si="49"/>
        <v>53.4</v>
      </c>
      <c r="L322" s="26">
        <f t="shared" si="49"/>
        <v>0</v>
      </c>
      <c r="M322" s="26">
        <f t="shared" si="49"/>
        <v>53.4</v>
      </c>
      <c r="N322" s="26">
        <f t="shared" si="49"/>
        <v>53.4</v>
      </c>
    </row>
    <row r="323" spans="1:14" s="147" customFormat="1" ht="72" x14ac:dyDescent="0.35">
      <c r="A323" s="11"/>
      <c r="B323" s="24" t="s">
        <v>287</v>
      </c>
      <c r="C323" s="25" t="s">
        <v>448</v>
      </c>
      <c r="D323" s="10" t="s">
        <v>225</v>
      </c>
      <c r="E323" s="10" t="s">
        <v>38</v>
      </c>
      <c r="F323" s="651" t="s">
        <v>235</v>
      </c>
      <c r="G323" s="652" t="s">
        <v>46</v>
      </c>
      <c r="H323" s="652" t="s">
        <v>38</v>
      </c>
      <c r="I323" s="653" t="s">
        <v>45</v>
      </c>
      <c r="J323" s="10"/>
      <c r="K323" s="26">
        <f>K324</f>
        <v>53.4</v>
      </c>
      <c r="L323" s="26">
        <f>L324</f>
        <v>0</v>
      </c>
      <c r="M323" s="26">
        <f>M324</f>
        <v>53.4</v>
      </c>
      <c r="N323" s="26">
        <f>N324</f>
        <v>53.4</v>
      </c>
    </row>
    <row r="324" spans="1:14" s="147" customFormat="1" ht="36" x14ac:dyDescent="0.35">
      <c r="A324" s="11"/>
      <c r="B324" s="24" t="s">
        <v>236</v>
      </c>
      <c r="C324" s="25" t="s">
        <v>448</v>
      </c>
      <c r="D324" s="10" t="s">
        <v>225</v>
      </c>
      <c r="E324" s="10" t="s">
        <v>38</v>
      </c>
      <c r="F324" s="651" t="s">
        <v>235</v>
      </c>
      <c r="G324" s="652" t="s">
        <v>46</v>
      </c>
      <c r="H324" s="652" t="s">
        <v>38</v>
      </c>
      <c r="I324" s="653" t="s">
        <v>281</v>
      </c>
      <c r="J324" s="10"/>
      <c r="K324" s="26">
        <f t="shared" si="49"/>
        <v>53.4</v>
      </c>
      <c r="L324" s="26">
        <f t="shared" si="49"/>
        <v>0</v>
      </c>
      <c r="M324" s="26">
        <f t="shared" si="49"/>
        <v>53.4</v>
      </c>
      <c r="N324" s="26">
        <f t="shared" si="49"/>
        <v>53.4</v>
      </c>
    </row>
    <row r="325" spans="1:14" s="147" customFormat="1" ht="54" x14ac:dyDescent="0.35">
      <c r="A325" s="11"/>
      <c r="B325" s="24" t="s">
        <v>77</v>
      </c>
      <c r="C325" s="25" t="s">
        <v>448</v>
      </c>
      <c r="D325" s="10" t="s">
        <v>225</v>
      </c>
      <c r="E325" s="10" t="s">
        <v>38</v>
      </c>
      <c r="F325" s="651" t="s">
        <v>235</v>
      </c>
      <c r="G325" s="652" t="s">
        <v>46</v>
      </c>
      <c r="H325" s="652" t="s">
        <v>38</v>
      </c>
      <c r="I325" s="653" t="s">
        <v>281</v>
      </c>
      <c r="J325" s="10" t="s">
        <v>78</v>
      </c>
      <c r="K325" s="26">
        <v>53.4</v>
      </c>
      <c r="L325" s="26">
        <f>M325-K325</f>
        <v>0</v>
      </c>
      <c r="M325" s="26">
        <v>53.4</v>
      </c>
      <c r="N325" s="26">
        <v>53.4</v>
      </c>
    </row>
    <row r="326" spans="1:14" s="147" customFormat="1" ht="18" x14ac:dyDescent="0.35">
      <c r="A326" s="11"/>
      <c r="B326" s="24" t="s">
        <v>184</v>
      </c>
      <c r="C326" s="25" t="s">
        <v>448</v>
      </c>
      <c r="D326" s="10" t="s">
        <v>225</v>
      </c>
      <c r="E326" s="10" t="s">
        <v>40</v>
      </c>
      <c r="F326" s="651"/>
      <c r="G326" s="652"/>
      <c r="H326" s="652"/>
      <c r="I326" s="653"/>
      <c r="J326" s="10"/>
      <c r="K326" s="26">
        <f>K327</f>
        <v>600280.80000000016</v>
      </c>
      <c r="L326" s="26">
        <f>L327</f>
        <v>0</v>
      </c>
      <c r="M326" s="26">
        <f>M327</f>
        <v>600280.80000000016</v>
      </c>
      <c r="N326" s="26">
        <f>N327</f>
        <v>614556.79999999993</v>
      </c>
    </row>
    <row r="327" spans="1:14" s="147" customFormat="1" ht="54" x14ac:dyDescent="0.35">
      <c r="A327" s="11"/>
      <c r="B327" s="24" t="s">
        <v>206</v>
      </c>
      <c r="C327" s="25" t="s">
        <v>448</v>
      </c>
      <c r="D327" s="10" t="s">
        <v>225</v>
      </c>
      <c r="E327" s="10" t="s">
        <v>40</v>
      </c>
      <c r="F327" s="651" t="s">
        <v>40</v>
      </c>
      <c r="G327" s="652" t="s">
        <v>43</v>
      </c>
      <c r="H327" s="652" t="s">
        <v>44</v>
      </c>
      <c r="I327" s="653" t="s">
        <v>45</v>
      </c>
      <c r="J327" s="10"/>
      <c r="K327" s="26">
        <f>K328+K367</f>
        <v>600280.80000000016</v>
      </c>
      <c r="L327" s="26">
        <f>L328+L367</f>
        <v>0</v>
      </c>
      <c r="M327" s="26">
        <f>M328+M367</f>
        <v>600280.80000000016</v>
      </c>
      <c r="N327" s="26">
        <f>N328+N367</f>
        <v>614556.79999999993</v>
      </c>
    </row>
    <row r="328" spans="1:14" s="147" customFormat="1" ht="36" x14ac:dyDescent="0.35">
      <c r="A328" s="11"/>
      <c r="B328" s="24" t="s">
        <v>207</v>
      </c>
      <c r="C328" s="25" t="s">
        <v>448</v>
      </c>
      <c r="D328" s="10" t="s">
        <v>225</v>
      </c>
      <c r="E328" s="10" t="s">
        <v>40</v>
      </c>
      <c r="F328" s="651" t="s">
        <v>40</v>
      </c>
      <c r="G328" s="652" t="s">
        <v>46</v>
      </c>
      <c r="H328" s="652" t="s">
        <v>44</v>
      </c>
      <c r="I328" s="653" t="s">
        <v>45</v>
      </c>
      <c r="J328" s="10"/>
      <c r="K328" s="26">
        <f>K329</f>
        <v>597986.00000000012</v>
      </c>
      <c r="L328" s="26">
        <f>L329</f>
        <v>0</v>
      </c>
      <c r="M328" s="26">
        <f>M329</f>
        <v>597986.00000000012</v>
      </c>
      <c r="N328" s="26">
        <f>N329</f>
        <v>612261.99999999988</v>
      </c>
    </row>
    <row r="329" spans="1:14" s="147" customFormat="1" ht="18" x14ac:dyDescent="0.35">
      <c r="A329" s="11"/>
      <c r="B329" s="24" t="s">
        <v>273</v>
      </c>
      <c r="C329" s="25" t="s">
        <v>448</v>
      </c>
      <c r="D329" s="10" t="s">
        <v>225</v>
      </c>
      <c r="E329" s="10" t="s">
        <v>40</v>
      </c>
      <c r="F329" s="651" t="s">
        <v>40</v>
      </c>
      <c r="G329" s="652" t="s">
        <v>46</v>
      </c>
      <c r="H329" s="652" t="s">
        <v>40</v>
      </c>
      <c r="I329" s="653" t="s">
        <v>45</v>
      </c>
      <c r="J329" s="10"/>
      <c r="K329" s="26">
        <f>K344+K348+K352+K330+K338+K358+K341+K335+K363+K355+K361</f>
        <v>597986.00000000012</v>
      </c>
      <c r="L329" s="26">
        <f>L344+L348+L352+L330+L338+L358+L341+L335+L363+L355+L361</f>
        <v>0</v>
      </c>
      <c r="M329" s="26">
        <f>M344+M348+M352+M330+M338+M358+M341+M335+M363+M355+M361</f>
        <v>597986.00000000012</v>
      </c>
      <c r="N329" s="26">
        <f>N344+N348+N352+N330+N338+N358+N341+N335+N363+N355+N361</f>
        <v>612261.99999999988</v>
      </c>
    </row>
    <row r="330" spans="1:14" s="143" customFormat="1" ht="36" x14ac:dyDescent="0.35">
      <c r="A330" s="11"/>
      <c r="B330" s="105" t="s">
        <v>490</v>
      </c>
      <c r="C330" s="25" t="s">
        <v>448</v>
      </c>
      <c r="D330" s="10" t="s">
        <v>225</v>
      </c>
      <c r="E330" s="10" t="s">
        <v>40</v>
      </c>
      <c r="F330" s="651" t="s">
        <v>40</v>
      </c>
      <c r="G330" s="652" t="s">
        <v>46</v>
      </c>
      <c r="H330" s="652" t="s">
        <v>40</v>
      </c>
      <c r="I330" s="653" t="s">
        <v>92</v>
      </c>
      <c r="J330" s="10"/>
      <c r="K330" s="26">
        <f>K333+K334+K332+K331</f>
        <v>63512.2</v>
      </c>
      <c r="L330" s="26">
        <f>L333+L334+L332+L331</f>
        <v>0</v>
      </c>
      <c r="M330" s="26">
        <f>M333+M334+M332+M331</f>
        <v>63512.2</v>
      </c>
      <c r="N330" s="26">
        <f>N333+N334+N332+N331</f>
        <v>69863.400000000009</v>
      </c>
    </row>
    <row r="331" spans="1:14" s="143" customFormat="1" ht="108" x14ac:dyDescent="0.35">
      <c r="A331" s="11"/>
      <c r="B331" s="24" t="s">
        <v>50</v>
      </c>
      <c r="C331" s="25" t="s">
        <v>448</v>
      </c>
      <c r="D331" s="10" t="s">
        <v>225</v>
      </c>
      <c r="E331" s="10" t="s">
        <v>40</v>
      </c>
      <c r="F331" s="651" t="s">
        <v>40</v>
      </c>
      <c r="G331" s="652" t="s">
        <v>46</v>
      </c>
      <c r="H331" s="652" t="s">
        <v>40</v>
      </c>
      <c r="I331" s="653" t="s">
        <v>92</v>
      </c>
      <c r="J331" s="10" t="s">
        <v>51</v>
      </c>
      <c r="K331" s="26">
        <v>319.10000000000002</v>
      </c>
      <c r="L331" s="26">
        <f>M331-K331</f>
        <v>0</v>
      </c>
      <c r="M331" s="26">
        <v>319.10000000000002</v>
      </c>
      <c r="N331" s="26">
        <v>319.10000000000002</v>
      </c>
    </row>
    <row r="332" spans="1:14" s="143" customFormat="1" ht="54" x14ac:dyDescent="0.35">
      <c r="A332" s="11"/>
      <c r="B332" s="24" t="s">
        <v>56</v>
      </c>
      <c r="C332" s="25" t="s">
        <v>448</v>
      </c>
      <c r="D332" s="10" t="s">
        <v>225</v>
      </c>
      <c r="E332" s="10" t="s">
        <v>40</v>
      </c>
      <c r="F332" s="651" t="s">
        <v>40</v>
      </c>
      <c r="G332" s="652" t="s">
        <v>46</v>
      </c>
      <c r="H332" s="652" t="s">
        <v>40</v>
      </c>
      <c r="I332" s="653" t="s">
        <v>92</v>
      </c>
      <c r="J332" s="10" t="s">
        <v>57</v>
      </c>
      <c r="K332" s="26">
        <v>4475.6000000000004</v>
      </c>
      <c r="L332" s="26">
        <f>M332-K332</f>
        <v>0</v>
      </c>
      <c r="M332" s="26">
        <v>4475.6000000000004</v>
      </c>
      <c r="N332" s="26">
        <v>5635.2</v>
      </c>
    </row>
    <row r="333" spans="1:14" s="143" customFormat="1" ht="54" x14ac:dyDescent="0.35">
      <c r="A333" s="11"/>
      <c r="B333" s="24" t="s">
        <v>77</v>
      </c>
      <c r="C333" s="25" t="s">
        <v>448</v>
      </c>
      <c r="D333" s="10" t="s">
        <v>225</v>
      </c>
      <c r="E333" s="10" t="s">
        <v>40</v>
      </c>
      <c r="F333" s="651" t="s">
        <v>40</v>
      </c>
      <c r="G333" s="652" t="s">
        <v>46</v>
      </c>
      <c r="H333" s="652" t="s">
        <v>40</v>
      </c>
      <c r="I333" s="653" t="s">
        <v>92</v>
      </c>
      <c r="J333" s="10" t="s">
        <v>78</v>
      </c>
      <c r="K333" s="26">
        <v>58156.5</v>
      </c>
      <c r="L333" s="26">
        <f>M333-K333</f>
        <v>0</v>
      </c>
      <c r="M333" s="26">
        <v>58156.5</v>
      </c>
      <c r="N333" s="26">
        <v>63353.5</v>
      </c>
    </row>
    <row r="334" spans="1:14" s="143" customFormat="1" ht="18" x14ac:dyDescent="0.35">
      <c r="A334" s="11"/>
      <c r="B334" s="24" t="s">
        <v>58</v>
      </c>
      <c r="C334" s="25" t="s">
        <v>448</v>
      </c>
      <c r="D334" s="10" t="s">
        <v>225</v>
      </c>
      <c r="E334" s="10" t="s">
        <v>40</v>
      </c>
      <c r="F334" s="651" t="s">
        <v>40</v>
      </c>
      <c r="G334" s="652" t="s">
        <v>46</v>
      </c>
      <c r="H334" s="652" t="s">
        <v>40</v>
      </c>
      <c r="I334" s="653" t="s">
        <v>92</v>
      </c>
      <c r="J334" s="10" t="s">
        <v>59</v>
      </c>
      <c r="K334" s="26">
        <v>561</v>
      </c>
      <c r="L334" s="26">
        <f>M334-K334</f>
        <v>0</v>
      </c>
      <c r="M334" s="26">
        <v>561</v>
      </c>
      <c r="N334" s="26">
        <v>555.6</v>
      </c>
    </row>
    <row r="335" spans="1:14" s="143" customFormat="1" ht="54" x14ac:dyDescent="0.35">
      <c r="A335" s="11"/>
      <c r="B335" s="24" t="s">
        <v>208</v>
      </c>
      <c r="C335" s="25" t="s">
        <v>448</v>
      </c>
      <c r="D335" s="10" t="s">
        <v>225</v>
      </c>
      <c r="E335" s="10" t="s">
        <v>40</v>
      </c>
      <c r="F335" s="651" t="s">
        <v>40</v>
      </c>
      <c r="G335" s="652" t="s">
        <v>46</v>
      </c>
      <c r="H335" s="652" t="s">
        <v>40</v>
      </c>
      <c r="I335" s="653" t="s">
        <v>274</v>
      </c>
      <c r="J335" s="10"/>
      <c r="K335" s="26">
        <f>K336+K337</f>
        <v>19606.299999999996</v>
      </c>
      <c r="L335" s="26">
        <f>L336+L337</f>
        <v>0</v>
      </c>
      <c r="M335" s="26">
        <f>M336+M337</f>
        <v>19606.299999999996</v>
      </c>
      <c r="N335" s="26">
        <f>N336+N337</f>
        <v>20406</v>
      </c>
    </row>
    <row r="336" spans="1:14" s="143" customFormat="1" ht="54" x14ac:dyDescent="0.35">
      <c r="A336" s="11"/>
      <c r="B336" s="24" t="s">
        <v>56</v>
      </c>
      <c r="C336" s="25" t="s">
        <v>448</v>
      </c>
      <c r="D336" s="10" t="s">
        <v>225</v>
      </c>
      <c r="E336" s="10" t="s">
        <v>40</v>
      </c>
      <c r="F336" s="651" t="s">
        <v>40</v>
      </c>
      <c r="G336" s="652" t="s">
        <v>46</v>
      </c>
      <c r="H336" s="652" t="s">
        <v>40</v>
      </c>
      <c r="I336" s="653" t="s">
        <v>274</v>
      </c>
      <c r="J336" s="10" t="s">
        <v>57</v>
      </c>
      <c r="K336" s="26">
        <f>3854.4-3854.4</f>
        <v>0</v>
      </c>
      <c r="L336" s="26">
        <f>M336-K336</f>
        <v>0</v>
      </c>
      <c r="M336" s="26">
        <f>3854.4-3854.4</f>
        <v>0</v>
      </c>
      <c r="N336" s="26">
        <f>3854.4</f>
        <v>3854.4</v>
      </c>
    </row>
    <row r="337" spans="1:14" s="143" customFormat="1" ht="54" x14ac:dyDescent="0.35">
      <c r="A337" s="11"/>
      <c r="B337" s="24" t="s">
        <v>77</v>
      </c>
      <c r="C337" s="25" t="s">
        <v>448</v>
      </c>
      <c r="D337" s="10" t="s">
        <v>225</v>
      </c>
      <c r="E337" s="10" t="s">
        <v>40</v>
      </c>
      <c r="F337" s="651" t="s">
        <v>40</v>
      </c>
      <c r="G337" s="652" t="s">
        <v>46</v>
      </c>
      <c r="H337" s="652" t="s">
        <v>40</v>
      </c>
      <c r="I337" s="653" t="s">
        <v>274</v>
      </c>
      <c r="J337" s="10" t="s">
        <v>78</v>
      </c>
      <c r="K337" s="26">
        <f>22162.8+244.6+956.1-3757.2</f>
        <v>19606.299999999996</v>
      </c>
      <c r="L337" s="26">
        <f>M337-K337</f>
        <v>0</v>
      </c>
      <c r="M337" s="26">
        <f>22162.8+244.6+956.1-3757.2</f>
        <v>19606.299999999996</v>
      </c>
      <c r="N337" s="26">
        <f>22162.8+244.6-5855.8</f>
        <v>16551.599999999999</v>
      </c>
    </row>
    <row r="338" spans="1:14" s="143" customFormat="1" ht="36" x14ac:dyDescent="0.35">
      <c r="A338" s="11"/>
      <c r="B338" s="24" t="s">
        <v>209</v>
      </c>
      <c r="C338" s="25" t="s">
        <v>448</v>
      </c>
      <c r="D338" s="10" t="s">
        <v>225</v>
      </c>
      <c r="E338" s="10" t="s">
        <v>40</v>
      </c>
      <c r="F338" s="651" t="s">
        <v>40</v>
      </c>
      <c r="G338" s="652" t="s">
        <v>46</v>
      </c>
      <c r="H338" s="652" t="s">
        <v>40</v>
      </c>
      <c r="I338" s="653" t="s">
        <v>275</v>
      </c>
      <c r="J338" s="10"/>
      <c r="K338" s="26">
        <f>K339+K340</f>
        <v>4618.1000000000004</v>
      </c>
      <c r="L338" s="26">
        <f>L339+L340</f>
        <v>0</v>
      </c>
      <c r="M338" s="26">
        <f>M339+M340</f>
        <v>4618.1000000000004</v>
      </c>
      <c r="N338" s="26">
        <f>N339+N340</f>
        <v>4618.1000000000004</v>
      </c>
    </row>
    <row r="339" spans="1:14" s="143" customFormat="1" ht="54" x14ac:dyDescent="0.35">
      <c r="A339" s="11"/>
      <c r="B339" s="24" t="s">
        <v>56</v>
      </c>
      <c r="C339" s="25" t="s">
        <v>448</v>
      </c>
      <c r="D339" s="10" t="s">
        <v>225</v>
      </c>
      <c r="E339" s="10" t="s">
        <v>40</v>
      </c>
      <c r="F339" s="651" t="s">
        <v>40</v>
      </c>
      <c r="G339" s="652" t="s">
        <v>46</v>
      </c>
      <c r="H339" s="652" t="s">
        <v>40</v>
      </c>
      <c r="I339" s="653" t="s">
        <v>275</v>
      </c>
      <c r="J339" s="10" t="s">
        <v>57</v>
      </c>
      <c r="K339" s="26">
        <v>142</v>
      </c>
      <c r="L339" s="26">
        <f>M339-K339</f>
        <v>0</v>
      </c>
      <c r="M339" s="26">
        <v>142</v>
      </c>
      <c r="N339" s="26">
        <v>142</v>
      </c>
    </row>
    <row r="340" spans="1:14" s="143" customFormat="1" ht="54" x14ac:dyDescent="0.35">
      <c r="A340" s="11"/>
      <c r="B340" s="24" t="s">
        <v>77</v>
      </c>
      <c r="C340" s="25" t="s">
        <v>448</v>
      </c>
      <c r="D340" s="10" t="s">
        <v>225</v>
      </c>
      <c r="E340" s="10" t="s">
        <v>40</v>
      </c>
      <c r="F340" s="651" t="s">
        <v>40</v>
      </c>
      <c r="G340" s="652" t="s">
        <v>46</v>
      </c>
      <c r="H340" s="652" t="s">
        <v>40</v>
      </c>
      <c r="I340" s="653" t="s">
        <v>275</v>
      </c>
      <c r="J340" s="10" t="s">
        <v>78</v>
      </c>
      <c r="K340" s="26">
        <v>4476.1000000000004</v>
      </c>
      <c r="L340" s="26">
        <f>M340-K340</f>
        <v>0</v>
      </c>
      <c r="M340" s="26">
        <v>4476.1000000000004</v>
      </c>
      <c r="N340" s="26">
        <v>4476.1000000000004</v>
      </c>
    </row>
    <row r="341" spans="1:14" s="143" customFormat="1" ht="198" x14ac:dyDescent="0.35">
      <c r="A341" s="11"/>
      <c r="B341" s="24" t="s">
        <v>642</v>
      </c>
      <c r="C341" s="25" t="s">
        <v>448</v>
      </c>
      <c r="D341" s="10" t="s">
        <v>225</v>
      </c>
      <c r="E341" s="10" t="s">
        <v>40</v>
      </c>
      <c r="F341" s="651" t="s">
        <v>40</v>
      </c>
      <c r="G341" s="652" t="s">
        <v>46</v>
      </c>
      <c r="H341" s="652" t="s">
        <v>40</v>
      </c>
      <c r="I341" s="653" t="s">
        <v>586</v>
      </c>
      <c r="J341" s="10"/>
      <c r="K341" s="26">
        <f>K342+K343</f>
        <v>33409.299999999996</v>
      </c>
      <c r="L341" s="26">
        <f>L342+L343</f>
        <v>0</v>
      </c>
      <c r="M341" s="26">
        <f>M342+M343</f>
        <v>33409.299999999996</v>
      </c>
      <c r="N341" s="26">
        <f>N342+N343</f>
        <v>35284.199999999997</v>
      </c>
    </row>
    <row r="342" spans="1:14" s="143" customFormat="1" ht="108" x14ac:dyDescent="0.35">
      <c r="A342" s="11"/>
      <c r="B342" s="24" t="s">
        <v>50</v>
      </c>
      <c r="C342" s="25" t="s">
        <v>448</v>
      </c>
      <c r="D342" s="10" t="s">
        <v>225</v>
      </c>
      <c r="E342" s="10" t="s">
        <v>40</v>
      </c>
      <c r="F342" s="651" t="s">
        <v>40</v>
      </c>
      <c r="G342" s="652" t="s">
        <v>46</v>
      </c>
      <c r="H342" s="652" t="s">
        <v>40</v>
      </c>
      <c r="I342" s="653" t="s">
        <v>586</v>
      </c>
      <c r="J342" s="10" t="s">
        <v>51</v>
      </c>
      <c r="K342" s="26">
        <v>2734.2</v>
      </c>
      <c r="L342" s="26">
        <f>M342-K342</f>
        <v>0</v>
      </c>
      <c r="M342" s="26">
        <v>2734.2</v>
      </c>
      <c r="N342" s="26">
        <v>2812.4</v>
      </c>
    </row>
    <row r="343" spans="1:14" s="143" customFormat="1" ht="54" x14ac:dyDescent="0.35">
      <c r="A343" s="11"/>
      <c r="B343" s="24" t="s">
        <v>77</v>
      </c>
      <c r="C343" s="25" t="s">
        <v>448</v>
      </c>
      <c r="D343" s="10" t="s">
        <v>225</v>
      </c>
      <c r="E343" s="10" t="s">
        <v>40</v>
      </c>
      <c r="F343" s="651" t="s">
        <v>40</v>
      </c>
      <c r="G343" s="652" t="s">
        <v>46</v>
      </c>
      <c r="H343" s="652" t="s">
        <v>40</v>
      </c>
      <c r="I343" s="653" t="s">
        <v>586</v>
      </c>
      <c r="J343" s="10" t="s">
        <v>78</v>
      </c>
      <c r="K343" s="26">
        <v>30675.1</v>
      </c>
      <c r="L343" s="26">
        <f>M343-K343</f>
        <v>0</v>
      </c>
      <c r="M343" s="26">
        <v>30675.1</v>
      </c>
      <c r="N343" s="26">
        <v>32471.8</v>
      </c>
    </row>
    <row r="344" spans="1:14" s="147" customFormat="1" ht="180" x14ac:dyDescent="0.35">
      <c r="A344" s="11"/>
      <c r="B344" s="24" t="s">
        <v>269</v>
      </c>
      <c r="C344" s="25" t="s">
        <v>448</v>
      </c>
      <c r="D344" s="10" t="s">
        <v>225</v>
      </c>
      <c r="E344" s="10" t="s">
        <v>40</v>
      </c>
      <c r="F344" s="651" t="s">
        <v>40</v>
      </c>
      <c r="G344" s="652" t="s">
        <v>46</v>
      </c>
      <c r="H344" s="652" t="s">
        <v>40</v>
      </c>
      <c r="I344" s="653" t="s">
        <v>270</v>
      </c>
      <c r="J344" s="10"/>
      <c r="K344" s="26">
        <f>SUM(K345:K347)</f>
        <v>1659.2</v>
      </c>
      <c r="L344" s="26">
        <f>SUM(L345:L347)</f>
        <v>0</v>
      </c>
      <c r="M344" s="26">
        <f>SUM(M345:M347)</f>
        <v>1659.2</v>
      </c>
      <c r="N344" s="26">
        <f>SUM(N345:N347)</f>
        <v>1709</v>
      </c>
    </row>
    <row r="345" spans="1:14" s="147" customFormat="1" ht="108" x14ac:dyDescent="0.35">
      <c r="A345" s="11"/>
      <c r="B345" s="24" t="s">
        <v>50</v>
      </c>
      <c r="C345" s="25" t="s">
        <v>448</v>
      </c>
      <c r="D345" s="10" t="s">
        <v>225</v>
      </c>
      <c r="E345" s="10" t="s">
        <v>40</v>
      </c>
      <c r="F345" s="651" t="s">
        <v>40</v>
      </c>
      <c r="G345" s="652" t="s">
        <v>46</v>
      </c>
      <c r="H345" s="652" t="s">
        <v>40</v>
      </c>
      <c r="I345" s="653" t="s">
        <v>270</v>
      </c>
      <c r="J345" s="10" t="s">
        <v>51</v>
      </c>
      <c r="K345" s="26">
        <v>99.7</v>
      </c>
      <c r="L345" s="26">
        <f>M345-K345</f>
        <v>0</v>
      </c>
      <c r="M345" s="26">
        <v>99.7</v>
      </c>
      <c r="N345" s="26">
        <v>99.7</v>
      </c>
    </row>
    <row r="346" spans="1:14" s="147" customFormat="1" ht="36" x14ac:dyDescent="0.35">
      <c r="A346" s="11"/>
      <c r="B346" s="24" t="s">
        <v>121</v>
      </c>
      <c r="C346" s="25" t="s">
        <v>448</v>
      </c>
      <c r="D346" s="10" t="s">
        <v>225</v>
      </c>
      <c r="E346" s="10" t="s">
        <v>40</v>
      </c>
      <c r="F346" s="651" t="s">
        <v>40</v>
      </c>
      <c r="G346" s="652" t="s">
        <v>46</v>
      </c>
      <c r="H346" s="652" t="s">
        <v>40</v>
      </c>
      <c r="I346" s="653" t="s">
        <v>270</v>
      </c>
      <c r="J346" s="10" t="s">
        <v>122</v>
      </c>
      <c r="K346" s="26">
        <v>6.6</v>
      </c>
      <c r="L346" s="26">
        <f>M346-K346</f>
        <v>0</v>
      </c>
      <c r="M346" s="26">
        <v>6.6</v>
      </c>
      <c r="N346" s="26">
        <v>6.6</v>
      </c>
    </row>
    <row r="347" spans="1:14" s="147" customFormat="1" ht="54" x14ac:dyDescent="0.35">
      <c r="A347" s="11"/>
      <c r="B347" s="24" t="s">
        <v>77</v>
      </c>
      <c r="C347" s="25" t="s">
        <v>448</v>
      </c>
      <c r="D347" s="10" t="s">
        <v>225</v>
      </c>
      <c r="E347" s="10" t="s">
        <v>40</v>
      </c>
      <c r="F347" s="651" t="s">
        <v>40</v>
      </c>
      <c r="G347" s="652" t="s">
        <v>46</v>
      </c>
      <c r="H347" s="652" t="s">
        <v>40</v>
      </c>
      <c r="I347" s="653" t="s">
        <v>270</v>
      </c>
      <c r="J347" s="10" t="s">
        <v>78</v>
      </c>
      <c r="K347" s="26">
        <v>1552.9</v>
      </c>
      <c r="L347" s="26">
        <f>M347-K347</f>
        <v>0</v>
      </c>
      <c r="M347" s="26">
        <v>1552.9</v>
      </c>
      <c r="N347" s="26">
        <v>1602.7</v>
      </c>
    </row>
    <row r="348" spans="1:14" s="147" customFormat="1" ht="108" x14ac:dyDescent="0.35">
      <c r="A348" s="11"/>
      <c r="B348" s="24" t="s">
        <v>352</v>
      </c>
      <c r="C348" s="25" t="s">
        <v>448</v>
      </c>
      <c r="D348" s="10" t="s">
        <v>225</v>
      </c>
      <c r="E348" s="10" t="s">
        <v>40</v>
      </c>
      <c r="F348" s="651" t="s">
        <v>40</v>
      </c>
      <c r="G348" s="652" t="s">
        <v>46</v>
      </c>
      <c r="H348" s="652" t="s">
        <v>40</v>
      </c>
      <c r="I348" s="653" t="s">
        <v>271</v>
      </c>
      <c r="J348" s="10"/>
      <c r="K348" s="26">
        <f>K349+K350+K351</f>
        <v>402579.3</v>
      </c>
      <c r="L348" s="26">
        <f>L349+L350+L351</f>
        <v>0</v>
      </c>
      <c r="M348" s="26">
        <f>M349+M350+M351</f>
        <v>402579.3</v>
      </c>
      <c r="N348" s="26">
        <f>N349+N350+N351</f>
        <v>402579.3</v>
      </c>
    </row>
    <row r="349" spans="1:14" s="147" customFormat="1" ht="108" x14ac:dyDescent="0.35">
      <c r="A349" s="11"/>
      <c r="B349" s="24" t="s">
        <v>50</v>
      </c>
      <c r="C349" s="25" t="s">
        <v>448</v>
      </c>
      <c r="D349" s="10" t="s">
        <v>225</v>
      </c>
      <c r="E349" s="10" t="s">
        <v>40</v>
      </c>
      <c r="F349" s="651" t="s">
        <v>40</v>
      </c>
      <c r="G349" s="652" t="s">
        <v>46</v>
      </c>
      <c r="H349" s="652" t="s">
        <v>40</v>
      </c>
      <c r="I349" s="653" t="s">
        <v>271</v>
      </c>
      <c r="J349" s="10" t="s">
        <v>51</v>
      </c>
      <c r="K349" s="26">
        <v>26623.599999999999</v>
      </c>
      <c r="L349" s="26">
        <f>M349-K349</f>
        <v>0</v>
      </c>
      <c r="M349" s="26">
        <v>26623.599999999999</v>
      </c>
      <c r="N349" s="26">
        <v>26623.599999999999</v>
      </c>
    </row>
    <row r="350" spans="1:14" s="147" customFormat="1" ht="54" x14ac:dyDescent="0.35">
      <c r="A350" s="11"/>
      <c r="B350" s="24" t="s">
        <v>56</v>
      </c>
      <c r="C350" s="25" t="s">
        <v>448</v>
      </c>
      <c r="D350" s="10" t="s">
        <v>225</v>
      </c>
      <c r="E350" s="10" t="s">
        <v>40</v>
      </c>
      <c r="F350" s="651" t="s">
        <v>40</v>
      </c>
      <c r="G350" s="652" t="s">
        <v>46</v>
      </c>
      <c r="H350" s="652" t="s">
        <v>40</v>
      </c>
      <c r="I350" s="653" t="s">
        <v>271</v>
      </c>
      <c r="J350" s="10" t="s">
        <v>57</v>
      </c>
      <c r="K350" s="26">
        <v>3027.7</v>
      </c>
      <c r="L350" s="26">
        <f>M350-K350</f>
        <v>0</v>
      </c>
      <c r="M350" s="26">
        <v>3027.7</v>
      </c>
      <c r="N350" s="26">
        <v>3027.7</v>
      </c>
    </row>
    <row r="351" spans="1:14" s="147" customFormat="1" ht="54" x14ac:dyDescent="0.35">
      <c r="A351" s="11"/>
      <c r="B351" s="24" t="s">
        <v>77</v>
      </c>
      <c r="C351" s="25" t="s">
        <v>448</v>
      </c>
      <c r="D351" s="10" t="s">
        <v>225</v>
      </c>
      <c r="E351" s="10" t="s">
        <v>40</v>
      </c>
      <c r="F351" s="651" t="s">
        <v>40</v>
      </c>
      <c r="G351" s="652" t="s">
        <v>46</v>
      </c>
      <c r="H351" s="652" t="s">
        <v>40</v>
      </c>
      <c r="I351" s="653" t="s">
        <v>271</v>
      </c>
      <c r="J351" s="10" t="s">
        <v>78</v>
      </c>
      <c r="K351" s="26">
        <v>372928</v>
      </c>
      <c r="L351" s="26">
        <f>M351-K351</f>
        <v>0</v>
      </c>
      <c r="M351" s="26">
        <v>372928</v>
      </c>
      <c r="N351" s="26">
        <v>372928</v>
      </c>
    </row>
    <row r="352" spans="1:14" s="143" customFormat="1" ht="90" x14ac:dyDescent="0.35">
      <c r="A352" s="11"/>
      <c r="B352" s="24" t="s">
        <v>210</v>
      </c>
      <c r="C352" s="25" t="s">
        <v>448</v>
      </c>
      <c r="D352" s="10" t="s">
        <v>225</v>
      </c>
      <c r="E352" s="10" t="s">
        <v>40</v>
      </c>
      <c r="F352" s="651" t="s">
        <v>40</v>
      </c>
      <c r="G352" s="652" t="s">
        <v>46</v>
      </c>
      <c r="H352" s="652" t="s">
        <v>40</v>
      </c>
      <c r="I352" s="653" t="s">
        <v>276</v>
      </c>
      <c r="J352" s="10"/>
      <c r="K352" s="26">
        <f>SUM(K353:K354)</f>
        <v>2380.9</v>
      </c>
      <c r="L352" s="26">
        <f>SUM(L353:L354)</f>
        <v>0</v>
      </c>
      <c r="M352" s="26">
        <f>SUM(M353:M354)</f>
        <v>2380.9</v>
      </c>
      <c r="N352" s="26">
        <f>SUM(N353:N354)</f>
        <v>2550.2999999999997</v>
      </c>
    </row>
    <row r="353" spans="1:17" s="143" customFormat="1" ht="54" x14ac:dyDescent="0.35">
      <c r="A353" s="11"/>
      <c r="B353" s="24" t="s">
        <v>56</v>
      </c>
      <c r="C353" s="25" t="s">
        <v>448</v>
      </c>
      <c r="D353" s="10" t="s">
        <v>225</v>
      </c>
      <c r="E353" s="10" t="s">
        <v>40</v>
      </c>
      <c r="F353" s="651" t="s">
        <v>40</v>
      </c>
      <c r="G353" s="652" t="s">
        <v>46</v>
      </c>
      <c r="H353" s="652" t="s">
        <v>40</v>
      </c>
      <c r="I353" s="653" t="s">
        <v>276</v>
      </c>
      <c r="J353" s="10" t="s">
        <v>57</v>
      </c>
      <c r="K353" s="26">
        <v>102.8</v>
      </c>
      <c r="L353" s="26">
        <f>M353-K353</f>
        <v>0</v>
      </c>
      <c r="M353" s="26">
        <v>102.8</v>
      </c>
      <c r="N353" s="26">
        <v>111.2</v>
      </c>
    </row>
    <row r="354" spans="1:17" s="143" customFormat="1" ht="54" x14ac:dyDescent="0.35">
      <c r="A354" s="11"/>
      <c r="B354" s="24" t="s">
        <v>77</v>
      </c>
      <c r="C354" s="25" t="s">
        <v>448</v>
      </c>
      <c r="D354" s="10" t="s">
        <v>225</v>
      </c>
      <c r="E354" s="10" t="s">
        <v>40</v>
      </c>
      <c r="F354" s="651" t="s">
        <v>40</v>
      </c>
      <c r="G354" s="652" t="s">
        <v>46</v>
      </c>
      <c r="H354" s="652" t="s">
        <v>40</v>
      </c>
      <c r="I354" s="653" t="s">
        <v>276</v>
      </c>
      <c r="J354" s="10" t="s">
        <v>78</v>
      </c>
      <c r="K354" s="26">
        <v>2278.1</v>
      </c>
      <c r="L354" s="26">
        <f>M354-K354</f>
        <v>0</v>
      </c>
      <c r="M354" s="26">
        <v>2278.1</v>
      </c>
      <c r="N354" s="26">
        <v>2439.1</v>
      </c>
    </row>
    <row r="355" spans="1:17" s="143" customFormat="1" ht="157.5" customHeight="1" x14ac:dyDescent="0.35">
      <c r="A355" s="11"/>
      <c r="B355" s="24" t="s">
        <v>623</v>
      </c>
      <c r="C355" s="25" t="s">
        <v>448</v>
      </c>
      <c r="D355" s="10" t="s">
        <v>225</v>
      </c>
      <c r="E355" s="10" t="s">
        <v>40</v>
      </c>
      <c r="F355" s="651" t="s">
        <v>40</v>
      </c>
      <c r="G355" s="652" t="s">
        <v>46</v>
      </c>
      <c r="H355" s="652" t="s">
        <v>40</v>
      </c>
      <c r="I355" s="653" t="s">
        <v>622</v>
      </c>
      <c r="J355" s="10"/>
      <c r="K355" s="26">
        <f>K356+K357</f>
        <v>1196.0999999999999</v>
      </c>
      <c r="L355" s="26">
        <f>L356+L357</f>
        <v>0</v>
      </c>
      <c r="M355" s="26">
        <f>M356+M357</f>
        <v>1196.0999999999999</v>
      </c>
      <c r="N355" s="26">
        <f>N356+N357</f>
        <v>1196.0999999999999</v>
      </c>
    </row>
    <row r="356" spans="1:17" s="143" customFormat="1" ht="54" x14ac:dyDescent="0.35">
      <c r="A356" s="11"/>
      <c r="B356" s="24" t="s">
        <v>56</v>
      </c>
      <c r="C356" s="25" t="s">
        <v>448</v>
      </c>
      <c r="D356" s="10" t="s">
        <v>225</v>
      </c>
      <c r="E356" s="10" t="s">
        <v>40</v>
      </c>
      <c r="F356" s="651" t="s">
        <v>40</v>
      </c>
      <c r="G356" s="652" t="s">
        <v>46</v>
      </c>
      <c r="H356" s="652" t="s">
        <v>40</v>
      </c>
      <c r="I356" s="653" t="s">
        <v>622</v>
      </c>
      <c r="J356" s="10" t="s">
        <v>57</v>
      </c>
      <c r="K356" s="26">
        <v>15</v>
      </c>
      <c r="L356" s="26">
        <f>M356-K356</f>
        <v>0</v>
      </c>
      <c r="M356" s="26">
        <v>15</v>
      </c>
      <c r="N356" s="26">
        <v>15</v>
      </c>
    </row>
    <row r="357" spans="1:17" s="143" customFormat="1" ht="54" x14ac:dyDescent="0.35">
      <c r="A357" s="11"/>
      <c r="B357" s="24" t="s">
        <v>77</v>
      </c>
      <c r="C357" s="25" t="s">
        <v>448</v>
      </c>
      <c r="D357" s="10" t="s">
        <v>225</v>
      </c>
      <c r="E357" s="10" t="s">
        <v>40</v>
      </c>
      <c r="F357" s="651" t="s">
        <v>40</v>
      </c>
      <c r="G357" s="652" t="s">
        <v>46</v>
      </c>
      <c r="H357" s="652" t="s">
        <v>40</v>
      </c>
      <c r="I357" s="653" t="s">
        <v>622</v>
      </c>
      <c r="J357" s="10" t="s">
        <v>78</v>
      </c>
      <c r="K357" s="26">
        <v>1181.0999999999999</v>
      </c>
      <c r="L357" s="26">
        <f>M357-K357</f>
        <v>0</v>
      </c>
      <c r="M357" s="26">
        <v>1181.0999999999999</v>
      </c>
      <c r="N357" s="26">
        <v>1181.0999999999999</v>
      </c>
    </row>
    <row r="358" spans="1:17" s="143" customFormat="1" ht="95.4" customHeight="1" x14ac:dyDescent="0.35">
      <c r="A358" s="11"/>
      <c r="B358" s="24" t="s">
        <v>480</v>
      </c>
      <c r="C358" s="25" t="s">
        <v>448</v>
      </c>
      <c r="D358" s="10" t="s">
        <v>225</v>
      </c>
      <c r="E358" s="10" t="s">
        <v>40</v>
      </c>
      <c r="F358" s="651" t="s">
        <v>40</v>
      </c>
      <c r="G358" s="652" t="s">
        <v>46</v>
      </c>
      <c r="H358" s="652" t="s">
        <v>40</v>
      </c>
      <c r="I358" s="653" t="s">
        <v>479</v>
      </c>
      <c r="J358" s="10"/>
      <c r="K358" s="26">
        <f>K359+K360</f>
        <v>56500.700000000004</v>
      </c>
      <c r="L358" s="26">
        <f>L359+L360</f>
        <v>0</v>
      </c>
      <c r="M358" s="26">
        <f>M359+M360</f>
        <v>56500.700000000004</v>
      </c>
      <c r="N358" s="26">
        <f>N359+N360</f>
        <v>57707.200000000004</v>
      </c>
    </row>
    <row r="359" spans="1:17" s="143" customFormat="1" ht="54" x14ac:dyDescent="0.35">
      <c r="A359" s="11"/>
      <c r="B359" s="24" t="s">
        <v>56</v>
      </c>
      <c r="C359" s="25" t="s">
        <v>448</v>
      </c>
      <c r="D359" s="10" t="s">
        <v>225</v>
      </c>
      <c r="E359" s="10" t="s">
        <v>40</v>
      </c>
      <c r="F359" s="651" t="s">
        <v>40</v>
      </c>
      <c r="G359" s="652" t="s">
        <v>46</v>
      </c>
      <c r="H359" s="652" t="s">
        <v>40</v>
      </c>
      <c r="I359" s="653" t="s">
        <v>479</v>
      </c>
      <c r="J359" s="10" t="s">
        <v>57</v>
      </c>
      <c r="K359" s="26">
        <v>1755.4</v>
      </c>
      <c r="L359" s="26">
        <f>M359-K359</f>
        <v>0</v>
      </c>
      <c r="M359" s="26">
        <v>1755.4</v>
      </c>
      <c r="N359" s="26">
        <v>1801.9</v>
      </c>
    </row>
    <row r="360" spans="1:17" s="143" customFormat="1" ht="54" x14ac:dyDescent="0.35">
      <c r="A360" s="11"/>
      <c r="B360" s="24" t="s">
        <v>77</v>
      </c>
      <c r="C360" s="25" t="s">
        <v>448</v>
      </c>
      <c r="D360" s="10" t="s">
        <v>225</v>
      </c>
      <c r="E360" s="10" t="s">
        <v>40</v>
      </c>
      <c r="F360" s="651" t="s">
        <v>40</v>
      </c>
      <c r="G360" s="652" t="s">
        <v>46</v>
      </c>
      <c r="H360" s="652" t="s">
        <v>40</v>
      </c>
      <c r="I360" s="653" t="s">
        <v>479</v>
      </c>
      <c r="J360" s="10" t="s">
        <v>78</v>
      </c>
      <c r="K360" s="26">
        <v>54745.3</v>
      </c>
      <c r="L360" s="26">
        <f>M360-K360</f>
        <v>0</v>
      </c>
      <c r="M360" s="26">
        <v>54745.3</v>
      </c>
      <c r="N360" s="26">
        <v>55905.3</v>
      </c>
      <c r="Q360" s="222"/>
    </row>
    <row r="361" spans="1:17" s="143" customFormat="1" ht="205.2" customHeight="1" x14ac:dyDescent="0.35">
      <c r="A361" s="11"/>
      <c r="B361" s="24" t="s">
        <v>624</v>
      </c>
      <c r="C361" s="25" t="s">
        <v>448</v>
      </c>
      <c r="D361" s="10" t="s">
        <v>225</v>
      </c>
      <c r="E361" s="10" t="s">
        <v>40</v>
      </c>
      <c r="F361" s="651" t="s">
        <v>40</v>
      </c>
      <c r="G361" s="652" t="s">
        <v>46</v>
      </c>
      <c r="H361" s="652" t="s">
        <v>40</v>
      </c>
      <c r="I361" s="653" t="s">
        <v>625</v>
      </c>
      <c r="J361" s="10"/>
      <c r="K361" s="26">
        <f>K362</f>
        <v>0</v>
      </c>
      <c r="L361" s="26">
        <f>L362</f>
        <v>0</v>
      </c>
      <c r="M361" s="26">
        <f>M362</f>
        <v>0</v>
      </c>
      <c r="N361" s="26">
        <f>N362</f>
        <v>3900.6</v>
      </c>
      <c r="Q361" s="222"/>
    </row>
    <row r="362" spans="1:17" s="143" customFormat="1" ht="54" x14ac:dyDescent="0.35">
      <c r="A362" s="11"/>
      <c r="B362" s="24" t="s">
        <v>77</v>
      </c>
      <c r="C362" s="25" t="s">
        <v>448</v>
      </c>
      <c r="D362" s="10" t="s">
        <v>225</v>
      </c>
      <c r="E362" s="10" t="s">
        <v>40</v>
      </c>
      <c r="F362" s="651" t="s">
        <v>40</v>
      </c>
      <c r="G362" s="652" t="s">
        <v>46</v>
      </c>
      <c r="H362" s="652" t="s">
        <v>40</v>
      </c>
      <c r="I362" s="653" t="s">
        <v>625</v>
      </c>
      <c r="J362" s="10" t="s">
        <v>78</v>
      </c>
      <c r="K362" s="26">
        <v>0</v>
      </c>
      <c r="L362" s="26">
        <f>M362-K362</f>
        <v>0</v>
      </c>
      <c r="M362" s="26">
        <v>0</v>
      </c>
      <c r="N362" s="26">
        <v>3900.6</v>
      </c>
      <c r="Q362" s="222"/>
    </row>
    <row r="363" spans="1:17" s="143" customFormat="1" ht="90" x14ac:dyDescent="0.35">
      <c r="A363" s="11"/>
      <c r="B363" s="24" t="s">
        <v>620</v>
      </c>
      <c r="C363" s="25" t="s">
        <v>448</v>
      </c>
      <c r="D363" s="10" t="s">
        <v>225</v>
      </c>
      <c r="E363" s="10" t="s">
        <v>40</v>
      </c>
      <c r="F363" s="651" t="s">
        <v>40</v>
      </c>
      <c r="G363" s="652" t="s">
        <v>46</v>
      </c>
      <c r="H363" s="652" t="s">
        <v>40</v>
      </c>
      <c r="I363" s="653" t="s">
        <v>619</v>
      </c>
      <c r="J363" s="10"/>
      <c r="K363" s="26">
        <f>K364+K365+K366</f>
        <v>12523.9</v>
      </c>
      <c r="L363" s="26">
        <f>L364+L365+L366</f>
        <v>0</v>
      </c>
      <c r="M363" s="26">
        <f>M364+M365+M366</f>
        <v>12523.9</v>
      </c>
      <c r="N363" s="26">
        <f>N364+N365+N366</f>
        <v>12447.800000000001</v>
      </c>
      <c r="Q363" s="222"/>
    </row>
    <row r="364" spans="1:17" s="143" customFormat="1" ht="54" x14ac:dyDescent="0.35">
      <c r="A364" s="11"/>
      <c r="B364" s="24" t="s">
        <v>56</v>
      </c>
      <c r="C364" s="25" t="s">
        <v>448</v>
      </c>
      <c r="D364" s="10" t="s">
        <v>225</v>
      </c>
      <c r="E364" s="10" t="s">
        <v>40</v>
      </c>
      <c r="F364" s="651" t="s">
        <v>40</v>
      </c>
      <c r="G364" s="652" t="s">
        <v>46</v>
      </c>
      <c r="H364" s="652" t="s">
        <v>40</v>
      </c>
      <c r="I364" s="653" t="s">
        <v>619</v>
      </c>
      <c r="J364" s="10" t="s">
        <v>57</v>
      </c>
      <c r="K364" s="26">
        <v>80</v>
      </c>
      <c r="L364" s="26">
        <f>M364-K364</f>
        <v>0</v>
      </c>
      <c r="M364" s="26">
        <v>80</v>
      </c>
      <c r="N364" s="26">
        <v>79.5</v>
      </c>
      <c r="Q364" s="222"/>
    </row>
    <row r="365" spans="1:17" s="143" customFormat="1" ht="36" x14ac:dyDescent="0.35">
      <c r="A365" s="11"/>
      <c r="B365" s="24" t="s">
        <v>121</v>
      </c>
      <c r="C365" s="25" t="s">
        <v>448</v>
      </c>
      <c r="D365" s="10" t="s">
        <v>225</v>
      </c>
      <c r="E365" s="10" t="s">
        <v>40</v>
      </c>
      <c r="F365" s="651" t="s">
        <v>40</v>
      </c>
      <c r="G365" s="652" t="s">
        <v>46</v>
      </c>
      <c r="H365" s="652" t="s">
        <v>40</v>
      </c>
      <c r="I365" s="653" t="s">
        <v>619</v>
      </c>
      <c r="J365" s="10" t="s">
        <v>122</v>
      </c>
      <c r="K365" s="26">
        <v>64</v>
      </c>
      <c r="L365" s="26">
        <f>M365-K365</f>
        <v>0</v>
      </c>
      <c r="M365" s="26">
        <v>64</v>
      </c>
      <c r="N365" s="26">
        <v>63.6</v>
      </c>
      <c r="Q365" s="222"/>
    </row>
    <row r="366" spans="1:17" s="143" customFormat="1" ht="54" x14ac:dyDescent="0.35">
      <c r="A366" s="11"/>
      <c r="B366" s="24" t="s">
        <v>77</v>
      </c>
      <c r="C366" s="25" t="s">
        <v>448</v>
      </c>
      <c r="D366" s="10" t="s">
        <v>225</v>
      </c>
      <c r="E366" s="10" t="s">
        <v>40</v>
      </c>
      <c r="F366" s="651" t="s">
        <v>40</v>
      </c>
      <c r="G366" s="652" t="s">
        <v>46</v>
      </c>
      <c r="H366" s="652" t="s">
        <v>40</v>
      </c>
      <c r="I366" s="653" t="s">
        <v>619</v>
      </c>
      <c r="J366" s="10" t="s">
        <v>78</v>
      </c>
      <c r="K366" s="26">
        <v>12379.9</v>
      </c>
      <c r="L366" s="26">
        <f>M366-K366</f>
        <v>0</v>
      </c>
      <c r="M366" s="26">
        <v>12379.9</v>
      </c>
      <c r="N366" s="26">
        <v>12304.7</v>
      </c>
      <c r="Q366" s="222"/>
    </row>
    <row r="367" spans="1:17" s="147" customFormat="1" ht="54" x14ac:dyDescent="0.35">
      <c r="A367" s="11"/>
      <c r="B367" s="24" t="s">
        <v>213</v>
      </c>
      <c r="C367" s="25" t="s">
        <v>448</v>
      </c>
      <c r="D367" s="10" t="s">
        <v>225</v>
      </c>
      <c r="E367" s="10" t="s">
        <v>40</v>
      </c>
      <c r="F367" s="651" t="s">
        <v>40</v>
      </c>
      <c r="G367" s="652" t="s">
        <v>31</v>
      </c>
      <c r="H367" s="652" t="s">
        <v>44</v>
      </c>
      <c r="I367" s="653" t="s">
        <v>45</v>
      </c>
      <c r="J367" s="10"/>
      <c r="K367" s="26">
        <f t="shared" ref="K367:N368" si="50">K368</f>
        <v>2294.8000000000002</v>
      </c>
      <c r="L367" s="26">
        <f t="shared" si="50"/>
        <v>0</v>
      </c>
      <c r="M367" s="26">
        <f t="shared" si="50"/>
        <v>2294.8000000000002</v>
      </c>
      <c r="N367" s="26">
        <f t="shared" si="50"/>
        <v>2294.8000000000002</v>
      </c>
    </row>
    <row r="368" spans="1:17" s="147" customFormat="1" ht="36" x14ac:dyDescent="0.35">
      <c r="A368" s="11"/>
      <c r="B368" s="24" t="s">
        <v>283</v>
      </c>
      <c r="C368" s="25" t="s">
        <v>448</v>
      </c>
      <c r="D368" s="10" t="s">
        <v>225</v>
      </c>
      <c r="E368" s="10" t="s">
        <v>40</v>
      </c>
      <c r="F368" s="651" t="s">
        <v>40</v>
      </c>
      <c r="G368" s="652" t="s">
        <v>31</v>
      </c>
      <c r="H368" s="652" t="s">
        <v>38</v>
      </c>
      <c r="I368" s="653" t="s">
        <v>45</v>
      </c>
      <c r="J368" s="10"/>
      <c r="K368" s="26">
        <f t="shared" si="50"/>
        <v>2294.8000000000002</v>
      </c>
      <c r="L368" s="26">
        <f t="shared" si="50"/>
        <v>0</v>
      </c>
      <c r="M368" s="26">
        <f t="shared" si="50"/>
        <v>2294.8000000000002</v>
      </c>
      <c r="N368" s="26">
        <f t="shared" si="50"/>
        <v>2294.8000000000002</v>
      </c>
    </row>
    <row r="369" spans="1:14" s="147" customFormat="1" ht="256.95" customHeight="1" x14ac:dyDescent="0.35">
      <c r="A369" s="11"/>
      <c r="B369" s="24" t="s">
        <v>459</v>
      </c>
      <c r="C369" s="25" t="s">
        <v>448</v>
      </c>
      <c r="D369" s="10" t="s">
        <v>225</v>
      </c>
      <c r="E369" s="10" t="s">
        <v>40</v>
      </c>
      <c r="F369" s="651" t="s">
        <v>40</v>
      </c>
      <c r="G369" s="652" t="s">
        <v>31</v>
      </c>
      <c r="H369" s="652" t="s">
        <v>38</v>
      </c>
      <c r="I369" s="653" t="s">
        <v>353</v>
      </c>
      <c r="J369" s="10"/>
      <c r="K369" s="26">
        <f>K370</f>
        <v>2294.8000000000002</v>
      </c>
      <c r="L369" s="26">
        <f>L370</f>
        <v>0</v>
      </c>
      <c r="M369" s="26">
        <f>M370</f>
        <v>2294.8000000000002</v>
      </c>
      <c r="N369" s="26">
        <f>N370</f>
        <v>2294.8000000000002</v>
      </c>
    </row>
    <row r="370" spans="1:14" s="147" customFormat="1" ht="54" x14ac:dyDescent="0.35">
      <c r="A370" s="11"/>
      <c r="B370" s="24" t="s">
        <v>77</v>
      </c>
      <c r="C370" s="25" t="s">
        <v>448</v>
      </c>
      <c r="D370" s="10" t="s">
        <v>225</v>
      </c>
      <c r="E370" s="10" t="s">
        <v>40</v>
      </c>
      <c r="F370" s="651" t="s">
        <v>40</v>
      </c>
      <c r="G370" s="652" t="s">
        <v>31</v>
      </c>
      <c r="H370" s="652" t="s">
        <v>38</v>
      </c>
      <c r="I370" s="653" t="s">
        <v>353</v>
      </c>
      <c r="J370" s="10" t="s">
        <v>78</v>
      </c>
      <c r="K370" s="26">
        <v>2294.8000000000002</v>
      </c>
      <c r="L370" s="26">
        <f>M370-K370</f>
        <v>0</v>
      </c>
      <c r="M370" s="26">
        <v>2294.8000000000002</v>
      </c>
      <c r="N370" s="26">
        <v>2294.8000000000002</v>
      </c>
    </row>
    <row r="371" spans="1:14" s="147" customFormat="1" ht="18" x14ac:dyDescent="0.35">
      <c r="A371" s="11"/>
      <c r="B371" s="24" t="s">
        <v>356</v>
      </c>
      <c r="C371" s="25" t="s">
        <v>448</v>
      </c>
      <c r="D371" s="10" t="s">
        <v>225</v>
      </c>
      <c r="E371" s="10" t="s">
        <v>64</v>
      </c>
      <c r="F371" s="651"/>
      <c r="G371" s="652"/>
      <c r="H371" s="652"/>
      <c r="I371" s="653"/>
      <c r="J371" s="10"/>
      <c r="K371" s="26">
        <f>K372+K387</f>
        <v>62570.000000000007</v>
      </c>
      <c r="L371" s="26">
        <f>L372+L387</f>
        <v>0</v>
      </c>
      <c r="M371" s="26">
        <f>M372+M387</f>
        <v>62570.000000000007</v>
      </c>
      <c r="N371" s="26">
        <f>N372+N387</f>
        <v>67055.799999999988</v>
      </c>
    </row>
    <row r="372" spans="1:14" s="147" customFormat="1" ht="54" x14ac:dyDescent="0.35">
      <c r="A372" s="11"/>
      <c r="B372" s="112" t="s">
        <v>206</v>
      </c>
      <c r="C372" s="25" t="s">
        <v>448</v>
      </c>
      <c r="D372" s="10" t="s">
        <v>225</v>
      </c>
      <c r="E372" s="10" t="s">
        <v>64</v>
      </c>
      <c r="F372" s="651" t="s">
        <v>40</v>
      </c>
      <c r="G372" s="652" t="s">
        <v>43</v>
      </c>
      <c r="H372" s="652" t="s">
        <v>44</v>
      </c>
      <c r="I372" s="653" t="s">
        <v>45</v>
      </c>
      <c r="J372" s="10"/>
      <c r="K372" s="26">
        <f t="shared" ref="K372:N373" si="51">K373</f>
        <v>61998.400000000009</v>
      </c>
      <c r="L372" s="26">
        <f t="shared" si="51"/>
        <v>0</v>
      </c>
      <c r="M372" s="26">
        <f t="shared" si="51"/>
        <v>61998.400000000009</v>
      </c>
      <c r="N372" s="26">
        <f t="shared" si="51"/>
        <v>67055.799999999988</v>
      </c>
    </row>
    <row r="373" spans="1:14" s="147" customFormat="1" ht="24.75" customHeight="1" x14ac:dyDescent="0.35">
      <c r="A373" s="11"/>
      <c r="B373" s="24" t="s">
        <v>211</v>
      </c>
      <c r="C373" s="25" t="s">
        <v>448</v>
      </c>
      <c r="D373" s="10" t="s">
        <v>225</v>
      </c>
      <c r="E373" s="10" t="s">
        <v>64</v>
      </c>
      <c r="F373" s="651" t="s">
        <v>40</v>
      </c>
      <c r="G373" s="652" t="s">
        <v>90</v>
      </c>
      <c r="H373" s="652" t="s">
        <v>44</v>
      </c>
      <c r="I373" s="653" t="s">
        <v>45</v>
      </c>
      <c r="J373" s="10"/>
      <c r="K373" s="26">
        <f t="shared" si="51"/>
        <v>61998.400000000009</v>
      </c>
      <c r="L373" s="26">
        <f t="shared" si="51"/>
        <v>0</v>
      </c>
      <c r="M373" s="26">
        <f t="shared" si="51"/>
        <v>61998.400000000009</v>
      </c>
      <c r="N373" s="26">
        <f t="shared" si="51"/>
        <v>67055.799999999988</v>
      </c>
    </row>
    <row r="374" spans="1:14" s="147" customFormat="1" ht="36" x14ac:dyDescent="0.35">
      <c r="A374" s="11"/>
      <c r="B374" s="24" t="s">
        <v>277</v>
      </c>
      <c r="C374" s="25" t="s">
        <v>448</v>
      </c>
      <c r="D374" s="10" t="s">
        <v>225</v>
      </c>
      <c r="E374" s="10" t="s">
        <v>64</v>
      </c>
      <c r="F374" s="651" t="s">
        <v>40</v>
      </c>
      <c r="G374" s="652" t="s">
        <v>90</v>
      </c>
      <c r="H374" s="652" t="s">
        <v>38</v>
      </c>
      <c r="I374" s="653" t="s">
        <v>45</v>
      </c>
      <c r="J374" s="10"/>
      <c r="K374" s="26">
        <f>K375+K383+K385+K380</f>
        <v>61998.400000000009</v>
      </c>
      <c r="L374" s="26">
        <f>L375+L383+L385+L380</f>
        <v>0</v>
      </c>
      <c r="M374" s="26">
        <f>M375+M383+M385+M380</f>
        <v>61998.400000000009</v>
      </c>
      <c r="N374" s="26">
        <f>N375+N383+N385+N380</f>
        <v>67055.799999999988</v>
      </c>
    </row>
    <row r="375" spans="1:14" s="147" customFormat="1" ht="40.5" customHeight="1" x14ac:dyDescent="0.35">
      <c r="A375" s="11"/>
      <c r="B375" s="105" t="s">
        <v>490</v>
      </c>
      <c r="C375" s="25" t="s">
        <v>448</v>
      </c>
      <c r="D375" s="10" t="s">
        <v>225</v>
      </c>
      <c r="E375" s="10" t="s">
        <v>64</v>
      </c>
      <c r="F375" s="651" t="s">
        <v>40</v>
      </c>
      <c r="G375" s="652" t="s">
        <v>90</v>
      </c>
      <c r="H375" s="652" t="s">
        <v>38</v>
      </c>
      <c r="I375" s="653" t="s">
        <v>92</v>
      </c>
      <c r="J375" s="10"/>
      <c r="K375" s="26">
        <f>K378+K376+K377+K379</f>
        <v>50541.200000000004</v>
      </c>
      <c r="L375" s="26">
        <f>L378+L376+L377+L379</f>
        <v>0</v>
      </c>
      <c r="M375" s="26">
        <f>M378+M376+M377+M379</f>
        <v>50541.200000000004</v>
      </c>
      <c r="N375" s="26">
        <f>N378+N376+N377+N379</f>
        <v>55595.299999999996</v>
      </c>
    </row>
    <row r="376" spans="1:14" s="147" customFormat="1" ht="108" x14ac:dyDescent="0.35">
      <c r="A376" s="11"/>
      <c r="B376" s="24" t="s">
        <v>50</v>
      </c>
      <c r="C376" s="25" t="s">
        <v>448</v>
      </c>
      <c r="D376" s="10" t="s">
        <v>225</v>
      </c>
      <c r="E376" s="10" t="s">
        <v>64</v>
      </c>
      <c r="F376" s="651" t="s">
        <v>40</v>
      </c>
      <c r="G376" s="652" t="s">
        <v>90</v>
      </c>
      <c r="H376" s="652" t="s">
        <v>38</v>
      </c>
      <c r="I376" s="653" t="s">
        <v>92</v>
      </c>
      <c r="J376" s="10" t="s">
        <v>51</v>
      </c>
      <c r="K376" s="26">
        <v>20212.7</v>
      </c>
      <c r="L376" s="26">
        <f>M376-K376</f>
        <v>0</v>
      </c>
      <c r="M376" s="26">
        <v>20212.7</v>
      </c>
      <c r="N376" s="26">
        <v>20212.7</v>
      </c>
    </row>
    <row r="377" spans="1:14" s="147" customFormat="1" ht="54" x14ac:dyDescent="0.35">
      <c r="A377" s="11"/>
      <c r="B377" s="24" t="s">
        <v>56</v>
      </c>
      <c r="C377" s="25" t="s">
        <v>448</v>
      </c>
      <c r="D377" s="10" t="s">
        <v>225</v>
      </c>
      <c r="E377" s="10" t="s">
        <v>64</v>
      </c>
      <c r="F377" s="651" t="s">
        <v>40</v>
      </c>
      <c r="G377" s="652" t="s">
        <v>90</v>
      </c>
      <c r="H377" s="652" t="s">
        <v>38</v>
      </c>
      <c r="I377" s="653" t="s">
        <v>92</v>
      </c>
      <c r="J377" s="10" t="s">
        <v>57</v>
      </c>
      <c r="K377" s="26">
        <v>1988.9</v>
      </c>
      <c r="L377" s="26">
        <f>M377-K377</f>
        <v>0</v>
      </c>
      <c r="M377" s="26">
        <v>1988.9</v>
      </c>
      <c r="N377" s="26">
        <v>4230.6000000000004</v>
      </c>
    </row>
    <row r="378" spans="1:14" s="147" customFormat="1" ht="54" x14ac:dyDescent="0.35">
      <c r="A378" s="11"/>
      <c r="B378" s="24" t="s">
        <v>77</v>
      </c>
      <c r="C378" s="25" t="s">
        <v>448</v>
      </c>
      <c r="D378" s="10" t="s">
        <v>225</v>
      </c>
      <c r="E378" s="10" t="s">
        <v>64</v>
      </c>
      <c r="F378" s="651" t="s">
        <v>40</v>
      </c>
      <c r="G378" s="652" t="s">
        <v>90</v>
      </c>
      <c r="H378" s="652" t="s">
        <v>38</v>
      </c>
      <c r="I378" s="653" t="s">
        <v>92</v>
      </c>
      <c r="J378" s="10" t="s">
        <v>78</v>
      </c>
      <c r="K378" s="26">
        <v>28226.400000000001</v>
      </c>
      <c r="L378" s="26">
        <f>M378-K378</f>
        <v>0</v>
      </c>
      <c r="M378" s="26">
        <v>28226.400000000001</v>
      </c>
      <c r="N378" s="26">
        <v>31039</v>
      </c>
    </row>
    <row r="379" spans="1:14" s="147" customFormat="1" ht="18" x14ac:dyDescent="0.35">
      <c r="A379" s="11"/>
      <c r="B379" s="24" t="s">
        <v>58</v>
      </c>
      <c r="C379" s="25" t="s">
        <v>448</v>
      </c>
      <c r="D379" s="10" t="s">
        <v>225</v>
      </c>
      <c r="E379" s="10" t="s">
        <v>64</v>
      </c>
      <c r="F379" s="651" t="s">
        <v>40</v>
      </c>
      <c r="G379" s="652" t="s">
        <v>90</v>
      </c>
      <c r="H379" s="652" t="s">
        <v>38</v>
      </c>
      <c r="I379" s="653" t="s">
        <v>92</v>
      </c>
      <c r="J379" s="10" t="s">
        <v>59</v>
      </c>
      <c r="K379" s="26">
        <v>113.2</v>
      </c>
      <c r="L379" s="26">
        <f>M379-K379</f>
        <v>0</v>
      </c>
      <c r="M379" s="26">
        <v>113.2</v>
      </c>
      <c r="N379" s="26">
        <v>113</v>
      </c>
    </row>
    <row r="380" spans="1:14" s="147" customFormat="1" ht="54" x14ac:dyDescent="0.35">
      <c r="A380" s="11"/>
      <c r="B380" s="24" t="s">
        <v>208</v>
      </c>
      <c r="C380" s="25" t="s">
        <v>448</v>
      </c>
      <c r="D380" s="10" t="s">
        <v>225</v>
      </c>
      <c r="E380" s="10" t="s">
        <v>64</v>
      </c>
      <c r="F380" s="651" t="s">
        <v>40</v>
      </c>
      <c r="G380" s="652" t="s">
        <v>90</v>
      </c>
      <c r="H380" s="652" t="s">
        <v>38</v>
      </c>
      <c r="I380" s="653" t="s">
        <v>274</v>
      </c>
      <c r="J380" s="10"/>
      <c r="K380" s="26">
        <f>K381+K382</f>
        <v>1260</v>
      </c>
      <c r="L380" s="26">
        <f>L381+L382</f>
        <v>0</v>
      </c>
      <c r="M380" s="26">
        <f>M381+M382</f>
        <v>1260</v>
      </c>
      <c r="N380" s="26">
        <f>N381+N382</f>
        <v>1260</v>
      </c>
    </row>
    <row r="381" spans="1:14" s="147" customFormat="1" ht="54" x14ac:dyDescent="0.35">
      <c r="A381" s="11"/>
      <c r="B381" s="24" t="s">
        <v>56</v>
      </c>
      <c r="C381" s="25" t="s">
        <v>448</v>
      </c>
      <c r="D381" s="10" t="s">
        <v>225</v>
      </c>
      <c r="E381" s="10" t="s">
        <v>64</v>
      </c>
      <c r="F381" s="651" t="s">
        <v>40</v>
      </c>
      <c r="G381" s="652" t="s">
        <v>90</v>
      </c>
      <c r="H381" s="652" t="s">
        <v>38</v>
      </c>
      <c r="I381" s="653" t="s">
        <v>274</v>
      </c>
      <c r="J381" s="10" t="s">
        <v>57</v>
      </c>
      <c r="K381" s="26">
        <f>506.3</f>
        <v>506.3</v>
      </c>
      <c r="L381" s="26">
        <f>M381-K381</f>
        <v>0</v>
      </c>
      <c r="M381" s="26">
        <f>506.3</f>
        <v>506.3</v>
      </c>
      <c r="N381" s="26">
        <f>506.3</f>
        <v>506.3</v>
      </c>
    </row>
    <row r="382" spans="1:14" s="147" customFormat="1" ht="54" x14ac:dyDescent="0.35">
      <c r="A382" s="11"/>
      <c r="B382" s="112" t="s">
        <v>77</v>
      </c>
      <c r="C382" s="25" t="s">
        <v>448</v>
      </c>
      <c r="D382" s="10" t="s">
        <v>225</v>
      </c>
      <c r="E382" s="10" t="s">
        <v>64</v>
      </c>
      <c r="F382" s="651" t="s">
        <v>40</v>
      </c>
      <c r="G382" s="652" t="s">
        <v>90</v>
      </c>
      <c r="H382" s="652" t="s">
        <v>38</v>
      </c>
      <c r="I382" s="653" t="s">
        <v>274</v>
      </c>
      <c r="J382" s="10" t="s">
        <v>78</v>
      </c>
      <c r="K382" s="26">
        <f>753.7</f>
        <v>753.7</v>
      </c>
      <c r="L382" s="26">
        <f>M382-K382</f>
        <v>0</v>
      </c>
      <c r="M382" s="26">
        <f>753.7</f>
        <v>753.7</v>
      </c>
      <c r="N382" s="26">
        <f>753.7</f>
        <v>753.7</v>
      </c>
    </row>
    <row r="383" spans="1:14" s="147" customFormat="1" ht="183.75" customHeight="1" x14ac:dyDescent="0.35">
      <c r="A383" s="11"/>
      <c r="B383" s="24" t="s">
        <v>269</v>
      </c>
      <c r="C383" s="25" t="s">
        <v>448</v>
      </c>
      <c r="D383" s="10" t="s">
        <v>225</v>
      </c>
      <c r="E383" s="10" t="s">
        <v>64</v>
      </c>
      <c r="F383" s="651" t="s">
        <v>40</v>
      </c>
      <c r="G383" s="652" t="s">
        <v>90</v>
      </c>
      <c r="H383" s="652" t="s">
        <v>38</v>
      </c>
      <c r="I383" s="653" t="s">
        <v>270</v>
      </c>
      <c r="J383" s="10"/>
      <c r="K383" s="26">
        <f>K384</f>
        <v>110.4</v>
      </c>
      <c r="L383" s="26">
        <f>L384</f>
        <v>0</v>
      </c>
      <c r="M383" s="26">
        <f>M384</f>
        <v>110.4</v>
      </c>
      <c r="N383" s="26">
        <f>N384</f>
        <v>113.7</v>
      </c>
    </row>
    <row r="384" spans="1:14" s="147" customFormat="1" ht="54" x14ac:dyDescent="0.35">
      <c r="A384" s="11"/>
      <c r="B384" s="24" t="s">
        <v>77</v>
      </c>
      <c r="C384" s="25" t="s">
        <v>448</v>
      </c>
      <c r="D384" s="10" t="s">
        <v>225</v>
      </c>
      <c r="E384" s="10" t="s">
        <v>64</v>
      </c>
      <c r="F384" s="651" t="s">
        <v>40</v>
      </c>
      <c r="G384" s="652" t="s">
        <v>90</v>
      </c>
      <c r="H384" s="652" t="s">
        <v>38</v>
      </c>
      <c r="I384" s="653" t="s">
        <v>270</v>
      </c>
      <c r="J384" s="10" t="s">
        <v>78</v>
      </c>
      <c r="K384" s="26">
        <v>110.4</v>
      </c>
      <c r="L384" s="26">
        <f>M384-K384</f>
        <v>0</v>
      </c>
      <c r="M384" s="26">
        <v>110.4</v>
      </c>
      <c r="N384" s="26">
        <v>113.7</v>
      </c>
    </row>
    <row r="385" spans="1:14" s="147" customFormat="1" ht="115.5" customHeight="1" x14ac:dyDescent="0.35">
      <c r="A385" s="11"/>
      <c r="B385" s="24" t="s">
        <v>352</v>
      </c>
      <c r="C385" s="25" t="s">
        <v>448</v>
      </c>
      <c r="D385" s="10" t="s">
        <v>225</v>
      </c>
      <c r="E385" s="10" t="s">
        <v>64</v>
      </c>
      <c r="F385" s="651" t="s">
        <v>40</v>
      </c>
      <c r="G385" s="652" t="s">
        <v>90</v>
      </c>
      <c r="H385" s="652" t="s">
        <v>38</v>
      </c>
      <c r="I385" s="653" t="s">
        <v>271</v>
      </c>
      <c r="J385" s="10"/>
      <c r="K385" s="26">
        <f>K386</f>
        <v>10086.799999999999</v>
      </c>
      <c r="L385" s="26">
        <f>L386</f>
        <v>0</v>
      </c>
      <c r="M385" s="26">
        <f>M386</f>
        <v>10086.799999999999</v>
      </c>
      <c r="N385" s="26">
        <f>N386</f>
        <v>10086.799999999999</v>
      </c>
    </row>
    <row r="386" spans="1:14" s="147" customFormat="1" ht="54" x14ac:dyDescent="0.35">
      <c r="A386" s="11"/>
      <c r="B386" s="24" t="s">
        <v>77</v>
      </c>
      <c r="C386" s="25" t="s">
        <v>448</v>
      </c>
      <c r="D386" s="10" t="s">
        <v>225</v>
      </c>
      <c r="E386" s="10" t="s">
        <v>64</v>
      </c>
      <c r="F386" s="651" t="s">
        <v>40</v>
      </c>
      <c r="G386" s="652" t="s">
        <v>90</v>
      </c>
      <c r="H386" s="652" t="s">
        <v>38</v>
      </c>
      <c r="I386" s="653" t="s">
        <v>271</v>
      </c>
      <c r="J386" s="10" t="s">
        <v>78</v>
      </c>
      <c r="K386" s="26">
        <v>10086.799999999999</v>
      </c>
      <c r="L386" s="26">
        <f>M386-K386</f>
        <v>0</v>
      </c>
      <c r="M386" s="26">
        <v>10086.799999999999</v>
      </c>
      <c r="N386" s="26">
        <v>10086.799999999999</v>
      </c>
    </row>
    <row r="387" spans="1:14" s="147" customFormat="1" ht="55.5" customHeight="1" x14ac:dyDescent="0.35">
      <c r="A387" s="11"/>
      <c r="B387" s="24" t="s">
        <v>81</v>
      </c>
      <c r="C387" s="25" t="s">
        <v>448</v>
      </c>
      <c r="D387" s="10" t="s">
        <v>225</v>
      </c>
      <c r="E387" s="10" t="s">
        <v>64</v>
      </c>
      <c r="F387" s="651" t="s">
        <v>82</v>
      </c>
      <c r="G387" s="652" t="s">
        <v>43</v>
      </c>
      <c r="H387" s="652" t="s">
        <v>44</v>
      </c>
      <c r="I387" s="653" t="s">
        <v>45</v>
      </c>
      <c r="J387" s="10"/>
      <c r="K387" s="26">
        <f t="shared" ref="K387:M389" si="52">K388</f>
        <v>571.6</v>
      </c>
      <c r="L387" s="26">
        <f t="shared" si="52"/>
        <v>0</v>
      </c>
      <c r="M387" s="26">
        <f t="shared" si="52"/>
        <v>571.6</v>
      </c>
      <c r="N387" s="26">
        <f>N388</f>
        <v>0</v>
      </c>
    </row>
    <row r="388" spans="1:14" s="147" customFormat="1" ht="36" x14ac:dyDescent="0.35">
      <c r="A388" s="11"/>
      <c r="B388" s="24" t="s">
        <v>126</v>
      </c>
      <c r="C388" s="25" t="s">
        <v>448</v>
      </c>
      <c r="D388" s="10" t="s">
        <v>225</v>
      </c>
      <c r="E388" s="10" t="s">
        <v>64</v>
      </c>
      <c r="F388" s="651" t="s">
        <v>82</v>
      </c>
      <c r="G388" s="652" t="s">
        <v>90</v>
      </c>
      <c r="H388" s="652" t="s">
        <v>44</v>
      </c>
      <c r="I388" s="653" t="s">
        <v>45</v>
      </c>
      <c r="J388" s="10"/>
      <c r="K388" s="26">
        <f t="shared" si="52"/>
        <v>571.6</v>
      </c>
      <c r="L388" s="26">
        <f t="shared" si="52"/>
        <v>0</v>
      </c>
      <c r="M388" s="26">
        <f t="shared" si="52"/>
        <v>571.6</v>
      </c>
      <c r="N388" s="26">
        <f>N389</f>
        <v>0</v>
      </c>
    </row>
    <row r="389" spans="1:14" s="147" customFormat="1" ht="38.25" customHeight="1" x14ac:dyDescent="0.35">
      <c r="A389" s="11"/>
      <c r="B389" s="24" t="s">
        <v>272</v>
      </c>
      <c r="C389" s="25" t="s">
        <v>448</v>
      </c>
      <c r="D389" s="10" t="s">
        <v>225</v>
      </c>
      <c r="E389" s="10" t="s">
        <v>64</v>
      </c>
      <c r="F389" s="651" t="s">
        <v>82</v>
      </c>
      <c r="G389" s="652" t="s">
        <v>90</v>
      </c>
      <c r="H389" s="652" t="s">
        <v>38</v>
      </c>
      <c r="I389" s="653" t="s">
        <v>45</v>
      </c>
      <c r="J389" s="10"/>
      <c r="K389" s="26">
        <f t="shared" si="52"/>
        <v>571.6</v>
      </c>
      <c r="L389" s="26">
        <f t="shared" si="52"/>
        <v>0</v>
      </c>
      <c r="M389" s="26">
        <f t="shared" si="52"/>
        <v>571.6</v>
      </c>
      <c r="N389" s="26">
        <f>N390</f>
        <v>0</v>
      </c>
    </row>
    <row r="390" spans="1:14" s="147" customFormat="1" ht="18" x14ac:dyDescent="0.35">
      <c r="A390" s="11"/>
      <c r="B390" s="24" t="s">
        <v>452</v>
      </c>
      <c r="C390" s="25" t="s">
        <v>448</v>
      </c>
      <c r="D390" s="10" t="s">
        <v>225</v>
      </c>
      <c r="E390" s="10" t="s">
        <v>64</v>
      </c>
      <c r="F390" s="651" t="s">
        <v>82</v>
      </c>
      <c r="G390" s="652" t="s">
        <v>90</v>
      </c>
      <c r="H390" s="652" t="s">
        <v>38</v>
      </c>
      <c r="I390" s="653" t="s">
        <v>453</v>
      </c>
      <c r="J390" s="10"/>
      <c r="K390" s="26">
        <f>K391</f>
        <v>571.6</v>
      </c>
      <c r="L390" s="26">
        <f>L391</f>
        <v>0</v>
      </c>
      <c r="M390" s="26">
        <f>M391</f>
        <v>571.6</v>
      </c>
      <c r="N390" s="26">
        <f>N391</f>
        <v>0</v>
      </c>
    </row>
    <row r="391" spans="1:14" s="147" customFormat="1" ht="54" x14ac:dyDescent="0.35">
      <c r="A391" s="11"/>
      <c r="B391" s="24" t="s">
        <v>56</v>
      </c>
      <c r="C391" s="25" t="s">
        <v>448</v>
      </c>
      <c r="D391" s="10" t="s">
        <v>225</v>
      </c>
      <c r="E391" s="10" t="s">
        <v>64</v>
      </c>
      <c r="F391" s="651" t="s">
        <v>82</v>
      </c>
      <c r="G391" s="652" t="s">
        <v>90</v>
      </c>
      <c r="H391" s="652" t="s">
        <v>38</v>
      </c>
      <c r="I391" s="653" t="s">
        <v>453</v>
      </c>
      <c r="J391" s="10" t="s">
        <v>57</v>
      </c>
      <c r="K391" s="26">
        <v>571.6</v>
      </c>
      <c r="L391" s="26">
        <f>M391-K391</f>
        <v>0</v>
      </c>
      <c r="M391" s="26">
        <v>571.6</v>
      </c>
      <c r="N391" s="26">
        <v>0</v>
      </c>
    </row>
    <row r="392" spans="1:14" s="143" customFormat="1" ht="18" x14ac:dyDescent="0.35">
      <c r="A392" s="11"/>
      <c r="B392" s="24" t="s">
        <v>357</v>
      </c>
      <c r="C392" s="25" t="s">
        <v>448</v>
      </c>
      <c r="D392" s="10" t="s">
        <v>225</v>
      </c>
      <c r="E392" s="10" t="s">
        <v>225</v>
      </c>
      <c r="F392" s="651"/>
      <c r="G392" s="652"/>
      <c r="H392" s="652"/>
      <c r="I392" s="653"/>
      <c r="J392" s="10"/>
      <c r="K392" s="26">
        <f>K393</f>
        <v>7938.2999999999993</v>
      </c>
      <c r="L392" s="26">
        <f>L393</f>
        <v>0</v>
      </c>
      <c r="M392" s="26">
        <f>M393</f>
        <v>7938.2999999999993</v>
      </c>
      <c r="N392" s="26">
        <f>N393</f>
        <v>7938.2999999999993</v>
      </c>
    </row>
    <row r="393" spans="1:14" s="143" customFormat="1" ht="54" x14ac:dyDescent="0.35">
      <c r="A393" s="11"/>
      <c r="B393" s="24" t="s">
        <v>206</v>
      </c>
      <c r="C393" s="25" t="s">
        <v>448</v>
      </c>
      <c r="D393" s="10" t="s">
        <v>225</v>
      </c>
      <c r="E393" s="10" t="s">
        <v>225</v>
      </c>
      <c r="F393" s="651" t="s">
        <v>40</v>
      </c>
      <c r="G393" s="652" t="s">
        <v>43</v>
      </c>
      <c r="H393" s="652" t="s">
        <v>44</v>
      </c>
      <c r="I393" s="653" t="s">
        <v>45</v>
      </c>
      <c r="J393" s="10"/>
      <c r="K393" s="26">
        <f t="shared" ref="K393:N394" si="53">K394</f>
        <v>7938.2999999999993</v>
      </c>
      <c r="L393" s="26">
        <f t="shared" si="53"/>
        <v>0</v>
      </c>
      <c r="M393" s="26">
        <f t="shared" si="53"/>
        <v>7938.2999999999993</v>
      </c>
      <c r="N393" s="26">
        <f t="shared" si="53"/>
        <v>7938.2999999999993</v>
      </c>
    </row>
    <row r="394" spans="1:14" s="143" customFormat="1" ht="54" x14ac:dyDescent="0.35">
      <c r="A394" s="11"/>
      <c r="B394" s="24" t="s">
        <v>213</v>
      </c>
      <c r="C394" s="25" t="s">
        <v>448</v>
      </c>
      <c r="D394" s="10" t="s">
        <v>225</v>
      </c>
      <c r="E394" s="10" t="s">
        <v>225</v>
      </c>
      <c r="F394" s="651" t="s">
        <v>40</v>
      </c>
      <c r="G394" s="652" t="s">
        <v>31</v>
      </c>
      <c r="H394" s="652" t="s">
        <v>44</v>
      </c>
      <c r="I394" s="653" t="s">
        <v>45</v>
      </c>
      <c r="J394" s="10"/>
      <c r="K394" s="26">
        <f t="shared" si="53"/>
        <v>7938.2999999999993</v>
      </c>
      <c r="L394" s="26">
        <f t="shared" si="53"/>
        <v>0</v>
      </c>
      <c r="M394" s="26">
        <f t="shared" si="53"/>
        <v>7938.2999999999993</v>
      </c>
      <c r="N394" s="26">
        <f t="shared" si="53"/>
        <v>7938.2999999999993</v>
      </c>
    </row>
    <row r="395" spans="1:14" s="143" customFormat="1" ht="54" x14ac:dyDescent="0.35">
      <c r="A395" s="11"/>
      <c r="B395" s="24" t="s">
        <v>282</v>
      </c>
      <c r="C395" s="25" t="s">
        <v>448</v>
      </c>
      <c r="D395" s="10" t="s">
        <v>225</v>
      </c>
      <c r="E395" s="10" t="s">
        <v>225</v>
      </c>
      <c r="F395" s="651" t="s">
        <v>40</v>
      </c>
      <c r="G395" s="652" t="s">
        <v>31</v>
      </c>
      <c r="H395" s="652" t="s">
        <v>40</v>
      </c>
      <c r="I395" s="653" t="s">
        <v>45</v>
      </c>
      <c r="J395" s="10"/>
      <c r="K395" s="26">
        <f>K396+K398</f>
        <v>7938.2999999999993</v>
      </c>
      <c r="L395" s="26">
        <f>L396+L398</f>
        <v>0</v>
      </c>
      <c r="M395" s="26">
        <f>M396+M398</f>
        <v>7938.2999999999993</v>
      </c>
      <c r="N395" s="26">
        <f>N396+N398</f>
        <v>7938.2999999999993</v>
      </c>
    </row>
    <row r="396" spans="1:14" s="143" customFormat="1" ht="36" x14ac:dyDescent="0.35">
      <c r="A396" s="11"/>
      <c r="B396" s="24" t="s">
        <v>503</v>
      </c>
      <c r="C396" s="25" t="s">
        <v>448</v>
      </c>
      <c r="D396" s="10" t="s">
        <v>225</v>
      </c>
      <c r="E396" s="10" t="s">
        <v>225</v>
      </c>
      <c r="F396" s="651" t="s">
        <v>40</v>
      </c>
      <c r="G396" s="652" t="s">
        <v>31</v>
      </c>
      <c r="H396" s="652" t="s">
        <v>40</v>
      </c>
      <c r="I396" s="653" t="s">
        <v>502</v>
      </c>
      <c r="J396" s="10"/>
      <c r="K396" s="26">
        <f>K397</f>
        <v>1188.3999999999999</v>
      </c>
      <c r="L396" s="26">
        <f>L397</f>
        <v>0</v>
      </c>
      <c r="M396" s="26">
        <f>M397</f>
        <v>1188.3999999999999</v>
      </c>
      <c r="N396" s="26">
        <f>N397</f>
        <v>1188.3999999999999</v>
      </c>
    </row>
    <row r="397" spans="1:14" s="143" customFormat="1" ht="54" x14ac:dyDescent="0.35">
      <c r="A397" s="11"/>
      <c r="B397" s="24" t="s">
        <v>77</v>
      </c>
      <c r="C397" s="25" t="s">
        <v>448</v>
      </c>
      <c r="D397" s="10" t="s">
        <v>225</v>
      </c>
      <c r="E397" s="10" t="s">
        <v>225</v>
      </c>
      <c r="F397" s="651" t="s">
        <v>40</v>
      </c>
      <c r="G397" s="652" t="s">
        <v>31</v>
      </c>
      <c r="H397" s="652" t="s">
        <v>40</v>
      </c>
      <c r="I397" s="653" t="s">
        <v>502</v>
      </c>
      <c r="J397" s="10" t="s">
        <v>78</v>
      </c>
      <c r="K397" s="26">
        <f>524.3+591.9+72.2</f>
        <v>1188.3999999999999</v>
      </c>
      <c r="L397" s="26">
        <f>M397-K397</f>
        <v>0</v>
      </c>
      <c r="M397" s="26">
        <f>524.3+591.9+72.2</f>
        <v>1188.3999999999999</v>
      </c>
      <c r="N397" s="26">
        <f>524.3+591.9+72.2</f>
        <v>1188.3999999999999</v>
      </c>
    </row>
    <row r="398" spans="1:14" s="143" customFormat="1" ht="110.25" customHeight="1" x14ac:dyDescent="0.35">
      <c r="A398" s="11"/>
      <c r="B398" s="24" t="s">
        <v>464</v>
      </c>
      <c r="C398" s="25" t="s">
        <v>448</v>
      </c>
      <c r="D398" s="10" t="s">
        <v>225</v>
      </c>
      <c r="E398" s="10" t="s">
        <v>225</v>
      </c>
      <c r="F398" s="651" t="s">
        <v>40</v>
      </c>
      <c r="G398" s="652" t="s">
        <v>31</v>
      </c>
      <c r="H398" s="652" t="s">
        <v>40</v>
      </c>
      <c r="I398" s="653" t="s">
        <v>463</v>
      </c>
      <c r="J398" s="10"/>
      <c r="K398" s="26">
        <f>K399</f>
        <v>6749.9</v>
      </c>
      <c r="L398" s="26">
        <f>L399</f>
        <v>0</v>
      </c>
      <c r="M398" s="26">
        <f>M399</f>
        <v>6749.9</v>
      </c>
      <c r="N398" s="26">
        <f>N399</f>
        <v>6749.9</v>
      </c>
    </row>
    <row r="399" spans="1:14" s="143" customFormat="1" ht="54" x14ac:dyDescent="0.35">
      <c r="A399" s="11"/>
      <c r="B399" s="24" t="s">
        <v>77</v>
      </c>
      <c r="C399" s="25" t="s">
        <v>448</v>
      </c>
      <c r="D399" s="10" t="s">
        <v>225</v>
      </c>
      <c r="E399" s="10" t="s">
        <v>225</v>
      </c>
      <c r="F399" s="651" t="s">
        <v>40</v>
      </c>
      <c r="G399" s="652" t="s">
        <v>31</v>
      </c>
      <c r="H399" s="652" t="s">
        <v>40</v>
      </c>
      <c r="I399" s="653" t="s">
        <v>463</v>
      </c>
      <c r="J399" s="10" t="s">
        <v>78</v>
      </c>
      <c r="K399" s="26">
        <v>6749.9</v>
      </c>
      <c r="L399" s="26">
        <f>M399-K399</f>
        <v>0</v>
      </c>
      <c r="M399" s="26">
        <v>6749.9</v>
      </c>
      <c r="N399" s="26">
        <v>6749.9</v>
      </c>
    </row>
    <row r="400" spans="1:14" s="147" customFormat="1" ht="18" x14ac:dyDescent="0.35">
      <c r="A400" s="11"/>
      <c r="B400" s="24" t="s">
        <v>187</v>
      </c>
      <c r="C400" s="25" t="s">
        <v>448</v>
      </c>
      <c r="D400" s="10" t="s">
        <v>225</v>
      </c>
      <c r="E400" s="10" t="s">
        <v>80</v>
      </c>
      <c r="F400" s="651"/>
      <c r="G400" s="652"/>
      <c r="H400" s="652"/>
      <c r="I400" s="653"/>
      <c r="J400" s="10"/>
      <c r="K400" s="26">
        <f>K401</f>
        <v>41266.800000000003</v>
      </c>
      <c r="L400" s="26">
        <f>L401</f>
        <v>0</v>
      </c>
      <c r="M400" s="26">
        <f>M401</f>
        <v>41266.800000000003</v>
      </c>
      <c r="N400" s="26">
        <f>N401</f>
        <v>65271.3</v>
      </c>
    </row>
    <row r="401" spans="1:14" s="147" customFormat="1" ht="54" x14ac:dyDescent="0.35">
      <c r="A401" s="11"/>
      <c r="B401" s="24" t="s">
        <v>206</v>
      </c>
      <c r="C401" s="25" t="s">
        <v>448</v>
      </c>
      <c r="D401" s="10" t="s">
        <v>225</v>
      </c>
      <c r="E401" s="10" t="s">
        <v>80</v>
      </c>
      <c r="F401" s="651" t="s">
        <v>40</v>
      </c>
      <c r="G401" s="652" t="s">
        <v>43</v>
      </c>
      <c r="H401" s="652" t="s">
        <v>44</v>
      </c>
      <c r="I401" s="653" t="s">
        <v>45</v>
      </c>
      <c r="J401" s="10"/>
      <c r="K401" s="26">
        <f t="shared" ref="K401:N402" si="54">K402</f>
        <v>41266.800000000003</v>
      </c>
      <c r="L401" s="26">
        <f t="shared" si="54"/>
        <v>0</v>
      </c>
      <c r="M401" s="26">
        <f t="shared" si="54"/>
        <v>41266.800000000003</v>
      </c>
      <c r="N401" s="26">
        <f t="shared" si="54"/>
        <v>65271.3</v>
      </c>
    </row>
    <row r="402" spans="1:14" s="147" customFormat="1" ht="54" x14ac:dyDescent="0.35">
      <c r="A402" s="11"/>
      <c r="B402" s="24" t="s">
        <v>213</v>
      </c>
      <c r="C402" s="25" t="s">
        <v>448</v>
      </c>
      <c r="D402" s="10" t="s">
        <v>225</v>
      </c>
      <c r="E402" s="10" t="s">
        <v>80</v>
      </c>
      <c r="F402" s="651" t="s">
        <v>40</v>
      </c>
      <c r="G402" s="652" t="s">
        <v>31</v>
      </c>
      <c r="H402" s="652" t="s">
        <v>44</v>
      </c>
      <c r="I402" s="653" t="s">
        <v>45</v>
      </c>
      <c r="J402" s="10"/>
      <c r="K402" s="26">
        <f t="shared" si="54"/>
        <v>41266.800000000003</v>
      </c>
      <c r="L402" s="26">
        <f t="shared" si="54"/>
        <v>0</v>
      </c>
      <c r="M402" s="26">
        <f t="shared" si="54"/>
        <v>41266.800000000003</v>
      </c>
      <c r="N402" s="26">
        <f t="shared" si="54"/>
        <v>65271.3</v>
      </c>
    </row>
    <row r="403" spans="1:14" s="147" customFormat="1" ht="36" x14ac:dyDescent="0.35">
      <c r="A403" s="11"/>
      <c r="B403" s="24" t="s">
        <v>283</v>
      </c>
      <c r="C403" s="25" t="s">
        <v>448</v>
      </c>
      <c r="D403" s="10" t="s">
        <v>225</v>
      </c>
      <c r="E403" s="10" t="s">
        <v>80</v>
      </c>
      <c r="F403" s="651" t="s">
        <v>40</v>
      </c>
      <c r="G403" s="652" t="s">
        <v>31</v>
      </c>
      <c r="H403" s="652" t="s">
        <v>38</v>
      </c>
      <c r="I403" s="653" t="s">
        <v>45</v>
      </c>
      <c r="J403" s="10"/>
      <c r="K403" s="26">
        <f>K404+K408+K415+K413</f>
        <v>41266.800000000003</v>
      </c>
      <c r="L403" s="26">
        <f>L404+L408+L415+L413</f>
        <v>0</v>
      </c>
      <c r="M403" s="26">
        <f>M404+M408+M415+M413</f>
        <v>41266.800000000003</v>
      </c>
      <c r="N403" s="26">
        <f>N404+N408+N415+N413</f>
        <v>65271.3</v>
      </c>
    </row>
    <row r="404" spans="1:14" s="147" customFormat="1" ht="36" x14ac:dyDescent="0.35">
      <c r="A404" s="11"/>
      <c r="B404" s="24" t="s">
        <v>48</v>
      </c>
      <c r="C404" s="25" t="s">
        <v>448</v>
      </c>
      <c r="D404" s="10" t="s">
        <v>225</v>
      </c>
      <c r="E404" s="10" t="s">
        <v>80</v>
      </c>
      <c r="F404" s="651" t="s">
        <v>40</v>
      </c>
      <c r="G404" s="652" t="s">
        <v>31</v>
      </c>
      <c r="H404" s="652" t="s">
        <v>38</v>
      </c>
      <c r="I404" s="653" t="s">
        <v>49</v>
      </c>
      <c r="J404" s="10"/>
      <c r="K404" s="26">
        <f>K405+K406+K407</f>
        <v>927.8</v>
      </c>
      <c r="L404" s="26">
        <f>L405+L406+L407</f>
        <v>0</v>
      </c>
      <c r="M404" s="26">
        <f>M405+M406+M407</f>
        <v>927.8</v>
      </c>
      <c r="N404" s="26">
        <f>N405+N406+N407</f>
        <v>10582.3</v>
      </c>
    </row>
    <row r="405" spans="1:14" s="147" customFormat="1" ht="108" x14ac:dyDescent="0.35">
      <c r="A405" s="11"/>
      <c r="B405" s="24" t="s">
        <v>50</v>
      </c>
      <c r="C405" s="25" t="s">
        <v>448</v>
      </c>
      <c r="D405" s="10" t="s">
        <v>225</v>
      </c>
      <c r="E405" s="10" t="s">
        <v>80</v>
      </c>
      <c r="F405" s="651" t="s">
        <v>40</v>
      </c>
      <c r="G405" s="652" t="s">
        <v>31</v>
      </c>
      <c r="H405" s="652" t="s">
        <v>38</v>
      </c>
      <c r="I405" s="653" t="s">
        <v>49</v>
      </c>
      <c r="J405" s="10" t="s">
        <v>51</v>
      </c>
      <c r="K405" s="26">
        <f>9648.3-9648.3</f>
        <v>0</v>
      </c>
      <c r="L405" s="26">
        <f>M405-K405</f>
        <v>0</v>
      </c>
      <c r="M405" s="26">
        <f>9648.3-9648.3</f>
        <v>0</v>
      </c>
      <c r="N405" s="26">
        <v>9648.2999999999993</v>
      </c>
    </row>
    <row r="406" spans="1:14" s="147" customFormat="1" ht="54" x14ac:dyDescent="0.35">
      <c r="A406" s="11"/>
      <c r="B406" s="24" t="s">
        <v>56</v>
      </c>
      <c r="C406" s="25" t="s">
        <v>448</v>
      </c>
      <c r="D406" s="10" t="s">
        <v>225</v>
      </c>
      <c r="E406" s="10" t="s">
        <v>80</v>
      </c>
      <c r="F406" s="651" t="s">
        <v>40</v>
      </c>
      <c r="G406" s="652" t="s">
        <v>31</v>
      </c>
      <c r="H406" s="652" t="s">
        <v>38</v>
      </c>
      <c r="I406" s="653" t="s">
        <v>49</v>
      </c>
      <c r="J406" s="10" t="s">
        <v>57</v>
      </c>
      <c r="K406" s="26">
        <v>910.9</v>
      </c>
      <c r="L406" s="26">
        <f>M406-K406</f>
        <v>0</v>
      </c>
      <c r="M406" s="26">
        <v>910.9</v>
      </c>
      <c r="N406" s="26">
        <v>917.2</v>
      </c>
    </row>
    <row r="407" spans="1:14" s="147" customFormat="1" ht="18" x14ac:dyDescent="0.35">
      <c r="A407" s="11"/>
      <c r="B407" s="24" t="s">
        <v>58</v>
      </c>
      <c r="C407" s="25" t="s">
        <v>448</v>
      </c>
      <c r="D407" s="10" t="s">
        <v>225</v>
      </c>
      <c r="E407" s="10" t="s">
        <v>80</v>
      </c>
      <c r="F407" s="651" t="s">
        <v>40</v>
      </c>
      <c r="G407" s="652" t="s">
        <v>31</v>
      </c>
      <c r="H407" s="652" t="s">
        <v>38</v>
      </c>
      <c r="I407" s="653" t="s">
        <v>49</v>
      </c>
      <c r="J407" s="10" t="s">
        <v>59</v>
      </c>
      <c r="K407" s="26">
        <v>16.899999999999999</v>
      </c>
      <c r="L407" s="26">
        <f>M407-K407</f>
        <v>0</v>
      </c>
      <c r="M407" s="26">
        <v>16.899999999999999</v>
      </c>
      <c r="N407" s="26">
        <v>16.8</v>
      </c>
    </row>
    <row r="408" spans="1:14" s="147" customFormat="1" ht="36" x14ac:dyDescent="0.35">
      <c r="A408" s="11"/>
      <c r="B408" s="105" t="s">
        <v>490</v>
      </c>
      <c r="C408" s="25" t="s">
        <v>448</v>
      </c>
      <c r="D408" s="10" t="s">
        <v>225</v>
      </c>
      <c r="E408" s="10" t="s">
        <v>80</v>
      </c>
      <c r="F408" s="651" t="s">
        <v>40</v>
      </c>
      <c r="G408" s="652" t="s">
        <v>31</v>
      </c>
      <c r="H408" s="652" t="s">
        <v>38</v>
      </c>
      <c r="I408" s="653" t="s">
        <v>92</v>
      </c>
      <c r="J408" s="10"/>
      <c r="K408" s="26">
        <f>K409+K410+K412+K411</f>
        <v>33630.5</v>
      </c>
      <c r="L408" s="26">
        <f>L409+L410+L412+L411</f>
        <v>0</v>
      </c>
      <c r="M408" s="26">
        <f>M409+M410+M412+M411</f>
        <v>33630.5</v>
      </c>
      <c r="N408" s="26">
        <f>N409+N410+N412+N411</f>
        <v>47980.5</v>
      </c>
    </row>
    <row r="409" spans="1:14" s="147" customFormat="1" ht="108" x14ac:dyDescent="0.35">
      <c r="A409" s="11"/>
      <c r="B409" s="24" t="s">
        <v>50</v>
      </c>
      <c r="C409" s="25" t="s">
        <v>448</v>
      </c>
      <c r="D409" s="10" t="s">
        <v>225</v>
      </c>
      <c r="E409" s="10" t="s">
        <v>80</v>
      </c>
      <c r="F409" s="651" t="s">
        <v>40</v>
      </c>
      <c r="G409" s="652" t="s">
        <v>31</v>
      </c>
      <c r="H409" s="652" t="s">
        <v>38</v>
      </c>
      <c r="I409" s="653" t="s">
        <v>92</v>
      </c>
      <c r="J409" s="10" t="s">
        <v>51</v>
      </c>
      <c r="K409" s="26">
        <f>28006.9-28006.9+24125.5</f>
        <v>24125.5</v>
      </c>
      <c r="L409" s="26">
        <f>M409-K409</f>
        <v>0</v>
      </c>
      <c r="M409" s="26">
        <f>28006.9-28006.9+24125.5</f>
        <v>24125.5</v>
      </c>
      <c r="N409" s="26">
        <v>28006.9</v>
      </c>
    </row>
    <row r="410" spans="1:14" s="147" customFormat="1" ht="54" x14ac:dyDescent="0.35">
      <c r="A410" s="11"/>
      <c r="B410" s="24" t="s">
        <v>56</v>
      </c>
      <c r="C410" s="25" t="s">
        <v>448</v>
      </c>
      <c r="D410" s="10" t="s">
        <v>225</v>
      </c>
      <c r="E410" s="10" t="s">
        <v>80</v>
      </c>
      <c r="F410" s="651" t="s">
        <v>40</v>
      </c>
      <c r="G410" s="652" t="s">
        <v>31</v>
      </c>
      <c r="H410" s="652" t="s">
        <v>38</v>
      </c>
      <c r="I410" s="653" t="s">
        <v>92</v>
      </c>
      <c r="J410" s="10" t="s">
        <v>57</v>
      </c>
      <c r="K410" s="26">
        <v>2651.3</v>
      </c>
      <c r="L410" s="26">
        <f>M410-K410</f>
        <v>0</v>
      </c>
      <c r="M410" s="26">
        <v>2651.3</v>
      </c>
      <c r="N410" s="26">
        <v>3071.4</v>
      </c>
    </row>
    <row r="411" spans="1:14" s="147" customFormat="1" ht="54" x14ac:dyDescent="0.35">
      <c r="A411" s="11"/>
      <c r="B411" s="24" t="s">
        <v>77</v>
      </c>
      <c r="C411" s="25" t="s">
        <v>448</v>
      </c>
      <c r="D411" s="10" t="s">
        <v>225</v>
      </c>
      <c r="E411" s="10" t="s">
        <v>80</v>
      </c>
      <c r="F411" s="651" t="s">
        <v>40</v>
      </c>
      <c r="G411" s="652" t="s">
        <v>31</v>
      </c>
      <c r="H411" s="652" t="s">
        <v>38</v>
      </c>
      <c r="I411" s="653" t="s">
        <v>92</v>
      </c>
      <c r="J411" s="10" t="s">
        <v>78</v>
      </c>
      <c r="K411" s="26">
        <f>16896.7-10048.8</f>
        <v>6847.9000000000015</v>
      </c>
      <c r="L411" s="26">
        <f>M411-K411</f>
        <v>0</v>
      </c>
      <c r="M411" s="26">
        <f>16896.7-10048.8</f>
        <v>6847.9000000000015</v>
      </c>
      <c r="N411" s="26">
        <v>16896.7</v>
      </c>
    </row>
    <row r="412" spans="1:14" s="147" customFormat="1" ht="18" x14ac:dyDescent="0.35">
      <c r="A412" s="11"/>
      <c r="B412" s="24" t="s">
        <v>58</v>
      </c>
      <c r="C412" s="25" t="s">
        <v>448</v>
      </c>
      <c r="D412" s="10" t="s">
        <v>225</v>
      </c>
      <c r="E412" s="10" t="s">
        <v>80</v>
      </c>
      <c r="F412" s="651" t="s">
        <v>40</v>
      </c>
      <c r="G412" s="652" t="s">
        <v>31</v>
      </c>
      <c r="H412" s="652" t="s">
        <v>38</v>
      </c>
      <c r="I412" s="653" t="s">
        <v>92</v>
      </c>
      <c r="J412" s="10" t="s">
        <v>59</v>
      </c>
      <c r="K412" s="26">
        <v>5.8</v>
      </c>
      <c r="L412" s="26">
        <f>M412-K412</f>
        <v>0</v>
      </c>
      <c r="M412" s="26">
        <v>5.8</v>
      </c>
      <c r="N412" s="26">
        <v>5.5</v>
      </c>
    </row>
    <row r="413" spans="1:14" s="147" customFormat="1" ht="54" x14ac:dyDescent="0.35">
      <c r="A413" s="11"/>
      <c r="B413" s="24" t="s">
        <v>690</v>
      </c>
      <c r="C413" s="25" t="s">
        <v>448</v>
      </c>
      <c r="D413" s="10" t="s">
        <v>225</v>
      </c>
      <c r="E413" s="10" t="s">
        <v>80</v>
      </c>
      <c r="F413" s="651" t="s">
        <v>40</v>
      </c>
      <c r="G413" s="652" t="s">
        <v>31</v>
      </c>
      <c r="H413" s="652" t="s">
        <v>38</v>
      </c>
      <c r="I413" s="653" t="s">
        <v>689</v>
      </c>
      <c r="J413" s="10"/>
      <c r="K413" s="26">
        <f>K414</f>
        <v>518.6</v>
      </c>
      <c r="L413" s="26">
        <f>L414</f>
        <v>0</v>
      </c>
      <c r="M413" s="26">
        <f>M414</f>
        <v>518.6</v>
      </c>
      <c r="N413" s="26">
        <f>N414</f>
        <v>518.6</v>
      </c>
    </row>
    <row r="414" spans="1:14" s="147" customFormat="1" ht="54" x14ac:dyDescent="0.35">
      <c r="A414" s="11"/>
      <c r="B414" s="24" t="s">
        <v>77</v>
      </c>
      <c r="C414" s="25" t="s">
        <v>448</v>
      </c>
      <c r="D414" s="10" t="s">
        <v>225</v>
      </c>
      <c r="E414" s="10" t="s">
        <v>80</v>
      </c>
      <c r="F414" s="651" t="s">
        <v>40</v>
      </c>
      <c r="G414" s="652" t="s">
        <v>31</v>
      </c>
      <c r="H414" s="652" t="s">
        <v>38</v>
      </c>
      <c r="I414" s="653" t="s">
        <v>689</v>
      </c>
      <c r="J414" s="10" t="s">
        <v>78</v>
      </c>
      <c r="K414" s="26">
        <v>518.6</v>
      </c>
      <c r="L414" s="26">
        <f>M414-K414</f>
        <v>0</v>
      </c>
      <c r="M414" s="26">
        <v>518.6</v>
      </c>
      <c r="N414" s="26">
        <v>518.6</v>
      </c>
    </row>
    <row r="415" spans="1:14" s="147" customFormat="1" ht="108" x14ac:dyDescent="0.35">
      <c r="A415" s="11"/>
      <c r="B415" s="24" t="s">
        <v>352</v>
      </c>
      <c r="C415" s="25" t="s">
        <v>448</v>
      </c>
      <c r="D415" s="10" t="s">
        <v>225</v>
      </c>
      <c r="E415" s="10" t="s">
        <v>80</v>
      </c>
      <c r="F415" s="651" t="s">
        <v>40</v>
      </c>
      <c r="G415" s="652" t="s">
        <v>31</v>
      </c>
      <c r="H415" s="652" t="s">
        <v>38</v>
      </c>
      <c r="I415" s="653" t="s">
        <v>271</v>
      </c>
      <c r="J415" s="10"/>
      <c r="K415" s="26">
        <f>K416</f>
        <v>6189.9</v>
      </c>
      <c r="L415" s="26">
        <f>L416</f>
        <v>0</v>
      </c>
      <c r="M415" s="26">
        <f>M416</f>
        <v>6189.9</v>
      </c>
      <c r="N415" s="26">
        <f>N416</f>
        <v>6189.9</v>
      </c>
    </row>
    <row r="416" spans="1:14" s="147" customFormat="1" ht="108" x14ac:dyDescent="0.35">
      <c r="A416" s="11"/>
      <c r="B416" s="24" t="s">
        <v>50</v>
      </c>
      <c r="C416" s="25" t="s">
        <v>448</v>
      </c>
      <c r="D416" s="10" t="s">
        <v>225</v>
      </c>
      <c r="E416" s="10" t="s">
        <v>80</v>
      </c>
      <c r="F416" s="651" t="s">
        <v>40</v>
      </c>
      <c r="G416" s="652" t="s">
        <v>31</v>
      </c>
      <c r="H416" s="652" t="s">
        <v>38</v>
      </c>
      <c r="I416" s="653" t="s">
        <v>271</v>
      </c>
      <c r="J416" s="10" t="s">
        <v>51</v>
      </c>
      <c r="K416" s="26">
        <v>6189.9</v>
      </c>
      <c r="L416" s="26">
        <f>M416-K416</f>
        <v>0</v>
      </c>
      <c r="M416" s="26">
        <v>6189.9</v>
      </c>
      <c r="N416" s="26">
        <v>6189.9</v>
      </c>
    </row>
    <row r="417" spans="1:14" s="147" customFormat="1" ht="18" x14ac:dyDescent="0.35">
      <c r="A417" s="11"/>
      <c r="B417" s="29" t="s">
        <v>120</v>
      </c>
      <c r="C417" s="25" t="s">
        <v>448</v>
      </c>
      <c r="D417" s="10" t="s">
        <v>105</v>
      </c>
      <c r="E417" s="10"/>
      <c r="F417" s="651"/>
      <c r="G417" s="652"/>
      <c r="H417" s="652"/>
      <c r="I417" s="653"/>
      <c r="J417" s="10"/>
      <c r="K417" s="26">
        <f t="shared" ref="K417:N418" si="55">K418</f>
        <v>5452.5</v>
      </c>
      <c r="L417" s="26">
        <f t="shared" si="55"/>
        <v>0</v>
      </c>
      <c r="M417" s="26">
        <f t="shared" si="55"/>
        <v>5452.5</v>
      </c>
      <c r="N417" s="26">
        <f t="shared" si="55"/>
        <v>5452.5</v>
      </c>
    </row>
    <row r="418" spans="1:14" s="147" customFormat="1" ht="18" x14ac:dyDescent="0.35">
      <c r="A418" s="11"/>
      <c r="B418" s="29" t="s">
        <v>194</v>
      </c>
      <c r="C418" s="25" t="s">
        <v>448</v>
      </c>
      <c r="D418" s="10" t="s">
        <v>105</v>
      </c>
      <c r="E418" s="10" t="s">
        <v>53</v>
      </c>
      <c r="F418" s="651"/>
      <c r="G418" s="652"/>
      <c r="H418" s="652"/>
      <c r="I418" s="653"/>
      <c r="J418" s="10"/>
      <c r="K418" s="26">
        <f t="shared" si="55"/>
        <v>5452.5</v>
      </c>
      <c r="L418" s="26">
        <f t="shared" si="55"/>
        <v>0</v>
      </c>
      <c r="M418" s="26">
        <f t="shared" si="55"/>
        <v>5452.5</v>
      </c>
      <c r="N418" s="26">
        <f t="shared" si="55"/>
        <v>5452.5</v>
      </c>
    </row>
    <row r="419" spans="1:14" s="147" customFormat="1" ht="54" x14ac:dyDescent="0.35">
      <c r="A419" s="11"/>
      <c r="B419" s="24" t="s">
        <v>206</v>
      </c>
      <c r="C419" s="25" t="s">
        <v>448</v>
      </c>
      <c r="D419" s="10" t="s">
        <v>105</v>
      </c>
      <c r="E419" s="10" t="s">
        <v>53</v>
      </c>
      <c r="F419" s="651" t="s">
        <v>40</v>
      </c>
      <c r="G419" s="652" t="s">
        <v>43</v>
      </c>
      <c r="H419" s="652" t="s">
        <v>44</v>
      </c>
      <c r="I419" s="653" t="s">
        <v>45</v>
      </c>
      <c r="J419" s="10"/>
      <c r="K419" s="26">
        <f t="shared" ref="K419:N421" si="56">K420</f>
        <v>5452.5</v>
      </c>
      <c r="L419" s="26">
        <f t="shared" si="56"/>
        <v>0</v>
      </c>
      <c r="M419" s="26">
        <f t="shared" si="56"/>
        <v>5452.5</v>
      </c>
      <c r="N419" s="26">
        <f t="shared" si="56"/>
        <v>5452.5</v>
      </c>
    </row>
    <row r="420" spans="1:14" s="147" customFormat="1" ht="36" x14ac:dyDescent="0.35">
      <c r="A420" s="11"/>
      <c r="B420" s="24" t="s">
        <v>207</v>
      </c>
      <c r="C420" s="25" t="s">
        <v>448</v>
      </c>
      <c r="D420" s="10" t="s">
        <v>105</v>
      </c>
      <c r="E420" s="10" t="s">
        <v>53</v>
      </c>
      <c r="F420" s="651" t="s">
        <v>40</v>
      </c>
      <c r="G420" s="652" t="s">
        <v>46</v>
      </c>
      <c r="H420" s="652" t="s">
        <v>44</v>
      </c>
      <c r="I420" s="653" t="s">
        <v>45</v>
      </c>
      <c r="J420" s="10"/>
      <c r="K420" s="26">
        <f t="shared" si="56"/>
        <v>5452.5</v>
      </c>
      <c r="L420" s="26">
        <f t="shared" si="56"/>
        <v>0</v>
      </c>
      <c r="M420" s="26">
        <f t="shared" si="56"/>
        <v>5452.5</v>
      </c>
      <c r="N420" s="26">
        <f t="shared" si="56"/>
        <v>5452.5</v>
      </c>
    </row>
    <row r="421" spans="1:14" s="147" customFormat="1" ht="36" x14ac:dyDescent="0.35">
      <c r="A421" s="11"/>
      <c r="B421" s="24" t="s">
        <v>268</v>
      </c>
      <c r="C421" s="25" t="s">
        <v>448</v>
      </c>
      <c r="D421" s="10" t="s">
        <v>105</v>
      </c>
      <c r="E421" s="10" t="s">
        <v>53</v>
      </c>
      <c r="F421" s="651" t="s">
        <v>40</v>
      </c>
      <c r="G421" s="652" t="s">
        <v>46</v>
      </c>
      <c r="H421" s="652" t="s">
        <v>38</v>
      </c>
      <c r="I421" s="653" t="s">
        <v>45</v>
      </c>
      <c r="J421" s="10"/>
      <c r="K421" s="26">
        <f t="shared" si="56"/>
        <v>5452.5</v>
      </c>
      <c r="L421" s="26">
        <f t="shared" si="56"/>
        <v>0</v>
      </c>
      <c r="M421" s="26">
        <f t="shared" si="56"/>
        <v>5452.5</v>
      </c>
      <c r="N421" s="26">
        <f t="shared" si="56"/>
        <v>5452.5</v>
      </c>
    </row>
    <row r="422" spans="1:14" s="147" customFormat="1" ht="133.5" customHeight="1" x14ac:dyDescent="0.35">
      <c r="A422" s="11"/>
      <c r="B422" s="24" t="s">
        <v>284</v>
      </c>
      <c r="C422" s="25" t="s">
        <v>448</v>
      </c>
      <c r="D422" s="10" t="s">
        <v>105</v>
      </c>
      <c r="E422" s="10" t="s">
        <v>53</v>
      </c>
      <c r="F422" s="651" t="s">
        <v>40</v>
      </c>
      <c r="G422" s="652" t="s">
        <v>46</v>
      </c>
      <c r="H422" s="652" t="s">
        <v>38</v>
      </c>
      <c r="I422" s="653" t="s">
        <v>285</v>
      </c>
      <c r="J422" s="10"/>
      <c r="K422" s="26">
        <f>K423+K424</f>
        <v>5452.5</v>
      </c>
      <c r="L422" s="26">
        <f>L423+L424</f>
        <v>0</v>
      </c>
      <c r="M422" s="26">
        <f>M423+M424</f>
        <v>5452.5</v>
      </c>
      <c r="N422" s="26">
        <f>N423+N424</f>
        <v>5452.5</v>
      </c>
    </row>
    <row r="423" spans="1:14" s="147" customFormat="1" ht="54" x14ac:dyDescent="0.35">
      <c r="A423" s="11"/>
      <c r="B423" s="24" t="s">
        <v>56</v>
      </c>
      <c r="C423" s="25" t="s">
        <v>448</v>
      </c>
      <c r="D423" s="10" t="s">
        <v>105</v>
      </c>
      <c r="E423" s="10" t="s">
        <v>53</v>
      </c>
      <c r="F423" s="651" t="s">
        <v>40</v>
      </c>
      <c r="G423" s="652" t="s">
        <v>46</v>
      </c>
      <c r="H423" s="652" t="s">
        <v>38</v>
      </c>
      <c r="I423" s="653" t="s">
        <v>285</v>
      </c>
      <c r="J423" s="10" t="s">
        <v>57</v>
      </c>
      <c r="K423" s="26">
        <v>80.5</v>
      </c>
      <c r="L423" s="26">
        <f>M423-K423</f>
        <v>0</v>
      </c>
      <c r="M423" s="26">
        <v>80.5</v>
      </c>
      <c r="N423" s="26">
        <v>80.5</v>
      </c>
    </row>
    <row r="424" spans="1:14" s="147" customFormat="1" ht="36" x14ac:dyDescent="0.35">
      <c r="A424" s="11"/>
      <c r="B424" s="28" t="s">
        <v>121</v>
      </c>
      <c r="C424" s="25" t="s">
        <v>448</v>
      </c>
      <c r="D424" s="10" t="s">
        <v>105</v>
      </c>
      <c r="E424" s="10" t="s">
        <v>53</v>
      </c>
      <c r="F424" s="651" t="s">
        <v>40</v>
      </c>
      <c r="G424" s="652" t="s">
        <v>46</v>
      </c>
      <c r="H424" s="652" t="s">
        <v>38</v>
      </c>
      <c r="I424" s="653" t="s">
        <v>285</v>
      </c>
      <c r="J424" s="10" t="s">
        <v>122</v>
      </c>
      <c r="K424" s="26">
        <v>5372</v>
      </c>
      <c r="L424" s="26">
        <f>M424-K424</f>
        <v>0</v>
      </c>
      <c r="M424" s="26">
        <v>5372</v>
      </c>
      <c r="N424" s="26">
        <v>5372</v>
      </c>
    </row>
    <row r="425" spans="1:14" s="149" customFormat="1" ht="18" x14ac:dyDescent="0.35">
      <c r="A425" s="11"/>
      <c r="B425" s="24"/>
      <c r="C425" s="25"/>
      <c r="D425" s="10"/>
      <c r="E425" s="10"/>
      <c r="F425" s="651"/>
      <c r="G425" s="652"/>
      <c r="H425" s="652"/>
      <c r="I425" s="653"/>
      <c r="J425" s="10"/>
      <c r="K425" s="26"/>
      <c r="L425" s="26"/>
      <c r="M425" s="26"/>
      <c r="N425" s="26"/>
    </row>
    <row r="426" spans="1:14" s="143" customFormat="1" ht="52.2" x14ac:dyDescent="0.3">
      <c r="A426" s="142">
        <v>6</v>
      </c>
      <c r="B426" s="180" t="s">
        <v>9</v>
      </c>
      <c r="C426" s="19" t="s">
        <v>317</v>
      </c>
      <c r="D426" s="20"/>
      <c r="E426" s="20"/>
      <c r="F426" s="21"/>
      <c r="G426" s="22"/>
      <c r="H426" s="22"/>
      <c r="I426" s="23"/>
      <c r="J426" s="20"/>
      <c r="K426" s="40">
        <f>K434+K455+K427</f>
        <v>93411.000000000015</v>
      </c>
      <c r="L426" s="40">
        <f>L434+L455+L427</f>
        <v>0</v>
      </c>
      <c r="M426" s="40">
        <f>M434+M455+M427</f>
        <v>93411.000000000015</v>
      </c>
      <c r="N426" s="40">
        <f>N434+N455+N427</f>
        <v>102079.3</v>
      </c>
    </row>
    <row r="427" spans="1:14" s="143" customFormat="1" ht="18" x14ac:dyDescent="0.35">
      <c r="A427" s="142"/>
      <c r="B427" s="24" t="s">
        <v>37</v>
      </c>
      <c r="C427" s="25" t="s">
        <v>317</v>
      </c>
      <c r="D427" s="35" t="s">
        <v>38</v>
      </c>
      <c r="E427" s="20"/>
      <c r="F427" s="21"/>
      <c r="G427" s="22"/>
      <c r="H427" s="22"/>
      <c r="I427" s="23"/>
      <c r="J427" s="20"/>
      <c r="K427" s="254">
        <f t="shared" ref="K427:M431" si="57">K428</f>
        <v>53.3</v>
      </c>
      <c r="L427" s="254">
        <f t="shared" si="57"/>
        <v>0</v>
      </c>
      <c r="M427" s="254">
        <f t="shared" si="57"/>
        <v>53.3</v>
      </c>
      <c r="N427" s="254">
        <f>N428</f>
        <v>53.3</v>
      </c>
    </row>
    <row r="428" spans="1:14" s="143" customFormat="1" ht="18" x14ac:dyDescent="0.35">
      <c r="A428" s="142"/>
      <c r="B428" s="24" t="s">
        <v>71</v>
      </c>
      <c r="C428" s="25" t="s">
        <v>317</v>
      </c>
      <c r="D428" s="35" t="s">
        <v>38</v>
      </c>
      <c r="E428" s="35" t="s">
        <v>72</v>
      </c>
      <c r="F428" s="21"/>
      <c r="G428" s="22"/>
      <c r="H428" s="22"/>
      <c r="I428" s="23"/>
      <c r="J428" s="20"/>
      <c r="K428" s="254">
        <f t="shared" ref="K428:N429" si="58">K429</f>
        <v>53.3</v>
      </c>
      <c r="L428" s="254">
        <f t="shared" si="58"/>
        <v>0</v>
      </c>
      <c r="M428" s="254">
        <f t="shared" si="58"/>
        <v>53.3</v>
      </c>
      <c r="N428" s="254">
        <f t="shared" si="58"/>
        <v>53.3</v>
      </c>
    </row>
    <row r="429" spans="1:14" s="143" customFormat="1" ht="54" x14ac:dyDescent="0.35">
      <c r="A429" s="142"/>
      <c r="B429" s="30" t="s">
        <v>214</v>
      </c>
      <c r="C429" s="25" t="s">
        <v>317</v>
      </c>
      <c r="D429" s="35" t="s">
        <v>38</v>
      </c>
      <c r="E429" s="35" t="s">
        <v>72</v>
      </c>
      <c r="F429" s="251" t="s">
        <v>64</v>
      </c>
      <c r="G429" s="252" t="s">
        <v>43</v>
      </c>
      <c r="H429" s="252" t="s">
        <v>44</v>
      </c>
      <c r="I429" s="253" t="s">
        <v>45</v>
      </c>
      <c r="J429" s="20"/>
      <c r="K429" s="254">
        <f t="shared" si="58"/>
        <v>53.3</v>
      </c>
      <c r="L429" s="254">
        <f t="shared" si="58"/>
        <v>0</v>
      </c>
      <c r="M429" s="254">
        <f t="shared" si="58"/>
        <v>53.3</v>
      </c>
      <c r="N429" s="254">
        <f t="shared" si="58"/>
        <v>53.3</v>
      </c>
    </row>
    <row r="430" spans="1:14" s="143" customFormat="1" ht="54" x14ac:dyDescent="0.35">
      <c r="A430" s="142"/>
      <c r="B430" s="24" t="s">
        <v>217</v>
      </c>
      <c r="C430" s="25" t="s">
        <v>317</v>
      </c>
      <c r="D430" s="35" t="s">
        <v>38</v>
      </c>
      <c r="E430" s="35" t="s">
        <v>72</v>
      </c>
      <c r="F430" s="251" t="s">
        <v>64</v>
      </c>
      <c r="G430" s="252" t="s">
        <v>31</v>
      </c>
      <c r="H430" s="252" t="s">
        <v>44</v>
      </c>
      <c r="I430" s="253" t="s">
        <v>45</v>
      </c>
      <c r="J430" s="20"/>
      <c r="K430" s="254">
        <f t="shared" si="57"/>
        <v>53.3</v>
      </c>
      <c r="L430" s="254">
        <f t="shared" si="57"/>
        <v>0</v>
      </c>
      <c r="M430" s="254">
        <f t="shared" si="57"/>
        <v>53.3</v>
      </c>
      <c r="N430" s="254">
        <f>N431</f>
        <v>53.3</v>
      </c>
    </row>
    <row r="431" spans="1:14" s="143" customFormat="1" ht="36" x14ac:dyDescent="0.35">
      <c r="A431" s="142"/>
      <c r="B431" s="24" t="s">
        <v>358</v>
      </c>
      <c r="C431" s="25" t="s">
        <v>317</v>
      </c>
      <c r="D431" s="35" t="s">
        <v>38</v>
      </c>
      <c r="E431" s="35" t="s">
        <v>72</v>
      </c>
      <c r="F431" s="251" t="s">
        <v>64</v>
      </c>
      <c r="G431" s="252" t="s">
        <v>31</v>
      </c>
      <c r="H431" s="252" t="s">
        <v>40</v>
      </c>
      <c r="I431" s="253" t="s">
        <v>45</v>
      </c>
      <c r="J431" s="20"/>
      <c r="K431" s="254">
        <f t="shared" si="57"/>
        <v>53.3</v>
      </c>
      <c r="L431" s="254">
        <f t="shared" si="57"/>
        <v>0</v>
      </c>
      <c r="M431" s="254">
        <f t="shared" si="57"/>
        <v>53.3</v>
      </c>
      <c r="N431" s="254">
        <f>N432</f>
        <v>53.3</v>
      </c>
    </row>
    <row r="432" spans="1:14" s="143" customFormat="1" ht="54" x14ac:dyDescent="0.35">
      <c r="A432" s="142"/>
      <c r="B432" s="24" t="s">
        <v>359</v>
      </c>
      <c r="C432" s="25" t="s">
        <v>317</v>
      </c>
      <c r="D432" s="35" t="s">
        <v>38</v>
      </c>
      <c r="E432" s="35" t="s">
        <v>72</v>
      </c>
      <c r="F432" s="251" t="s">
        <v>64</v>
      </c>
      <c r="G432" s="252" t="s">
        <v>31</v>
      </c>
      <c r="H432" s="252" t="s">
        <v>40</v>
      </c>
      <c r="I432" s="253" t="s">
        <v>106</v>
      </c>
      <c r="J432" s="20"/>
      <c r="K432" s="254">
        <f>K433</f>
        <v>53.3</v>
      </c>
      <c r="L432" s="254">
        <f>L433</f>
        <v>0</v>
      </c>
      <c r="M432" s="254">
        <f>M433</f>
        <v>53.3</v>
      </c>
      <c r="N432" s="254">
        <f>N433</f>
        <v>53.3</v>
      </c>
    </row>
    <row r="433" spans="1:14" s="143" customFormat="1" ht="54" x14ac:dyDescent="0.35">
      <c r="A433" s="142"/>
      <c r="B433" s="24" t="s">
        <v>56</v>
      </c>
      <c r="C433" s="25" t="s">
        <v>317</v>
      </c>
      <c r="D433" s="35" t="s">
        <v>38</v>
      </c>
      <c r="E433" s="35" t="s">
        <v>72</v>
      </c>
      <c r="F433" s="251" t="s">
        <v>64</v>
      </c>
      <c r="G433" s="252" t="s">
        <v>31</v>
      </c>
      <c r="H433" s="252" t="s">
        <v>40</v>
      </c>
      <c r="I433" s="253" t="s">
        <v>106</v>
      </c>
      <c r="J433" s="35" t="s">
        <v>57</v>
      </c>
      <c r="K433" s="254">
        <v>53.3</v>
      </c>
      <c r="L433" s="26">
        <f>M433-K433</f>
        <v>0</v>
      </c>
      <c r="M433" s="254">
        <v>53.3</v>
      </c>
      <c r="N433" s="254">
        <v>53.3</v>
      </c>
    </row>
    <row r="434" spans="1:14" s="7" customFormat="1" ht="18" x14ac:dyDescent="0.35">
      <c r="A434" s="11"/>
      <c r="B434" s="30" t="s">
        <v>180</v>
      </c>
      <c r="C434" s="25" t="s">
        <v>317</v>
      </c>
      <c r="D434" s="10" t="s">
        <v>225</v>
      </c>
      <c r="E434" s="10"/>
      <c r="F434" s="651"/>
      <c r="G434" s="652"/>
      <c r="H434" s="652"/>
      <c r="I434" s="653"/>
      <c r="J434" s="10"/>
      <c r="K434" s="26">
        <f>K435+K443+K449</f>
        <v>59487.3</v>
      </c>
      <c r="L434" s="26">
        <f>L435+L443+L449</f>
        <v>0</v>
      </c>
      <c r="M434" s="26">
        <f>M435+M443+M449</f>
        <v>59487.3</v>
      </c>
      <c r="N434" s="26">
        <f>N435+N443+N449</f>
        <v>65127.9</v>
      </c>
    </row>
    <row r="435" spans="1:14" s="143" customFormat="1" ht="18" x14ac:dyDescent="0.35">
      <c r="A435" s="11"/>
      <c r="B435" s="30" t="s">
        <v>356</v>
      </c>
      <c r="C435" s="25" t="s">
        <v>317</v>
      </c>
      <c r="D435" s="10" t="s">
        <v>225</v>
      </c>
      <c r="E435" s="10" t="s">
        <v>64</v>
      </c>
      <c r="F435" s="651"/>
      <c r="G435" s="652"/>
      <c r="H435" s="652"/>
      <c r="I435" s="653"/>
      <c r="J435" s="10"/>
      <c r="K435" s="26">
        <f t="shared" ref="K435:M436" si="59">K436</f>
        <v>58973.3</v>
      </c>
      <c r="L435" s="26">
        <f t="shared" si="59"/>
        <v>0</v>
      </c>
      <c r="M435" s="26">
        <f t="shared" si="59"/>
        <v>58973.3</v>
      </c>
      <c r="N435" s="26">
        <f>N436</f>
        <v>64613.9</v>
      </c>
    </row>
    <row r="436" spans="1:14" s="143" customFormat="1" ht="54" x14ac:dyDescent="0.35">
      <c r="A436" s="11"/>
      <c r="B436" s="30" t="s">
        <v>214</v>
      </c>
      <c r="C436" s="25" t="s">
        <v>317</v>
      </c>
      <c r="D436" s="10" t="s">
        <v>225</v>
      </c>
      <c r="E436" s="10" t="s">
        <v>64</v>
      </c>
      <c r="F436" s="651" t="s">
        <v>64</v>
      </c>
      <c r="G436" s="652" t="s">
        <v>43</v>
      </c>
      <c r="H436" s="652" t="s">
        <v>44</v>
      </c>
      <c r="I436" s="653" t="s">
        <v>45</v>
      </c>
      <c r="J436" s="10"/>
      <c r="K436" s="26">
        <f t="shared" si="59"/>
        <v>58973.3</v>
      </c>
      <c r="L436" s="26">
        <f t="shared" si="59"/>
        <v>0</v>
      </c>
      <c r="M436" s="26">
        <f t="shared" si="59"/>
        <v>58973.3</v>
      </c>
      <c r="N436" s="26">
        <f>N437</f>
        <v>64613.9</v>
      </c>
    </row>
    <row r="437" spans="1:14" s="143" customFormat="1" ht="72" x14ac:dyDescent="0.35">
      <c r="A437" s="11"/>
      <c r="B437" s="30" t="s">
        <v>215</v>
      </c>
      <c r="C437" s="25" t="s">
        <v>317</v>
      </c>
      <c r="D437" s="10" t="s">
        <v>225</v>
      </c>
      <c r="E437" s="10" t="s">
        <v>64</v>
      </c>
      <c r="F437" s="651" t="s">
        <v>64</v>
      </c>
      <c r="G437" s="652" t="s">
        <v>46</v>
      </c>
      <c r="H437" s="652" t="s">
        <v>44</v>
      </c>
      <c r="I437" s="653" t="s">
        <v>45</v>
      </c>
      <c r="J437" s="10"/>
      <c r="K437" s="26">
        <f t="shared" ref="K437:N439" si="60">K438</f>
        <v>58973.3</v>
      </c>
      <c r="L437" s="26">
        <f t="shared" si="60"/>
        <v>0</v>
      </c>
      <c r="M437" s="26">
        <f t="shared" si="60"/>
        <v>58973.3</v>
      </c>
      <c r="N437" s="26">
        <f t="shared" si="60"/>
        <v>64613.9</v>
      </c>
    </row>
    <row r="438" spans="1:14" s="143" customFormat="1" ht="36" x14ac:dyDescent="0.35">
      <c r="A438" s="11"/>
      <c r="B438" s="30" t="s">
        <v>277</v>
      </c>
      <c r="C438" s="25" t="s">
        <v>317</v>
      </c>
      <c r="D438" s="10" t="s">
        <v>225</v>
      </c>
      <c r="E438" s="10" t="s">
        <v>64</v>
      </c>
      <c r="F438" s="651" t="s">
        <v>64</v>
      </c>
      <c r="G438" s="652" t="s">
        <v>46</v>
      </c>
      <c r="H438" s="652" t="s">
        <v>38</v>
      </c>
      <c r="I438" s="653" t="s">
        <v>45</v>
      </c>
      <c r="J438" s="10"/>
      <c r="K438" s="26">
        <f>K439+K441</f>
        <v>58973.3</v>
      </c>
      <c r="L438" s="26">
        <f>L439+L441</f>
        <v>0</v>
      </c>
      <c r="M438" s="26">
        <f>M439+M441</f>
        <v>58973.3</v>
      </c>
      <c r="N438" s="26">
        <f>N439+N441</f>
        <v>64613.9</v>
      </c>
    </row>
    <row r="439" spans="1:14" s="143" customFormat="1" ht="36" x14ac:dyDescent="0.35">
      <c r="A439" s="11"/>
      <c r="B439" s="105" t="s">
        <v>490</v>
      </c>
      <c r="C439" s="25" t="s">
        <v>317</v>
      </c>
      <c r="D439" s="10" t="s">
        <v>225</v>
      </c>
      <c r="E439" s="10" t="s">
        <v>64</v>
      </c>
      <c r="F439" s="651" t="s">
        <v>64</v>
      </c>
      <c r="G439" s="652" t="s">
        <v>46</v>
      </c>
      <c r="H439" s="652" t="s">
        <v>38</v>
      </c>
      <c r="I439" s="653" t="s">
        <v>92</v>
      </c>
      <c r="J439" s="10"/>
      <c r="K439" s="26">
        <f t="shared" si="60"/>
        <v>56990</v>
      </c>
      <c r="L439" s="26">
        <f t="shared" si="60"/>
        <v>0</v>
      </c>
      <c r="M439" s="26">
        <f t="shared" si="60"/>
        <v>56990</v>
      </c>
      <c r="N439" s="26">
        <f t="shared" si="60"/>
        <v>62630.6</v>
      </c>
    </row>
    <row r="440" spans="1:14" s="7" customFormat="1" ht="54" x14ac:dyDescent="0.35">
      <c r="A440" s="11"/>
      <c r="B440" s="28" t="s">
        <v>77</v>
      </c>
      <c r="C440" s="25" t="s">
        <v>317</v>
      </c>
      <c r="D440" s="10" t="s">
        <v>225</v>
      </c>
      <c r="E440" s="10" t="s">
        <v>64</v>
      </c>
      <c r="F440" s="651" t="s">
        <v>64</v>
      </c>
      <c r="G440" s="652" t="s">
        <v>46</v>
      </c>
      <c r="H440" s="652" t="s">
        <v>38</v>
      </c>
      <c r="I440" s="653" t="s">
        <v>92</v>
      </c>
      <c r="J440" s="10" t="s">
        <v>78</v>
      </c>
      <c r="K440" s="26">
        <v>56990</v>
      </c>
      <c r="L440" s="26">
        <f>M440-K440</f>
        <v>0</v>
      </c>
      <c r="M440" s="26">
        <v>56990</v>
      </c>
      <c r="N440" s="26">
        <v>62630.6</v>
      </c>
    </row>
    <row r="441" spans="1:14" s="7" customFormat="1" ht="36" x14ac:dyDescent="0.35">
      <c r="A441" s="11"/>
      <c r="B441" s="28" t="s">
        <v>318</v>
      </c>
      <c r="C441" s="25" t="s">
        <v>317</v>
      </c>
      <c r="D441" s="10" t="s">
        <v>225</v>
      </c>
      <c r="E441" s="10" t="s">
        <v>64</v>
      </c>
      <c r="F441" s="651" t="s">
        <v>64</v>
      </c>
      <c r="G441" s="652" t="s">
        <v>46</v>
      </c>
      <c r="H441" s="652" t="s">
        <v>38</v>
      </c>
      <c r="I441" s="653" t="s">
        <v>319</v>
      </c>
      <c r="J441" s="10"/>
      <c r="K441" s="26">
        <f>K442</f>
        <v>1983.3</v>
      </c>
      <c r="L441" s="26">
        <f>L442</f>
        <v>0</v>
      </c>
      <c r="M441" s="26">
        <f>M442</f>
        <v>1983.3</v>
      </c>
      <c r="N441" s="26">
        <f>N442</f>
        <v>1983.3</v>
      </c>
    </row>
    <row r="442" spans="1:14" s="7" customFormat="1" ht="54" x14ac:dyDescent="0.35">
      <c r="A442" s="11"/>
      <c r="B442" s="28" t="s">
        <v>77</v>
      </c>
      <c r="C442" s="25" t="s">
        <v>317</v>
      </c>
      <c r="D442" s="10" t="s">
        <v>225</v>
      </c>
      <c r="E442" s="10" t="s">
        <v>64</v>
      </c>
      <c r="F442" s="651" t="s">
        <v>64</v>
      </c>
      <c r="G442" s="652" t="s">
        <v>46</v>
      </c>
      <c r="H442" s="652" t="s">
        <v>38</v>
      </c>
      <c r="I442" s="653" t="s">
        <v>319</v>
      </c>
      <c r="J442" s="10" t="s">
        <v>78</v>
      </c>
      <c r="K442" s="26">
        <v>1983.3</v>
      </c>
      <c r="L442" s="26">
        <f>M442-K442</f>
        <v>0</v>
      </c>
      <c r="M442" s="26">
        <v>1983.3</v>
      </c>
      <c r="N442" s="26">
        <v>1983.3</v>
      </c>
    </row>
    <row r="443" spans="1:14" s="7" customFormat="1" ht="18" x14ac:dyDescent="0.35">
      <c r="A443" s="11"/>
      <c r="B443" s="28" t="s">
        <v>501</v>
      </c>
      <c r="C443" s="25" t="s">
        <v>317</v>
      </c>
      <c r="D443" s="10" t="s">
        <v>225</v>
      </c>
      <c r="E443" s="10" t="s">
        <v>225</v>
      </c>
      <c r="F443" s="651"/>
      <c r="G443" s="652"/>
      <c r="H443" s="652"/>
      <c r="I443" s="653"/>
      <c r="J443" s="10"/>
      <c r="K443" s="26">
        <f t="shared" ref="K443:M447" si="61">K444</f>
        <v>289</v>
      </c>
      <c r="L443" s="26">
        <f t="shared" si="61"/>
        <v>0</v>
      </c>
      <c r="M443" s="26">
        <f t="shared" si="61"/>
        <v>289</v>
      </c>
      <c r="N443" s="26">
        <f>N444</f>
        <v>289</v>
      </c>
    </row>
    <row r="444" spans="1:14" s="7" customFormat="1" ht="54" x14ac:dyDescent="0.35">
      <c r="A444" s="11"/>
      <c r="B444" s="30" t="s">
        <v>214</v>
      </c>
      <c r="C444" s="25" t="s">
        <v>317</v>
      </c>
      <c r="D444" s="10" t="s">
        <v>225</v>
      </c>
      <c r="E444" s="10" t="s">
        <v>225</v>
      </c>
      <c r="F444" s="651" t="s">
        <v>64</v>
      </c>
      <c r="G444" s="652" t="s">
        <v>43</v>
      </c>
      <c r="H444" s="652" t="s">
        <v>44</v>
      </c>
      <c r="I444" s="653" t="s">
        <v>45</v>
      </c>
      <c r="J444" s="10"/>
      <c r="K444" s="26">
        <f t="shared" si="61"/>
        <v>289</v>
      </c>
      <c r="L444" s="26">
        <f t="shared" si="61"/>
        <v>0</v>
      </c>
      <c r="M444" s="26">
        <f t="shared" si="61"/>
        <v>289</v>
      </c>
      <c r="N444" s="26">
        <f>N445</f>
        <v>289</v>
      </c>
    </row>
    <row r="445" spans="1:14" s="7" customFormat="1" ht="72" x14ac:dyDescent="0.35">
      <c r="A445" s="11"/>
      <c r="B445" s="30" t="s">
        <v>215</v>
      </c>
      <c r="C445" s="25" t="s">
        <v>317</v>
      </c>
      <c r="D445" s="10" t="s">
        <v>225</v>
      </c>
      <c r="E445" s="10" t="s">
        <v>225</v>
      </c>
      <c r="F445" s="651" t="s">
        <v>64</v>
      </c>
      <c r="G445" s="652" t="s">
        <v>46</v>
      </c>
      <c r="H445" s="652" t="s">
        <v>44</v>
      </c>
      <c r="I445" s="653" t="s">
        <v>45</v>
      </c>
      <c r="J445" s="10"/>
      <c r="K445" s="26">
        <f t="shared" si="61"/>
        <v>289</v>
      </c>
      <c r="L445" s="26">
        <f t="shared" si="61"/>
        <v>0</v>
      </c>
      <c r="M445" s="26">
        <f t="shared" si="61"/>
        <v>289</v>
      </c>
      <c r="N445" s="26">
        <f>N446</f>
        <v>289</v>
      </c>
    </row>
    <row r="446" spans="1:14" s="7" customFormat="1" ht="58.5" customHeight="1" x14ac:dyDescent="0.35">
      <c r="A446" s="11"/>
      <c r="B446" s="28" t="s">
        <v>282</v>
      </c>
      <c r="C446" s="25" t="s">
        <v>317</v>
      </c>
      <c r="D446" s="10" t="s">
        <v>225</v>
      </c>
      <c r="E446" s="10" t="s">
        <v>225</v>
      </c>
      <c r="F446" s="651" t="s">
        <v>64</v>
      </c>
      <c r="G446" s="652" t="s">
        <v>46</v>
      </c>
      <c r="H446" s="652" t="s">
        <v>66</v>
      </c>
      <c r="I446" s="653" t="s">
        <v>45</v>
      </c>
      <c r="J446" s="10"/>
      <c r="K446" s="26">
        <f t="shared" si="61"/>
        <v>289</v>
      </c>
      <c r="L446" s="26">
        <f t="shared" si="61"/>
        <v>0</v>
      </c>
      <c r="M446" s="26">
        <f t="shared" si="61"/>
        <v>289</v>
      </c>
      <c r="N446" s="26">
        <f>N447</f>
        <v>289</v>
      </c>
    </row>
    <row r="447" spans="1:14" s="7" customFormat="1" ht="36" x14ac:dyDescent="0.35">
      <c r="A447" s="11"/>
      <c r="B447" s="28" t="s">
        <v>503</v>
      </c>
      <c r="C447" s="25" t="s">
        <v>317</v>
      </c>
      <c r="D447" s="10" t="s">
        <v>225</v>
      </c>
      <c r="E447" s="10" t="s">
        <v>225</v>
      </c>
      <c r="F447" s="651" t="s">
        <v>64</v>
      </c>
      <c r="G447" s="652" t="s">
        <v>46</v>
      </c>
      <c r="H447" s="652" t="s">
        <v>66</v>
      </c>
      <c r="I447" s="653" t="s">
        <v>502</v>
      </c>
      <c r="J447" s="10"/>
      <c r="K447" s="26">
        <f t="shared" si="61"/>
        <v>289</v>
      </c>
      <c r="L447" s="26">
        <f t="shared" si="61"/>
        <v>0</v>
      </c>
      <c r="M447" s="26">
        <f t="shared" si="61"/>
        <v>289</v>
      </c>
      <c r="N447" s="26">
        <f>N448</f>
        <v>289</v>
      </c>
    </row>
    <row r="448" spans="1:14" s="7" customFormat="1" ht="54" x14ac:dyDescent="0.35">
      <c r="A448" s="11"/>
      <c r="B448" s="28" t="s">
        <v>77</v>
      </c>
      <c r="C448" s="25" t="s">
        <v>317</v>
      </c>
      <c r="D448" s="10" t="s">
        <v>225</v>
      </c>
      <c r="E448" s="10" t="s">
        <v>225</v>
      </c>
      <c r="F448" s="651" t="s">
        <v>64</v>
      </c>
      <c r="G448" s="652" t="s">
        <v>46</v>
      </c>
      <c r="H448" s="652" t="s">
        <v>66</v>
      </c>
      <c r="I448" s="653" t="s">
        <v>502</v>
      </c>
      <c r="J448" s="10" t="s">
        <v>78</v>
      </c>
      <c r="K448" s="26">
        <v>289</v>
      </c>
      <c r="L448" s="26">
        <f>M448-K448</f>
        <v>0</v>
      </c>
      <c r="M448" s="26">
        <v>289</v>
      </c>
      <c r="N448" s="26">
        <v>289</v>
      </c>
    </row>
    <row r="449" spans="1:14" s="7" customFormat="1" ht="18" x14ac:dyDescent="0.35">
      <c r="A449" s="11"/>
      <c r="B449" s="24" t="s">
        <v>187</v>
      </c>
      <c r="C449" s="25" t="s">
        <v>317</v>
      </c>
      <c r="D449" s="10" t="s">
        <v>225</v>
      </c>
      <c r="E449" s="10" t="s">
        <v>80</v>
      </c>
      <c r="F449" s="651"/>
      <c r="G449" s="652"/>
      <c r="H449" s="652"/>
      <c r="I449" s="653"/>
      <c r="J449" s="10"/>
      <c r="K449" s="26">
        <f t="shared" ref="K449:N453" si="62">K450</f>
        <v>225</v>
      </c>
      <c r="L449" s="26">
        <f t="shared" si="62"/>
        <v>0</v>
      </c>
      <c r="M449" s="26">
        <f t="shared" si="62"/>
        <v>225</v>
      </c>
      <c r="N449" s="26">
        <f t="shared" si="62"/>
        <v>225</v>
      </c>
    </row>
    <row r="450" spans="1:14" s="7" customFormat="1" ht="54" x14ac:dyDescent="0.35">
      <c r="A450" s="11"/>
      <c r="B450" s="30" t="s">
        <v>214</v>
      </c>
      <c r="C450" s="25" t="s">
        <v>317</v>
      </c>
      <c r="D450" s="10" t="s">
        <v>225</v>
      </c>
      <c r="E450" s="10" t="s">
        <v>80</v>
      </c>
      <c r="F450" s="651" t="s">
        <v>64</v>
      </c>
      <c r="G450" s="652" t="s">
        <v>43</v>
      </c>
      <c r="H450" s="652" t="s">
        <v>44</v>
      </c>
      <c r="I450" s="653" t="s">
        <v>45</v>
      </c>
      <c r="J450" s="10"/>
      <c r="K450" s="26">
        <f t="shared" si="62"/>
        <v>225</v>
      </c>
      <c r="L450" s="26">
        <f t="shared" si="62"/>
        <v>0</v>
      </c>
      <c r="M450" s="26">
        <f t="shared" si="62"/>
        <v>225</v>
      </c>
      <c r="N450" s="26">
        <f t="shared" si="62"/>
        <v>225</v>
      </c>
    </row>
    <row r="451" spans="1:14" s="7" customFormat="1" ht="72" x14ac:dyDescent="0.35">
      <c r="A451" s="11"/>
      <c r="B451" s="30" t="s">
        <v>215</v>
      </c>
      <c r="C451" s="25" t="s">
        <v>317</v>
      </c>
      <c r="D451" s="10" t="s">
        <v>225</v>
      </c>
      <c r="E451" s="10" t="s">
        <v>80</v>
      </c>
      <c r="F451" s="651" t="s">
        <v>64</v>
      </c>
      <c r="G451" s="652" t="s">
        <v>46</v>
      </c>
      <c r="H451" s="652" t="s">
        <v>44</v>
      </c>
      <c r="I451" s="653" t="s">
        <v>45</v>
      </c>
      <c r="J451" s="10"/>
      <c r="K451" s="26">
        <f t="shared" si="62"/>
        <v>225</v>
      </c>
      <c r="L451" s="26">
        <f t="shared" si="62"/>
        <v>0</v>
      </c>
      <c r="M451" s="26">
        <f t="shared" si="62"/>
        <v>225</v>
      </c>
      <c r="N451" s="26">
        <f t="shared" si="62"/>
        <v>225</v>
      </c>
    </row>
    <row r="452" spans="1:14" s="7" customFormat="1" ht="18" x14ac:dyDescent="0.35">
      <c r="A452" s="11"/>
      <c r="B452" s="28" t="s">
        <v>278</v>
      </c>
      <c r="C452" s="25" t="s">
        <v>317</v>
      </c>
      <c r="D452" s="10" t="s">
        <v>225</v>
      </c>
      <c r="E452" s="10" t="s">
        <v>80</v>
      </c>
      <c r="F452" s="651" t="s">
        <v>64</v>
      </c>
      <c r="G452" s="652" t="s">
        <v>46</v>
      </c>
      <c r="H452" s="652" t="s">
        <v>40</v>
      </c>
      <c r="I452" s="653" t="s">
        <v>45</v>
      </c>
      <c r="J452" s="10"/>
      <c r="K452" s="26">
        <f t="shared" si="62"/>
        <v>225</v>
      </c>
      <c r="L452" s="26">
        <f t="shared" si="62"/>
        <v>0</v>
      </c>
      <c r="M452" s="26">
        <f t="shared" si="62"/>
        <v>225</v>
      </c>
      <c r="N452" s="26">
        <f t="shared" si="62"/>
        <v>225</v>
      </c>
    </row>
    <row r="453" spans="1:14" s="7" customFormat="1" ht="36" x14ac:dyDescent="0.35">
      <c r="A453" s="11"/>
      <c r="B453" s="28" t="s">
        <v>212</v>
      </c>
      <c r="C453" s="25" t="s">
        <v>317</v>
      </c>
      <c r="D453" s="10" t="s">
        <v>225</v>
      </c>
      <c r="E453" s="10" t="s">
        <v>80</v>
      </c>
      <c r="F453" s="651" t="s">
        <v>64</v>
      </c>
      <c r="G453" s="652" t="s">
        <v>46</v>
      </c>
      <c r="H453" s="652" t="s">
        <v>40</v>
      </c>
      <c r="I453" s="653" t="s">
        <v>280</v>
      </c>
      <c r="J453" s="10"/>
      <c r="K453" s="26">
        <f t="shared" si="62"/>
        <v>225</v>
      </c>
      <c r="L453" s="26">
        <f t="shared" si="62"/>
        <v>0</v>
      </c>
      <c r="M453" s="26">
        <f t="shared" si="62"/>
        <v>225</v>
      </c>
      <c r="N453" s="26">
        <f t="shared" si="62"/>
        <v>225</v>
      </c>
    </row>
    <row r="454" spans="1:14" s="7" customFormat="1" ht="36" x14ac:dyDescent="0.35">
      <c r="A454" s="11"/>
      <c r="B454" s="28" t="s">
        <v>121</v>
      </c>
      <c r="C454" s="25" t="s">
        <v>317</v>
      </c>
      <c r="D454" s="10" t="s">
        <v>225</v>
      </c>
      <c r="E454" s="10" t="s">
        <v>80</v>
      </c>
      <c r="F454" s="651" t="s">
        <v>64</v>
      </c>
      <c r="G454" s="652" t="s">
        <v>46</v>
      </c>
      <c r="H454" s="652" t="s">
        <v>40</v>
      </c>
      <c r="I454" s="653" t="s">
        <v>280</v>
      </c>
      <c r="J454" s="10" t="s">
        <v>122</v>
      </c>
      <c r="K454" s="26">
        <v>225</v>
      </c>
      <c r="L454" s="26">
        <f>M454-K454</f>
        <v>0</v>
      </c>
      <c r="M454" s="26">
        <v>225</v>
      </c>
      <c r="N454" s="26">
        <v>225</v>
      </c>
    </row>
    <row r="455" spans="1:14" s="7" customFormat="1" ht="18" x14ac:dyDescent="0.35">
      <c r="A455" s="11"/>
      <c r="B455" s="24" t="s">
        <v>189</v>
      </c>
      <c r="C455" s="25" t="s">
        <v>317</v>
      </c>
      <c r="D455" s="10" t="s">
        <v>227</v>
      </c>
      <c r="E455" s="10"/>
      <c r="F455" s="651"/>
      <c r="G455" s="652"/>
      <c r="H455" s="652"/>
      <c r="I455" s="653"/>
      <c r="J455" s="10"/>
      <c r="K455" s="26">
        <f>K456+K476</f>
        <v>33870.400000000001</v>
      </c>
      <c r="L455" s="26">
        <f>L456+L476</f>
        <v>0</v>
      </c>
      <c r="M455" s="26">
        <f>M456+M476</f>
        <v>33870.400000000001</v>
      </c>
      <c r="N455" s="26">
        <f>N456+N476</f>
        <v>36898.1</v>
      </c>
    </row>
    <row r="456" spans="1:14" s="7" customFormat="1" ht="18" x14ac:dyDescent="0.35">
      <c r="A456" s="11"/>
      <c r="B456" s="24" t="s">
        <v>191</v>
      </c>
      <c r="C456" s="25" t="s">
        <v>317</v>
      </c>
      <c r="D456" s="10" t="s">
        <v>227</v>
      </c>
      <c r="E456" s="10" t="s">
        <v>38</v>
      </c>
      <c r="F456" s="651"/>
      <c r="G456" s="652"/>
      <c r="H456" s="652"/>
      <c r="I456" s="653"/>
      <c r="J456" s="10"/>
      <c r="K456" s="26">
        <f>K457</f>
        <v>24617.300000000003</v>
      </c>
      <c r="L456" s="26">
        <f>L457</f>
        <v>0</v>
      </c>
      <c r="M456" s="26">
        <f>M457</f>
        <v>24617.300000000003</v>
      </c>
      <c r="N456" s="26">
        <f>N457</f>
        <v>26988.1</v>
      </c>
    </row>
    <row r="457" spans="1:14" s="7" customFormat="1" ht="54" x14ac:dyDescent="0.35">
      <c r="A457" s="11"/>
      <c r="B457" s="30" t="s">
        <v>214</v>
      </c>
      <c r="C457" s="25" t="s">
        <v>317</v>
      </c>
      <c r="D457" s="10" t="s">
        <v>227</v>
      </c>
      <c r="E457" s="10" t="s">
        <v>38</v>
      </c>
      <c r="F457" s="651" t="s">
        <v>64</v>
      </c>
      <c r="G457" s="652" t="s">
        <v>43</v>
      </c>
      <c r="H457" s="652" t="s">
        <v>44</v>
      </c>
      <c r="I457" s="653" t="s">
        <v>45</v>
      </c>
      <c r="J457" s="10"/>
      <c r="K457" s="26">
        <f>K458+K469</f>
        <v>24617.300000000003</v>
      </c>
      <c r="L457" s="26">
        <f>L458+L469</f>
        <v>0</v>
      </c>
      <c r="M457" s="26">
        <f>M458+M469</f>
        <v>24617.300000000003</v>
      </c>
      <c r="N457" s="26">
        <f>N458+N469</f>
        <v>26988.1</v>
      </c>
    </row>
    <row r="458" spans="1:14" s="7" customFormat="1" ht="72" x14ac:dyDescent="0.35">
      <c r="A458" s="11"/>
      <c r="B458" s="30" t="s">
        <v>215</v>
      </c>
      <c r="C458" s="25" t="s">
        <v>317</v>
      </c>
      <c r="D458" s="10" t="s">
        <v>227</v>
      </c>
      <c r="E458" s="10" t="s">
        <v>38</v>
      </c>
      <c r="F458" s="34" t="s">
        <v>64</v>
      </c>
      <c r="G458" s="117" t="s">
        <v>46</v>
      </c>
      <c r="H458" s="117" t="s">
        <v>44</v>
      </c>
      <c r="I458" s="118" t="s">
        <v>45</v>
      </c>
      <c r="J458" s="119"/>
      <c r="K458" s="26">
        <f>K459+K462</f>
        <v>24267.800000000003</v>
      </c>
      <c r="L458" s="26">
        <f>L459+L462</f>
        <v>0</v>
      </c>
      <c r="M458" s="26">
        <f>M459+M462</f>
        <v>24267.800000000003</v>
      </c>
      <c r="N458" s="26">
        <f>N459+N462</f>
        <v>26638.6</v>
      </c>
    </row>
    <row r="459" spans="1:14" s="7" customFormat="1" ht="18" x14ac:dyDescent="0.35">
      <c r="A459" s="11"/>
      <c r="B459" s="24" t="s">
        <v>320</v>
      </c>
      <c r="C459" s="25" t="s">
        <v>317</v>
      </c>
      <c r="D459" s="10" t="s">
        <v>227</v>
      </c>
      <c r="E459" s="10" t="s">
        <v>38</v>
      </c>
      <c r="F459" s="34" t="s">
        <v>64</v>
      </c>
      <c r="G459" s="117" t="s">
        <v>46</v>
      </c>
      <c r="H459" s="117" t="s">
        <v>64</v>
      </c>
      <c r="I459" s="118" t="s">
        <v>45</v>
      </c>
      <c r="J459" s="119"/>
      <c r="K459" s="26">
        <f t="shared" ref="K459:N460" si="63">K460</f>
        <v>11243.5</v>
      </c>
      <c r="L459" s="26">
        <f t="shared" si="63"/>
        <v>0</v>
      </c>
      <c r="M459" s="26">
        <f t="shared" si="63"/>
        <v>11243.5</v>
      </c>
      <c r="N459" s="26">
        <f t="shared" si="63"/>
        <v>12367.9</v>
      </c>
    </row>
    <row r="460" spans="1:14" s="7" customFormat="1" ht="41.25" customHeight="1" x14ac:dyDescent="0.35">
      <c r="A460" s="11"/>
      <c r="B460" s="105" t="s">
        <v>490</v>
      </c>
      <c r="C460" s="25" t="s">
        <v>317</v>
      </c>
      <c r="D460" s="10" t="s">
        <v>227</v>
      </c>
      <c r="E460" s="10" t="s">
        <v>38</v>
      </c>
      <c r="F460" s="34" t="s">
        <v>64</v>
      </c>
      <c r="G460" s="117" t="s">
        <v>46</v>
      </c>
      <c r="H460" s="117" t="s">
        <v>64</v>
      </c>
      <c r="I460" s="118" t="s">
        <v>92</v>
      </c>
      <c r="J460" s="119"/>
      <c r="K460" s="26">
        <f t="shared" si="63"/>
        <v>11243.5</v>
      </c>
      <c r="L460" s="26">
        <f t="shared" si="63"/>
        <v>0</v>
      </c>
      <c r="M460" s="26">
        <f t="shared" si="63"/>
        <v>11243.5</v>
      </c>
      <c r="N460" s="26">
        <f t="shared" si="63"/>
        <v>12367.9</v>
      </c>
    </row>
    <row r="461" spans="1:14" s="7" customFormat="1" ht="54" x14ac:dyDescent="0.35">
      <c r="A461" s="11"/>
      <c r="B461" s="28" t="s">
        <v>77</v>
      </c>
      <c r="C461" s="25" t="s">
        <v>317</v>
      </c>
      <c r="D461" s="10" t="s">
        <v>227</v>
      </c>
      <c r="E461" s="10" t="s">
        <v>38</v>
      </c>
      <c r="F461" s="651" t="s">
        <v>64</v>
      </c>
      <c r="G461" s="652" t="s">
        <v>46</v>
      </c>
      <c r="H461" s="652" t="s">
        <v>64</v>
      </c>
      <c r="I461" s="653" t="s">
        <v>92</v>
      </c>
      <c r="J461" s="10" t="s">
        <v>78</v>
      </c>
      <c r="K461" s="26">
        <v>11243.5</v>
      </c>
      <c r="L461" s="26">
        <f>M461-K461</f>
        <v>0</v>
      </c>
      <c r="M461" s="26">
        <v>11243.5</v>
      </c>
      <c r="N461" s="26">
        <v>12367.9</v>
      </c>
    </row>
    <row r="462" spans="1:14" s="7" customFormat="1" ht="36" x14ac:dyDescent="0.35">
      <c r="A462" s="11"/>
      <c r="B462" s="28" t="s">
        <v>322</v>
      </c>
      <c r="C462" s="25" t="s">
        <v>317</v>
      </c>
      <c r="D462" s="10" t="s">
        <v>227</v>
      </c>
      <c r="E462" s="10" t="s">
        <v>38</v>
      </c>
      <c r="F462" s="34" t="s">
        <v>64</v>
      </c>
      <c r="G462" s="117" t="s">
        <v>46</v>
      </c>
      <c r="H462" s="117" t="s">
        <v>53</v>
      </c>
      <c r="I462" s="653" t="s">
        <v>45</v>
      </c>
      <c r="J462" s="10"/>
      <c r="K462" s="26">
        <f>K463+K467</f>
        <v>13024.300000000001</v>
      </c>
      <c r="L462" s="26">
        <f>L463+L467</f>
        <v>0</v>
      </c>
      <c r="M462" s="26">
        <f>M463+M467</f>
        <v>13024.300000000001</v>
      </c>
      <c r="N462" s="26">
        <f>N463+N467</f>
        <v>14270.7</v>
      </c>
    </row>
    <row r="463" spans="1:14" s="7" customFormat="1" ht="37.5" customHeight="1" x14ac:dyDescent="0.35">
      <c r="A463" s="11"/>
      <c r="B463" s="105" t="s">
        <v>490</v>
      </c>
      <c r="C463" s="25" t="s">
        <v>317</v>
      </c>
      <c r="D463" s="10" t="s">
        <v>227</v>
      </c>
      <c r="E463" s="10" t="s">
        <v>38</v>
      </c>
      <c r="F463" s="34" t="s">
        <v>64</v>
      </c>
      <c r="G463" s="117" t="s">
        <v>46</v>
      </c>
      <c r="H463" s="117" t="s">
        <v>53</v>
      </c>
      <c r="I463" s="118" t="s">
        <v>92</v>
      </c>
      <c r="J463" s="119"/>
      <c r="K463" s="26">
        <f>K464+K465+K466</f>
        <v>11046.500000000002</v>
      </c>
      <c r="L463" s="26">
        <f>L464+L465+L466</f>
        <v>0</v>
      </c>
      <c r="M463" s="26">
        <f>M464+M465+M466</f>
        <v>11046.500000000002</v>
      </c>
      <c r="N463" s="26">
        <f>N464+N465+N466</f>
        <v>14270.7</v>
      </c>
    </row>
    <row r="464" spans="1:14" s="7" customFormat="1" ht="108" x14ac:dyDescent="0.35">
      <c r="A464" s="11"/>
      <c r="B464" s="24" t="s">
        <v>50</v>
      </c>
      <c r="C464" s="25" t="s">
        <v>317</v>
      </c>
      <c r="D464" s="10" t="s">
        <v>227</v>
      </c>
      <c r="E464" s="10" t="s">
        <v>38</v>
      </c>
      <c r="F464" s="651" t="s">
        <v>64</v>
      </c>
      <c r="G464" s="652" t="s">
        <v>46</v>
      </c>
      <c r="H464" s="652" t="s">
        <v>53</v>
      </c>
      <c r="I464" s="653" t="s">
        <v>92</v>
      </c>
      <c r="J464" s="10" t="s">
        <v>51</v>
      </c>
      <c r="K464" s="26">
        <f>11895.6-1977.8</f>
        <v>9917.8000000000011</v>
      </c>
      <c r="L464" s="26">
        <f t="shared" ref="L464:L469" si="64">M464-K464</f>
        <v>0</v>
      </c>
      <c r="M464" s="26">
        <f>11895.6-1977.8</f>
        <v>9917.8000000000011</v>
      </c>
      <c r="N464" s="26">
        <v>11895.6</v>
      </c>
    </row>
    <row r="465" spans="1:14" s="7" customFormat="1" ht="54" x14ac:dyDescent="0.35">
      <c r="A465" s="11"/>
      <c r="B465" s="24" t="s">
        <v>56</v>
      </c>
      <c r="C465" s="25" t="s">
        <v>317</v>
      </c>
      <c r="D465" s="10" t="s">
        <v>227</v>
      </c>
      <c r="E465" s="10" t="s">
        <v>38</v>
      </c>
      <c r="F465" s="651" t="s">
        <v>64</v>
      </c>
      <c r="G465" s="652" t="s">
        <v>46</v>
      </c>
      <c r="H465" s="652" t="s">
        <v>53</v>
      </c>
      <c r="I465" s="653" t="s">
        <v>92</v>
      </c>
      <c r="J465" s="10" t="s">
        <v>57</v>
      </c>
      <c r="K465" s="26">
        <v>1081.7</v>
      </c>
      <c r="L465" s="26">
        <f t="shared" si="64"/>
        <v>0</v>
      </c>
      <c r="M465" s="26">
        <v>1081.7</v>
      </c>
      <c r="N465" s="26">
        <f>2328.1</f>
        <v>2328.1</v>
      </c>
    </row>
    <row r="466" spans="1:14" s="7" customFormat="1" ht="18" x14ac:dyDescent="0.35">
      <c r="A466" s="11"/>
      <c r="B466" s="24" t="s">
        <v>58</v>
      </c>
      <c r="C466" s="25" t="s">
        <v>317</v>
      </c>
      <c r="D466" s="10" t="s">
        <v>227</v>
      </c>
      <c r="E466" s="10" t="s">
        <v>38</v>
      </c>
      <c r="F466" s="651" t="s">
        <v>64</v>
      </c>
      <c r="G466" s="652" t="s">
        <v>46</v>
      </c>
      <c r="H466" s="652" t="s">
        <v>53</v>
      </c>
      <c r="I466" s="653" t="s">
        <v>92</v>
      </c>
      <c r="J466" s="10" t="s">
        <v>59</v>
      </c>
      <c r="K466" s="26">
        <v>47</v>
      </c>
      <c r="L466" s="26">
        <f t="shared" si="64"/>
        <v>0</v>
      </c>
      <c r="M466" s="26">
        <v>47</v>
      </c>
      <c r="N466" s="26">
        <v>47</v>
      </c>
    </row>
    <row r="467" spans="1:14" s="7" customFormat="1" ht="18" x14ac:dyDescent="0.35">
      <c r="A467" s="11"/>
      <c r="B467" s="24" t="s">
        <v>491</v>
      </c>
      <c r="C467" s="25" t="s">
        <v>317</v>
      </c>
      <c r="D467" s="10" t="s">
        <v>227</v>
      </c>
      <c r="E467" s="10" t="s">
        <v>38</v>
      </c>
      <c r="F467" s="651" t="s">
        <v>64</v>
      </c>
      <c r="G467" s="652" t="s">
        <v>46</v>
      </c>
      <c r="H467" s="652" t="s">
        <v>53</v>
      </c>
      <c r="I467" s="653" t="s">
        <v>394</v>
      </c>
      <c r="J467" s="10"/>
      <c r="K467" s="26">
        <f>K468</f>
        <v>1977.8</v>
      </c>
      <c r="L467" s="26">
        <f t="shared" si="64"/>
        <v>0</v>
      </c>
      <c r="M467" s="26">
        <f>M468</f>
        <v>1977.8</v>
      </c>
      <c r="N467" s="26">
        <f>N468</f>
        <v>0</v>
      </c>
    </row>
    <row r="468" spans="1:14" s="7" customFormat="1" ht="54" x14ac:dyDescent="0.35">
      <c r="A468" s="11"/>
      <c r="B468" s="24" t="s">
        <v>56</v>
      </c>
      <c r="C468" s="25" t="s">
        <v>317</v>
      </c>
      <c r="D468" s="10" t="s">
        <v>227</v>
      </c>
      <c r="E468" s="10" t="s">
        <v>38</v>
      </c>
      <c r="F468" s="651" t="s">
        <v>64</v>
      </c>
      <c r="G468" s="652" t="s">
        <v>46</v>
      </c>
      <c r="H468" s="652" t="s">
        <v>53</v>
      </c>
      <c r="I468" s="653" t="s">
        <v>394</v>
      </c>
      <c r="J468" s="10" t="s">
        <v>57</v>
      </c>
      <c r="K468" s="26">
        <v>1977.8</v>
      </c>
      <c r="L468" s="26">
        <f t="shared" si="64"/>
        <v>0</v>
      </c>
      <c r="M468" s="26">
        <v>1977.8</v>
      </c>
      <c r="N468" s="26">
        <v>0</v>
      </c>
    </row>
    <row r="469" spans="1:14" s="7" customFormat="1" ht="54" x14ac:dyDescent="0.35">
      <c r="A469" s="11"/>
      <c r="B469" s="24" t="s">
        <v>330</v>
      </c>
      <c r="C469" s="25" t="s">
        <v>317</v>
      </c>
      <c r="D469" s="10" t="s">
        <v>227</v>
      </c>
      <c r="E469" s="10" t="s">
        <v>38</v>
      </c>
      <c r="F469" s="34" t="s">
        <v>64</v>
      </c>
      <c r="G469" s="117" t="s">
        <v>90</v>
      </c>
      <c r="H469" s="117" t="s">
        <v>44</v>
      </c>
      <c r="I469" s="653" t="s">
        <v>45</v>
      </c>
      <c r="J469" s="10"/>
      <c r="K469" s="26">
        <f>K470</f>
        <v>349.5</v>
      </c>
      <c r="L469" s="26">
        <f t="shared" si="64"/>
        <v>0</v>
      </c>
      <c r="M469" s="26">
        <f>M470</f>
        <v>349.5</v>
      </c>
      <c r="N469" s="26">
        <f>N470</f>
        <v>349.5</v>
      </c>
    </row>
    <row r="470" spans="1:14" s="7" customFormat="1" ht="96.75" customHeight="1" x14ac:dyDescent="0.35">
      <c r="A470" s="11"/>
      <c r="B470" s="28" t="s">
        <v>323</v>
      </c>
      <c r="C470" s="25" t="s">
        <v>317</v>
      </c>
      <c r="D470" s="10" t="s">
        <v>227</v>
      </c>
      <c r="E470" s="10" t="s">
        <v>38</v>
      </c>
      <c r="F470" s="34" t="s">
        <v>64</v>
      </c>
      <c r="G470" s="117" t="s">
        <v>90</v>
      </c>
      <c r="H470" s="117" t="s">
        <v>64</v>
      </c>
      <c r="I470" s="653" t="s">
        <v>45</v>
      </c>
      <c r="J470" s="10"/>
      <c r="K470" s="26">
        <f>K474+K471</f>
        <v>349.5</v>
      </c>
      <c r="L470" s="26">
        <f>L474+L471</f>
        <v>0</v>
      </c>
      <c r="M470" s="26">
        <f>M474+M471</f>
        <v>349.5</v>
      </c>
      <c r="N470" s="26">
        <f>N474+N471</f>
        <v>349.5</v>
      </c>
    </row>
    <row r="471" spans="1:14" s="7" customFormat="1" ht="40.5" customHeight="1" x14ac:dyDescent="0.35">
      <c r="A471" s="11"/>
      <c r="B471" s="28" t="s">
        <v>318</v>
      </c>
      <c r="C471" s="25" t="s">
        <v>317</v>
      </c>
      <c r="D471" s="10" t="s">
        <v>227</v>
      </c>
      <c r="E471" s="10" t="s">
        <v>38</v>
      </c>
      <c r="F471" s="34" t="s">
        <v>64</v>
      </c>
      <c r="G471" s="117" t="s">
        <v>90</v>
      </c>
      <c r="H471" s="117" t="s">
        <v>64</v>
      </c>
      <c r="I471" s="653" t="s">
        <v>319</v>
      </c>
      <c r="J471" s="10"/>
      <c r="K471" s="26">
        <f>K472+K473</f>
        <v>307.39999999999998</v>
      </c>
      <c r="L471" s="26">
        <f>L472+L473</f>
        <v>0</v>
      </c>
      <c r="M471" s="26">
        <f>M472+M473</f>
        <v>307.39999999999998</v>
      </c>
      <c r="N471" s="26">
        <f>N472+N473</f>
        <v>307.39999999999998</v>
      </c>
    </row>
    <row r="472" spans="1:14" s="7" customFormat="1" ht="54" x14ac:dyDescent="0.35">
      <c r="A472" s="11"/>
      <c r="B472" s="24" t="s">
        <v>56</v>
      </c>
      <c r="C472" s="25" t="s">
        <v>317</v>
      </c>
      <c r="D472" s="10" t="s">
        <v>227</v>
      </c>
      <c r="E472" s="10" t="s">
        <v>38</v>
      </c>
      <c r="F472" s="34" t="s">
        <v>64</v>
      </c>
      <c r="G472" s="117" t="s">
        <v>90</v>
      </c>
      <c r="H472" s="117" t="s">
        <v>64</v>
      </c>
      <c r="I472" s="653" t="s">
        <v>319</v>
      </c>
      <c r="J472" s="10" t="s">
        <v>57</v>
      </c>
      <c r="K472" s="26">
        <v>289.5</v>
      </c>
      <c r="L472" s="26">
        <f>M472-K472</f>
        <v>0</v>
      </c>
      <c r="M472" s="26">
        <v>289.5</v>
      </c>
      <c r="N472" s="26">
        <v>289.5</v>
      </c>
    </row>
    <row r="473" spans="1:14" s="7" customFormat="1" ht="57" customHeight="1" x14ac:dyDescent="0.35">
      <c r="A473" s="11"/>
      <c r="B473" s="28" t="s">
        <v>77</v>
      </c>
      <c r="C473" s="25" t="s">
        <v>317</v>
      </c>
      <c r="D473" s="10" t="s">
        <v>227</v>
      </c>
      <c r="E473" s="10" t="s">
        <v>38</v>
      </c>
      <c r="F473" s="34" t="s">
        <v>64</v>
      </c>
      <c r="G473" s="117" t="s">
        <v>90</v>
      </c>
      <c r="H473" s="117" t="s">
        <v>64</v>
      </c>
      <c r="I473" s="653" t="s">
        <v>319</v>
      </c>
      <c r="J473" s="10" t="s">
        <v>78</v>
      </c>
      <c r="K473" s="26">
        <v>17.899999999999999</v>
      </c>
      <c r="L473" s="26">
        <f>M473-K473</f>
        <v>0</v>
      </c>
      <c r="M473" s="26">
        <v>17.899999999999999</v>
      </c>
      <c r="N473" s="26">
        <v>17.899999999999999</v>
      </c>
    </row>
    <row r="474" spans="1:14" s="7" customFormat="1" ht="54" x14ac:dyDescent="0.35">
      <c r="A474" s="11"/>
      <c r="B474" s="28" t="s">
        <v>433</v>
      </c>
      <c r="C474" s="25" t="s">
        <v>317</v>
      </c>
      <c r="D474" s="10" t="s">
        <v>227</v>
      </c>
      <c r="E474" s="10" t="s">
        <v>38</v>
      </c>
      <c r="F474" s="651" t="s">
        <v>64</v>
      </c>
      <c r="G474" s="652" t="s">
        <v>90</v>
      </c>
      <c r="H474" s="652" t="s">
        <v>64</v>
      </c>
      <c r="I474" s="653" t="s">
        <v>434</v>
      </c>
      <c r="J474" s="10"/>
      <c r="K474" s="26">
        <f>K475</f>
        <v>42.1</v>
      </c>
      <c r="L474" s="26">
        <f>L475</f>
        <v>0</v>
      </c>
      <c r="M474" s="26">
        <f>M475</f>
        <v>42.1</v>
      </c>
      <c r="N474" s="26">
        <f>N475</f>
        <v>42.1</v>
      </c>
    </row>
    <row r="475" spans="1:14" s="7" customFormat="1" ht="54" x14ac:dyDescent="0.35">
      <c r="A475" s="11"/>
      <c r="B475" s="28" t="s">
        <v>77</v>
      </c>
      <c r="C475" s="25" t="s">
        <v>317</v>
      </c>
      <c r="D475" s="10" t="s">
        <v>227</v>
      </c>
      <c r="E475" s="10" t="s">
        <v>38</v>
      </c>
      <c r="F475" s="651" t="s">
        <v>64</v>
      </c>
      <c r="G475" s="652" t="s">
        <v>90</v>
      </c>
      <c r="H475" s="652" t="s">
        <v>64</v>
      </c>
      <c r="I475" s="653" t="s">
        <v>434</v>
      </c>
      <c r="J475" s="10" t="s">
        <v>78</v>
      </c>
      <c r="K475" s="26">
        <v>42.1</v>
      </c>
      <c r="L475" s="26">
        <f>M475-K475</f>
        <v>0</v>
      </c>
      <c r="M475" s="26">
        <v>42.1</v>
      </c>
      <c r="N475" s="26">
        <f>2.1+40</f>
        <v>42.1</v>
      </c>
    </row>
    <row r="476" spans="1:14" s="7" customFormat="1" ht="36" x14ac:dyDescent="0.35">
      <c r="A476" s="11"/>
      <c r="B476" s="24" t="s">
        <v>324</v>
      </c>
      <c r="C476" s="25" t="s">
        <v>317</v>
      </c>
      <c r="D476" s="10" t="s">
        <v>227</v>
      </c>
      <c r="E476" s="10" t="s">
        <v>53</v>
      </c>
      <c r="F476" s="34"/>
      <c r="G476" s="117"/>
      <c r="H476" s="117"/>
      <c r="I476" s="118"/>
      <c r="J476" s="119"/>
      <c r="K476" s="26">
        <f t="shared" ref="K476:N478" si="65">K477</f>
        <v>9253.1</v>
      </c>
      <c r="L476" s="26">
        <f t="shared" si="65"/>
        <v>0</v>
      </c>
      <c r="M476" s="26">
        <f t="shared" si="65"/>
        <v>9253.1</v>
      </c>
      <c r="N476" s="26">
        <f t="shared" si="65"/>
        <v>9910</v>
      </c>
    </row>
    <row r="477" spans="1:14" s="7" customFormat="1" ht="54" x14ac:dyDescent="0.35">
      <c r="A477" s="11"/>
      <c r="B477" s="30" t="s">
        <v>214</v>
      </c>
      <c r="C477" s="25" t="s">
        <v>317</v>
      </c>
      <c r="D477" s="10" t="s">
        <v>227</v>
      </c>
      <c r="E477" s="10" t="s">
        <v>53</v>
      </c>
      <c r="F477" s="34" t="s">
        <v>64</v>
      </c>
      <c r="G477" s="117" t="s">
        <v>43</v>
      </c>
      <c r="H477" s="117" t="s">
        <v>44</v>
      </c>
      <c r="I477" s="118" t="s">
        <v>45</v>
      </c>
      <c r="J477" s="119"/>
      <c r="K477" s="26">
        <f t="shared" si="65"/>
        <v>9253.1</v>
      </c>
      <c r="L477" s="26">
        <f t="shared" si="65"/>
        <v>0</v>
      </c>
      <c r="M477" s="26">
        <f t="shared" si="65"/>
        <v>9253.1</v>
      </c>
      <c r="N477" s="26">
        <f t="shared" si="65"/>
        <v>9910</v>
      </c>
    </row>
    <row r="478" spans="1:14" s="7" customFormat="1" ht="54" x14ac:dyDescent="0.35">
      <c r="A478" s="11"/>
      <c r="B478" s="24" t="s">
        <v>217</v>
      </c>
      <c r="C478" s="25" t="s">
        <v>317</v>
      </c>
      <c r="D478" s="10" t="s">
        <v>227</v>
      </c>
      <c r="E478" s="10" t="s">
        <v>53</v>
      </c>
      <c r="F478" s="651" t="s">
        <v>64</v>
      </c>
      <c r="G478" s="652" t="s">
        <v>31</v>
      </c>
      <c r="H478" s="652" t="s">
        <v>44</v>
      </c>
      <c r="I478" s="653" t="s">
        <v>45</v>
      </c>
      <c r="J478" s="10"/>
      <c r="K478" s="26">
        <f t="shared" si="65"/>
        <v>9253.1</v>
      </c>
      <c r="L478" s="26">
        <f t="shared" si="65"/>
        <v>0</v>
      </c>
      <c r="M478" s="26">
        <f t="shared" si="65"/>
        <v>9253.1</v>
      </c>
      <c r="N478" s="26">
        <f t="shared" si="65"/>
        <v>9910</v>
      </c>
    </row>
    <row r="479" spans="1:14" s="7" customFormat="1" ht="36" x14ac:dyDescent="0.35">
      <c r="A479" s="11"/>
      <c r="B479" s="24" t="s">
        <v>283</v>
      </c>
      <c r="C479" s="25" t="s">
        <v>317</v>
      </c>
      <c r="D479" s="10" t="s">
        <v>227</v>
      </c>
      <c r="E479" s="10" t="s">
        <v>53</v>
      </c>
      <c r="F479" s="651" t="s">
        <v>64</v>
      </c>
      <c r="G479" s="652" t="s">
        <v>31</v>
      </c>
      <c r="H479" s="652" t="s">
        <v>38</v>
      </c>
      <c r="I479" s="653" t="s">
        <v>45</v>
      </c>
      <c r="J479" s="10"/>
      <c r="K479" s="26">
        <f>K480+K484</f>
        <v>9253.1</v>
      </c>
      <c r="L479" s="26">
        <f>L480+L484</f>
        <v>0</v>
      </c>
      <c r="M479" s="26">
        <f>M480+M484</f>
        <v>9253.1</v>
      </c>
      <c r="N479" s="26">
        <f>N480+N484</f>
        <v>9910</v>
      </c>
    </row>
    <row r="480" spans="1:14" s="7" customFormat="1" ht="36" x14ac:dyDescent="0.35">
      <c r="A480" s="11"/>
      <c r="B480" s="24" t="s">
        <v>48</v>
      </c>
      <c r="C480" s="25" t="s">
        <v>317</v>
      </c>
      <c r="D480" s="10" t="s">
        <v>227</v>
      </c>
      <c r="E480" s="10" t="s">
        <v>53</v>
      </c>
      <c r="F480" s="651" t="s">
        <v>64</v>
      </c>
      <c r="G480" s="652" t="s">
        <v>31</v>
      </c>
      <c r="H480" s="652" t="s">
        <v>38</v>
      </c>
      <c r="I480" s="653" t="s">
        <v>49</v>
      </c>
      <c r="J480" s="119"/>
      <c r="K480" s="26">
        <f>K481+K482+K483</f>
        <v>2982.2000000000003</v>
      </c>
      <c r="L480" s="26">
        <f>L481+L482+L483</f>
        <v>0</v>
      </c>
      <c r="M480" s="26">
        <f>M481+M482+M483</f>
        <v>2982.2000000000003</v>
      </c>
      <c r="N480" s="26">
        <f>N481+N482+N483</f>
        <v>2983.1</v>
      </c>
    </row>
    <row r="481" spans="1:14" s="7" customFormat="1" ht="108" x14ac:dyDescent="0.35">
      <c r="A481" s="11"/>
      <c r="B481" s="24" t="s">
        <v>50</v>
      </c>
      <c r="C481" s="25" t="s">
        <v>317</v>
      </c>
      <c r="D481" s="10" t="s">
        <v>227</v>
      </c>
      <c r="E481" s="10" t="s">
        <v>53</v>
      </c>
      <c r="F481" s="651" t="s">
        <v>64</v>
      </c>
      <c r="G481" s="652" t="s">
        <v>31</v>
      </c>
      <c r="H481" s="652" t="s">
        <v>38</v>
      </c>
      <c r="I481" s="653" t="s">
        <v>49</v>
      </c>
      <c r="J481" s="119" t="s">
        <v>51</v>
      </c>
      <c r="K481" s="26">
        <v>2712.1</v>
      </c>
      <c r="L481" s="26">
        <f>M481-K481</f>
        <v>0</v>
      </c>
      <c r="M481" s="26">
        <v>2712.1</v>
      </c>
      <c r="N481" s="26">
        <v>2712.1</v>
      </c>
    </row>
    <row r="482" spans="1:14" s="7" customFormat="1" ht="54" x14ac:dyDescent="0.35">
      <c r="A482" s="11"/>
      <c r="B482" s="24" t="s">
        <v>56</v>
      </c>
      <c r="C482" s="25" t="s">
        <v>317</v>
      </c>
      <c r="D482" s="10" t="s">
        <v>227</v>
      </c>
      <c r="E482" s="10" t="s">
        <v>53</v>
      </c>
      <c r="F482" s="651" t="s">
        <v>64</v>
      </c>
      <c r="G482" s="652" t="s">
        <v>31</v>
      </c>
      <c r="H482" s="652" t="s">
        <v>38</v>
      </c>
      <c r="I482" s="653" t="s">
        <v>49</v>
      </c>
      <c r="J482" s="119" t="s">
        <v>57</v>
      </c>
      <c r="K482" s="26">
        <v>265.8</v>
      </c>
      <c r="L482" s="26">
        <f>M482-K482</f>
        <v>0</v>
      </c>
      <c r="M482" s="26">
        <v>265.8</v>
      </c>
      <c r="N482" s="26">
        <v>266.7</v>
      </c>
    </row>
    <row r="483" spans="1:14" s="7" customFormat="1" ht="18" x14ac:dyDescent="0.35">
      <c r="A483" s="11"/>
      <c r="B483" s="24" t="s">
        <v>58</v>
      </c>
      <c r="C483" s="25" t="s">
        <v>317</v>
      </c>
      <c r="D483" s="10" t="s">
        <v>227</v>
      </c>
      <c r="E483" s="10" t="s">
        <v>53</v>
      </c>
      <c r="F483" s="651" t="s">
        <v>64</v>
      </c>
      <c r="G483" s="652" t="s">
        <v>31</v>
      </c>
      <c r="H483" s="652" t="s">
        <v>38</v>
      </c>
      <c r="I483" s="653" t="s">
        <v>49</v>
      </c>
      <c r="J483" s="10" t="s">
        <v>59</v>
      </c>
      <c r="K483" s="26">
        <v>4.3</v>
      </c>
      <c r="L483" s="26">
        <f>M483-K483</f>
        <v>0</v>
      </c>
      <c r="M483" s="26">
        <v>4.3</v>
      </c>
      <c r="N483" s="26">
        <v>4.3</v>
      </c>
    </row>
    <row r="484" spans="1:14" s="7" customFormat="1" ht="39" customHeight="1" x14ac:dyDescent="0.35">
      <c r="A484" s="11"/>
      <c r="B484" s="105" t="s">
        <v>490</v>
      </c>
      <c r="C484" s="25" t="s">
        <v>317</v>
      </c>
      <c r="D484" s="10" t="s">
        <v>227</v>
      </c>
      <c r="E484" s="10" t="s">
        <v>53</v>
      </c>
      <c r="F484" s="651" t="s">
        <v>64</v>
      </c>
      <c r="G484" s="652" t="s">
        <v>31</v>
      </c>
      <c r="H484" s="652" t="s">
        <v>38</v>
      </c>
      <c r="I484" s="653" t="s">
        <v>92</v>
      </c>
      <c r="J484" s="10"/>
      <c r="K484" s="26">
        <f>K485+K486+K487</f>
        <v>6270.9000000000005</v>
      </c>
      <c r="L484" s="26">
        <f>L485+L486+L487</f>
        <v>0</v>
      </c>
      <c r="M484" s="26">
        <f>M485+M486+M487</f>
        <v>6270.9000000000005</v>
      </c>
      <c r="N484" s="26">
        <f>N485+N486+N487</f>
        <v>6926.9000000000005</v>
      </c>
    </row>
    <row r="485" spans="1:14" s="7" customFormat="1" ht="108" x14ac:dyDescent="0.35">
      <c r="A485" s="11"/>
      <c r="B485" s="24" t="s">
        <v>50</v>
      </c>
      <c r="C485" s="181" t="s">
        <v>317</v>
      </c>
      <c r="D485" s="119" t="s">
        <v>227</v>
      </c>
      <c r="E485" s="119" t="s">
        <v>53</v>
      </c>
      <c r="F485" s="651" t="s">
        <v>64</v>
      </c>
      <c r="G485" s="652" t="s">
        <v>31</v>
      </c>
      <c r="H485" s="652" t="s">
        <v>38</v>
      </c>
      <c r="I485" s="653" t="s">
        <v>92</v>
      </c>
      <c r="J485" s="119" t="s">
        <v>51</v>
      </c>
      <c r="K485" s="26">
        <v>6121.1</v>
      </c>
      <c r="L485" s="26">
        <f>M485-K485</f>
        <v>0</v>
      </c>
      <c r="M485" s="26">
        <v>6121.1</v>
      </c>
      <c r="N485" s="26">
        <v>6121.1</v>
      </c>
    </row>
    <row r="486" spans="1:14" s="7" customFormat="1" ht="54" x14ac:dyDescent="0.35">
      <c r="A486" s="11"/>
      <c r="B486" s="24" t="s">
        <v>56</v>
      </c>
      <c r="C486" s="181" t="s">
        <v>317</v>
      </c>
      <c r="D486" s="119" t="s">
        <v>227</v>
      </c>
      <c r="E486" s="119" t="s">
        <v>53</v>
      </c>
      <c r="F486" s="651" t="s">
        <v>64</v>
      </c>
      <c r="G486" s="652" t="s">
        <v>31</v>
      </c>
      <c r="H486" s="652" t="s">
        <v>38</v>
      </c>
      <c r="I486" s="653" t="s">
        <v>92</v>
      </c>
      <c r="J486" s="119" t="s">
        <v>57</v>
      </c>
      <c r="K486" s="26">
        <v>148.19999999999999</v>
      </c>
      <c r="L486" s="26">
        <f>M486-K486</f>
        <v>0</v>
      </c>
      <c r="M486" s="26">
        <v>148.19999999999999</v>
      </c>
      <c r="N486" s="26">
        <v>804.2</v>
      </c>
    </row>
    <row r="487" spans="1:14" s="7" customFormat="1" ht="18" x14ac:dyDescent="0.35">
      <c r="A487" s="11"/>
      <c r="B487" s="24" t="s">
        <v>58</v>
      </c>
      <c r="C487" s="181" t="s">
        <v>317</v>
      </c>
      <c r="D487" s="119" t="s">
        <v>227</v>
      </c>
      <c r="E487" s="119" t="s">
        <v>53</v>
      </c>
      <c r="F487" s="651" t="s">
        <v>64</v>
      </c>
      <c r="G487" s="652" t="s">
        <v>31</v>
      </c>
      <c r="H487" s="652" t="s">
        <v>38</v>
      </c>
      <c r="I487" s="653" t="s">
        <v>92</v>
      </c>
      <c r="J487" s="10" t="s">
        <v>59</v>
      </c>
      <c r="K487" s="26">
        <v>1.6</v>
      </c>
      <c r="L487" s="26">
        <f>M487-K487</f>
        <v>0</v>
      </c>
      <c r="M487" s="26">
        <v>1.6</v>
      </c>
      <c r="N487" s="26">
        <v>1.6</v>
      </c>
    </row>
    <row r="488" spans="1:14" s="148" customFormat="1" ht="18" x14ac:dyDescent="0.35">
      <c r="A488" s="11"/>
      <c r="B488" s="24"/>
      <c r="C488" s="181"/>
      <c r="D488" s="119"/>
      <c r="E488" s="119"/>
      <c r="F488" s="651"/>
      <c r="G488" s="652"/>
      <c r="H488" s="652"/>
      <c r="I488" s="653"/>
      <c r="J488" s="10"/>
      <c r="K488" s="26"/>
      <c r="L488" s="26"/>
      <c r="M488" s="26"/>
      <c r="N488" s="26"/>
    </row>
    <row r="489" spans="1:14" s="143" customFormat="1" ht="52.2" x14ac:dyDescent="0.3">
      <c r="A489" s="142">
        <v>7</v>
      </c>
      <c r="B489" s="18" t="s">
        <v>10</v>
      </c>
      <c r="C489" s="19" t="s">
        <v>292</v>
      </c>
      <c r="D489" s="20"/>
      <c r="E489" s="20"/>
      <c r="F489" s="21"/>
      <c r="G489" s="22"/>
      <c r="H489" s="22"/>
      <c r="I489" s="23"/>
      <c r="J489" s="20"/>
      <c r="K489" s="40">
        <f>K490+K497</f>
        <v>38663.9</v>
      </c>
      <c r="L489" s="40">
        <f>L490+L497</f>
        <v>-62.5</v>
      </c>
      <c r="M489" s="40">
        <f>M490+M497</f>
        <v>38601.4</v>
      </c>
      <c r="N489" s="40">
        <f>N490+N497</f>
        <v>30671.499999999996</v>
      </c>
    </row>
    <row r="490" spans="1:14" s="143" customFormat="1" ht="18" x14ac:dyDescent="0.35">
      <c r="A490" s="142"/>
      <c r="B490" s="264" t="s">
        <v>37</v>
      </c>
      <c r="C490" s="265" t="s">
        <v>292</v>
      </c>
      <c r="D490" s="35" t="s">
        <v>38</v>
      </c>
      <c r="E490" s="35"/>
      <c r="F490" s="251"/>
      <c r="G490" s="252"/>
      <c r="H490" s="252"/>
      <c r="I490" s="253"/>
      <c r="J490" s="35"/>
      <c r="K490" s="254">
        <f t="shared" ref="K490:M494" si="66">K491</f>
        <v>35.6</v>
      </c>
      <c r="L490" s="254">
        <f t="shared" si="66"/>
        <v>0</v>
      </c>
      <c r="M490" s="254">
        <f t="shared" si="66"/>
        <v>35.6</v>
      </c>
      <c r="N490" s="254">
        <f t="shared" ref="N490:N495" si="67">N491</f>
        <v>35.6</v>
      </c>
    </row>
    <row r="491" spans="1:14" s="143" customFormat="1" ht="18" x14ac:dyDescent="0.35">
      <c r="A491" s="142"/>
      <c r="B491" s="264" t="s">
        <v>71</v>
      </c>
      <c r="C491" s="265" t="s">
        <v>292</v>
      </c>
      <c r="D491" s="35" t="s">
        <v>38</v>
      </c>
      <c r="E491" s="35" t="s">
        <v>72</v>
      </c>
      <c r="F491" s="251"/>
      <c r="G491" s="252"/>
      <c r="H491" s="252"/>
      <c r="I491" s="253"/>
      <c r="J491" s="35"/>
      <c r="K491" s="254">
        <f t="shared" si="66"/>
        <v>35.6</v>
      </c>
      <c r="L491" s="254">
        <f t="shared" si="66"/>
        <v>0</v>
      </c>
      <c r="M491" s="254">
        <f t="shared" si="66"/>
        <v>35.6</v>
      </c>
      <c r="N491" s="254">
        <f t="shared" si="67"/>
        <v>35.6</v>
      </c>
    </row>
    <row r="492" spans="1:14" s="143" customFormat="1" ht="54" x14ac:dyDescent="0.35">
      <c r="A492" s="142"/>
      <c r="B492" s="264" t="s">
        <v>218</v>
      </c>
      <c r="C492" s="265" t="s">
        <v>292</v>
      </c>
      <c r="D492" s="35" t="s">
        <v>38</v>
      </c>
      <c r="E492" s="35" t="s">
        <v>72</v>
      </c>
      <c r="F492" s="251" t="s">
        <v>53</v>
      </c>
      <c r="G492" s="252" t="s">
        <v>43</v>
      </c>
      <c r="H492" s="252" t="s">
        <v>44</v>
      </c>
      <c r="I492" s="253" t="s">
        <v>45</v>
      </c>
      <c r="J492" s="35"/>
      <c r="K492" s="254">
        <f t="shared" si="66"/>
        <v>35.6</v>
      </c>
      <c r="L492" s="254">
        <f t="shared" si="66"/>
        <v>0</v>
      </c>
      <c r="M492" s="254">
        <f t="shared" si="66"/>
        <v>35.6</v>
      </c>
      <c r="N492" s="254">
        <f t="shared" si="67"/>
        <v>35.6</v>
      </c>
    </row>
    <row r="493" spans="1:14" s="143" customFormat="1" ht="36" x14ac:dyDescent="0.35">
      <c r="A493" s="142"/>
      <c r="B493" s="264" t="s">
        <v>221</v>
      </c>
      <c r="C493" s="265" t="s">
        <v>292</v>
      </c>
      <c r="D493" s="35" t="s">
        <v>38</v>
      </c>
      <c r="E493" s="35" t="s">
        <v>72</v>
      </c>
      <c r="F493" s="251" t="s">
        <v>53</v>
      </c>
      <c r="G493" s="252" t="s">
        <v>90</v>
      </c>
      <c r="H493" s="252" t="s">
        <v>44</v>
      </c>
      <c r="I493" s="253" t="s">
        <v>45</v>
      </c>
      <c r="J493" s="35"/>
      <c r="K493" s="254">
        <f t="shared" si="66"/>
        <v>35.6</v>
      </c>
      <c r="L493" s="254">
        <f t="shared" si="66"/>
        <v>0</v>
      </c>
      <c r="M493" s="254">
        <f t="shared" si="66"/>
        <v>35.6</v>
      </c>
      <c r="N493" s="254">
        <f t="shared" si="67"/>
        <v>35.6</v>
      </c>
    </row>
    <row r="494" spans="1:14" s="143" customFormat="1" ht="36" x14ac:dyDescent="0.35">
      <c r="A494" s="142"/>
      <c r="B494" s="264" t="s">
        <v>358</v>
      </c>
      <c r="C494" s="265" t="s">
        <v>292</v>
      </c>
      <c r="D494" s="35" t="s">
        <v>38</v>
      </c>
      <c r="E494" s="35" t="s">
        <v>72</v>
      </c>
      <c r="F494" s="251" t="s">
        <v>53</v>
      </c>
      <c r="G494" s="252" t="s">
        <v>90</v>
      </c>
      <c r="H494" s="252" t="s">
        <v>64</v>
      </c>
      <c r="I494" s="253" t="s">
        <v>45</v>
      </c>
      <c r="J494" s="35"/>
      <c r="K494" s="254">
        <f t="shared" si="66"/>
        <v>35.6</v>
      </c>
      <c r="L494" s="254">
        <f t="shared" si="66"/>
        <v>0</v>
      </c>
      <c r="M494" s="254">
        <f t="shared" si="66"/>
        <v>35.6</v>
      </c>
      <c r="N494" s="254">
        <f t="shared" si="67"/>
        <v>35.6</v>
      </c>
    </row>
    <row r="495" spans="1:14" s="143" customFormat="1" ht="54" customHeight="1" x14ac:dyDescent="0.35">
      <c r="A495" s="142"/>
      <c r="B495" s="264" t="s">
        <v>359</v>
      </c>
      <c r="C495" s="265" t="s">
        <v>292</v>
      </c>
      <c r="D495" s="35" t="s">
        <v>38</v>
      </c>
      <c r="E495" s="35" t="s">
        <v>72</v>
      </c>
      <c r="F495" s="251" t="s">
        <v>53</v>
      </c>
      <c r="G495" s="252" t="s">
        <v>90</v>
      </c>
      <c r="H495" s="252" t="s">
        <v>64</v>
      </c>
      <c r="I495" s="253" t="s">
        <v>106</v>
      </c>
      <c r="J495" s="35"/>
      <c r="K495" s="254">
        <f>K496</f>
        <v>35.6</v>
      </c>
      <c r="L495" s="254">
        <f>L496</f>
        <v>0</v>
      </c>
      <c r="M495" s="254">
        <f>M496</f>
        <v>35.6</v>
      </c>
      <c r="N495" s="254">
        <f t="shared" si="67"/>
        <v>35.6</v>
      </c>
    </row>
    <row r="496" spans="1:14" s="7" customFormat="1" ht="54" x14ac:dyDescent="0.35">
      <c r="A496" s="11"/>
      <c r="B496" s="267" t="s">
        <v>56</v>
      </c>
      <c r="C496" s="265" t="s">
        <v>292</v>
      </c>
      <c r="D496" s="35" t="s">
        <v>38</v>
      </c>
      <c r="E496" s="35" t="s">
        <v>72</v>
      </c>
      <c r="F496" s="251" t="s">
        <v>53</v>
      </c>
      <c r="G496" s="252" t="s">
        <v>90</v>
      </c>
      <c r="H496" s="252" t="s">
        <v>64</v>
      </c>
      <c r="I496" s="253" t="s">
        <v>106</v>
      </c>
      <c r="J496" s="35" t="s">
        <v>57</v>
      </c>
      <c r="K496" s="254">
        <v>35.6</v>
      </c>
      <c r="L496" s="26">
        <f>M496-K496</f>
        <v>0</v>
      </c>
      <c r="M496" s="254">
        <v>35.6</v>
      </c>
      <c r="N496" s="26">
        <v>35.6</v>
      </c>
    </row>
    <row r="497" spans="1:14" s="7" customFormat="1" ht="18" x14ac:dyDescent="0.35">
      <c r="A497" s="11"/>
      <c r="B497" s="267" t="s">
        <v>325</v>
      </c>
      <c r="C497" s="265" t="s">
        <v>292</v>
      </c>
      <c r="D497" s="35" t="s">
        <v>68</v>
      </c>
      <c r="E497" s="35"/>
      <c r="F497" s="251"/>
      <c r="G497" s="252"/>
      <c r="H497" s="252"/>
      <c r="I497" s="253"/>
      <c r="J497" s="35"/>
      <c r="K497" s="254">
        <f>K498+K528+K518</f>
        <v>38628.300000000003</v>
      </c>
      <c r="L497" s="254">
        <f>L498+L528+L518</f>
        <v>-62.5</v>
      </c>
      <c r="M497" s="254">
        <f>M498+M528+M518</f>
        <v>38565.800000000003</v>
      </c>
      <c r="N497" s="254">
        <f>N498+N528+N518</f>
        <v>30635.899999999998</v>
      </c>
    </row>
    <row r="498" spans="1:14" s="143" customFormat="1" ht="18" x14ac:dyDescent="0.35">
      <c r="A498" s="11"/>
      <c r="B498" s="30" t="s">
        <v>367</v>
      </c>
      <c r="C498" s="25" t="s">
        <v>292</v>
      </c>
      <c r="D498" s="10" t="s">
        <v>68</v>
      </c>
      <c r="E498" s="10" t="s">
        <v>38</v>
      </c>
      <c r="F498" s="651"/>
      <c r="G498" s="652"/>
      <c r="H498" s="652"/>
      <c r="I498" s="653"/>
      <c r="J498" s="10"/>
      <c r="K498" s="26">
        <f>K499</f>
        <v>32478.800000000003</v>
      </c>
      <c r="L498" s="26">
        <f>L499</f>
        <v>-62.5</v>
      </c>
      <c r="M498" s="26">
        <f>M499</f>
        <v>32416.300000000003</v>
      </c>
      <c r="N498" s="26">
        <f>N499</f>
        <v>27518.299999999996</v>
      </c>
    </row>
    <row r="499" spans="1:14" s="143" customFormat="1" ht="61.5" customHeight="1" x14ac:dyDescent="0.35">
      <c r="A499" s="11"/>
      <c r="B499" s="24" t="s">
        <v>218</v>
      </c>
      <c r="C499" s="25" t="s">
        <v>292</v>
      </c>
      <c r="D499" s="10" t="s">
        <v>68</v>
      </c>
      <c r="E499" s="10" t="s">
        <v>38</v>
      </c>
      <c r="F499" s="651" t="s">
        <v>53</v>
      </c>
      <c r="G499" s="652" t="s">
        <v>43</v>
      </c>
      <c r="H499" s="652" t="s">
        <v>44</v>
      </c>
      <c r="I499" s="653" t="s">
        <v>45</v>
      </c>
      <c r="J499" s="10"/>
      <c r="K499" s="26">
        <f>K500+K504</f>
        <v>32478.800000000003</v>
      </c>
      <c r="L499" s="26">
        <f>L500+L504</f>
        <v>-62.5</v>
      </c>
      <c r="M499" s="26">
        <f>M500+M504</f>
        <v>32416.300000000003</v>
      </c>
      <c r="N499" s="26">
        <f>N500+N504</f>
        <v>27518.299999999996</v>
      </c>
    </row>
    <row r="500" spans="1:14" s="143" customFormat="1" ht="36" x14ac:dyDescent="0.35">
      <c r="A500" s="11"/>
      <c r="B500" s="30" t="s">
        <v>219</v>
      </c>
      <c r="C500" s="25" t="s">
        <v>292</v>
      </c>
      <c r="D500" s="10" t="s">
        <v>68</v>
      </c>
      <c r="E500" s="10" t="s">
        <v>38</v>
      </c>
      <c r="F500" s="651" t="s">
        <v>53</v>
      </c>
      <c r="G500" s="652" t="s">
        <v>46</v>
      </c>
      <c r="H500" s="652" t="s">
        <v>44</v>
      </c>
      <c r="I500" s="653" t="s">
        <v>45</v>
      </c>
      <c r="J500" s="10"/>
      <c r="K500" s="26">
        <f>K501</f>
        <v>225</v>
      </c>
      <c r="L500" s="26">
        <f>L501</f>
        <v>0</v>
      </c>
      <c r="M500" s="26">
        <f>M501</f>
        <v>225</v>
      </c>
      <c r="N500" s="26">
        <f>N501</f>
        <v>225</v>
      </c>
    </row>
    <row r="501" spans="1:14" s="143" customFormat="1" ht="18" x14ac:dyDescent="0.35">
      <c r="A501" s="11"/>
      <c r="B501" s="24" t="s">
        <v>278</v>
      </c>
      <c r="C501" s="25" t="s">
        <v>292</v>
      </c>
      <c r="D501" s="10" t="s">
        <v>68</v>
      </c>
      <c r="E501" s="10" t="s">
        <v>38</v>
      </c>
      <c r="F501" s="651" t="s">
        <v>53</v>
      </c>
      <c r="G501" s="652" t="s">
        <v>46</v>
      </c>
      <c r="H501" s="652" t="s">
        <v>38</v>
      </c>
      <c r="I501" s="653" t="s">
        <v>45</v>
      </c>
      <c r="J501" s="10"/>
      <c r="K501" s="26">
        <f t="shared" ref="K501:N502" si="68">K502</f>
        <v>225</v>
      </c>
      <c r="L501" s="26">
        <f t="shared" si="68"/>
        <v>0</v>
      </c>
      <c r="M501" s="26">
        <f t="shared" si="68"/>
        <v>225</v>
      </c>
      <c r="N501" s="26">
        <f t="shared" si="68"/>
        <v>225</v>
      </c>
    </row>
    <row r="502" spans="1:14" s="143" customFormat="1" ht="62.4" customHeight="1" x14ac:dyDescent="0.35">
      <c r="A502" s="11"/>
      <c r="B502" s="24" t="s">
        <v>279</v>
      </c>
      <c r="C502" s="25" t="s">
        <v>292</v>
      </c>
      <c r="D502" s="10" t="s">
        <v>68</v>
      </c>
      <c r="E502" s="10" t="s">
        <v>38</v>
      </c>
      <c r="F502" s="651" t="s">
        <v>53</v>
      </c>
      <c r="G502" s="652" t="s">
        <v>46</v>
      </c>
      <c r="H502" s="652" t="s">
        <v>38</v>
      </c>
      <c r="I502" s="653" t="s">
        <v>280</v>
      </c>
      <c r="J502" s="10"/>
      <c r="K502" s="26">
        <f t="shared" si="68"/>
        <v>225</v>
      </c>
      <c r="L502" s="26">
        <f t="shared" si="68"/>
        <v>0</v>
      </c>
      <c r="M502" s="26">
        <f t="shared" si="68"/>
        <v>225</v>
      </c>
      <c r="N502" s="26">
        <f t="shared" si="68"/>
        <v>225</v>
      </c>
    </row>
    <row r="503" spans="1:14" s="143" customFormat="1" ht="36" x14ac:dyDescent="0.35">
      <c r="A503" s="11"/>
      <c r="B503" s="24" t="s">
        <v>121</v>
      </c>
      <c r="C503" s="25" t="s">
        <v>292</v>
      </c>
      <c r="D503" s="10" t="s">
        <v>68</v>
      </c>
      <c r="E503" s="10" t="s">
        <v>38</v>
      </c>
      <c r="F503" s="651" t="s">
        <v>53</v>
      </c>
      <c r="G503" s="652" t="s">
        <v>46</v>
      </c>
      <c r="H503" s="652" t="s">
        <v>38</v>
      </c>
      <c r="I503" s="653" t="s">
        <v>280</v>
      </c>
      <c r="J503" s="10" t="s">
        <v>122</v>
      </c>
      <c r="K503" s="26">
        <v>225</v>
      </c>
      <c r="L503" s="26">
        <f>M503-K503</f>
        <v>0</v>
      </c>
      <c r="M503" s="26">
        <v>225</v>
      </c>
      <c r="N503" s="26">
        <v>225</v>
      </c>
    </row>
    <row r="504" spans="1:14" s="7" customFormat="1" ht="36" x14ac:dyDescent="0.35">
      <c r="A504" s="11"/>
      <c r="B504" s="24" t="s">
        <v>221</v>
      </c>
      <c r="C504" s="25" t="s">
        <v>292</v>
      </c>
      <c r="D504" s="10" t="s">
        <v>68</v>
      </c>
      <c r="E504" s="10" t="s">
        <v>38</v>
      </c>
      <c r="F504" s="651" t="s">
        <v>53</v>
      </c>
      <c r="G504" s="652" t="s">
        <v>90</v>
      </c>
      <c r="H504" s="652" t="s">
        <v>44</v>
      </c>
      <c r="I504" s="653" t="s">
        <v>45</v>
      </c>
      <c r="J504" s="10"/>
      <c r="K504" s="26">
        <f>K505</f>
        <v>32253.800000000003</v>
      </c>
      <c r="L504" s="26">
        <f>L505</f>
        <v>-62.5</v>
      </c>
      <c r="M504" s="26">
        <f>M505</f>
        <v>32191.300000000003</v>
      </c>
      <c r="N504" s="26">
        <f>N505</f>
        <v>27293.299999999996</v>
      </c>
    </row>
    <row r="505" spans="1:14" s="143" customFormat="1" ht="34.200000000000003" customHeight="1" x14ac:dyDescent="0.35">
      <c r="A505" s="11"/>
      <c r="B505" s="24" t="s">
        <v>368</v>
      </c>
      <c r="C505" s="25" t="s">
        <v>292</v>
      </c>
      <c r="D505" s="10" t="s">
        <v>68</v>
      </c>
      <c r="E505" s="10" t="s">
        <v>38</v>
      </c>
      <c r="F505" s="651" t="s">
        <v>53</v>
      </c>
      <c r="G505" s="652" t="s">
        <v>90</v>
      </c>
      <c r="H505" s="652" t="s">
        <v>40</v>
      </c>
      <c r="I505" s="653" t="s">
        <v>45</v>
      </c>
      <c r="J505" s="10"/>
      <c r="K505" s="26">
        <f>K506+K510+K512+K514+K516</f>
        <v>32253.800000000003</v>
      </c>
      <c r="L505" s="26">
        <f>L506+L510+L512+L514+L516</f>
        <v>-62.5</v>
      </c>
      <c r="M505" s="26">
        <f>M506+M510+M512+M514+M516</f>
        <v>32191.300000000003</v>
      </c>
      <c r="N505" s="26">
        <f>N506+N510+N512+N514+N516</f>
        <v>27293.299999999996</v>
      </c>
    </row>
    <row r="506" spans="1:14" s="143" customFormat="1" ht="39" customHeight="1" x14ac:dyDescent="0.35">
      <c r="A506" s="11"/>
      <c r="B506" s="105" t="s">
        <v>490</v>
      </c>
      <c r="C506" s="25" t="s">
        <v>292</v>
      </c>
      <c r="D506" s="10" t="s">
        <v>68</v>
      </c>
      <c r="E506" s="10" t="s">
        <v>38</v>
      </c>
      <c r="F506" s="651" t="s">
        <v>53</v>
      </c>
      <c r="G506" s="652" t="s">
        <v>90</v>
      </c>
      <c r="H506" s="652" t="s">
        <v>40</v>
      </c>
      <c r="I506" s="653" t="s">
        <v>92</v>
      </c>
      <c r="J506" s="10"/>
      <c r="K506" s="26">
        <f>K507+K508+K509</f>
        <v>21214</v>
      </c>
      <c r="L506" s="26">
        <f>L507+L508+L509</f>
        <v>0</v>
      </c>
      <c r="M506" s="26">
        <f>M507+M508+M509</f>
        <v>21214</v>
      </c>
      <c r="N506" s="26">
        <f>N507+N508+N509</f>
        <v>21187.199999999997</v>
      </c>
    </row>
    <row r="507" spans="1:14" s="143" customFormat="1" ht="108" x14ac:dyDescent="0.35">
      <c r="A507" s="11"/>
      <c r="B507" s="24" t="s">
        <v>50</v>
      </c>
      <c r="C507" s="25" t="s">
        <v>292</v>
      </c>
      <c r="D507" s="10" t="s">
        <v>68</v>
      </c>
      <c r="E507" s="10" t="s">
        <v>38</v>
      </c>
      <c r="F507" s="651" t="s">
        <v>53</v>
      </c>
      <c r="G507" s="652" t="s">
        <v>90</v>
      </c>
      <c r="H507" s="652" t="s">
        <v>40</v>
      </c>
      <c r="I507" s="653" t="s">
        <v>92</v>
      </c>
      <c r="J507" s="10" t="s">
        <v>51</v>
      </c>
      <c r="K507" s="26">
        <v>17974.3</v>
      </c>
      <c r="L507" s="26">
        <f>M507-K507</f>
        <v>0</v>
      </c>
      <c r="M507" s="26">
        <v>17974.3</v>
      </c>
      <c r="N507" s="26">
        <v>17974.3</v>
      </c>
    </row>
    <row r="508" spans="1:14" s="7" customFormat="1" ht="54" x14ac:dyDescent="0.35">
      <c r="A508" s="11"/>
      <c r="B508" s="24" t="s">
        <v>56</v>
      </c>
      <c r="C508" s="25" t="s">
        <v>292</v>
      </c>
      <c r="D508" s="10" t="s">
        <v>68</v>
      </c>
      <c r="E508" s="10" t="s">
        <v>38</v>
      </c>
      <c r="F508" s="651" t="s">
        <v>53</v>
      </c>
      <c r="G508" s="652" t="s">
        <v>90</v>
      </c>
      <c r="H508" s="652" t="s">
        <v>40</v>
      </c>
      <c r="I508" s="653" t="s">
        <v>92</v>
      </c>
      <c r="J508" s="10" t="s">
        <v>57</v>
      </c>
      <c r="K508" s="26">
        <f>3160.8+22.1</f>
        <v>3182.9</v>
      </c>
      <c r="L508" s="26">
        <f>M508-K508</f>
        <v>0</v>
      </c>
      <c r="M508" s="26">
        <f>3160.8+22.1</f>
        <v>3182.9</v>
      </c>
      <c r="N508" s="26">
        <f>3172.4-14.3</f>
        <v>3158.1</v>
      </c>
    </row>
    <row r="509" spans="1:14" s="143" customFormat="1" ht="18" x14ac:dyDescent="0.35">
      <c r="A509" s="11"/>
      <c r="B509" s="24" t="s">
        <v>58</v>
      </c>
      <c r="C509" s="25" t="s">
        <v>292</v>
      </c>
      <c r="D509" s="10" t="s">
        <v>68</v>
      </c>
      <c r="E509" s="10" t="s">
        <v>38</v>
      </c>
      <c r="F509" s="651" t="s">
        <v>53</v>
      </c>
      <c r="G509" s="652" t="s">
        <v>90</v>
      </c>
      <c r="H509" s="652" t="s">
        <v>40</v>
      </c>
      <c r="I509" s="653" t="s">
        <v>92</v>
      </c>
      <c r="J509" s="10" t="s">
        <v>59</v>
      </c>
      <c r="K509" s="26">
        <f>47.6+9.2</f>
        <v>56.8</v>
      </c>
      <c r="L509" s="26">
        <f>M509-K509</f>
        <v>0</v>
      </c>
      <c r="M509" s="26">
        <f>47.6+9.2</f>
        <v>56.8</v>
      </c>
      <c r="N509" s="26">
        <f>45.6+9.2</f>
        <v>54.8</v>
      </c>
    </row>
    <row r="510" spans="1:14" s="143" customFormat="1" ht="54" x14ac:dyDescent="0.35">
      <c r="A510" s="11"/>
      <c r="B510" s="24" t="s">
        <v>220</v>
      </c>
      <c r="C510" s="25" t="s">
        <v>292</v>
      </c>
      <c r="D510" s="10" t="s">
        <v>68</v>
      </c>
      <c r="E510" s="10" t="s">
        <v>38</v>
      </c>
      <c r="F510" s="651" t="s">
        <v>53</v>
      </c>
      <c r="G510" s="652" t="s">
        <v>90</v>
      </c>
      <c r="H510" s="652" t="s">
        <v>40</v>
      </c>
      <c r="I510" s="653" t="s">
        <v>294</v>
      </c>
      <c r="J510" s="10"/>
      <c r="K510" s="26">
        <f>K511</f>
        <v>3956.4</v>
      </c>
      <c r="L510" s="26">
        <f>L511</f>
        <v>0</v>
      </c>
      <c r="M510" s="26">
        <f>M511</f>
        <v>3956.4</v>
      </c>
      <c r="N510" s="26">
        <f>N511</f>
        <v>4110</v>
      </c>
    </row>
    <row r="511" spans="1:14" s="143" customFormat="1" ht="54" x14ac:dyDescent="0.35">
      <c r="A511" s="11"/>
      <c r="B511" s="24" t="s">
        <v>56</v>
      </c>
      <c r="C511" s="25" t="s">
        <v>292</v>
      </c>
      <c r="D511" s="10" t="s">
        <v>68</v>
      </c>
      <c r="E511" s="10" t="s">
        <v>38</v>
      </c>
      <c r="F511" s="651" t="s">
        <v>53</v>
      </c>
      <c r="G511" s="652" t="s">
        <v>90</v>
      </c>
      <c r="H511" s="652" t="s">
        <v>40</v>
      </c>
      <c r="I511" s="653" t="s">
        <v>294</v>
      </c>
      <c r="J511" s="10" t="s">
        <v>57</v>
      </c>
      <c r="K511" s="26">
        <f>4110-153.6</f>
        <v>3956.4</v>
      </c>
      <c r="L511" s="26">
        <f>M511-K511</f>
        <v>0</v>
      </c>
      <c r="M511" s="26">
        <f>4110-153.6</f>
        <v>3956.4</v>
      </c>
      <c r="N511" s="26">
        <v>4110</v>
      </c>
    </row>
    <row r="512" spans="1:14" s="143" customFormat="1" ht="181.95" customHeight="1" x14ac:dyDescent="0.35">
      <c r="A512" s="11"/>
      <c r="B512" s="24" t="s">
        <v>460</v>
      </c>
      <c r="C512" s="25" t="s">
        <v>292</v>
      </c>
      <c r="D512" s="10" t="s">
        <v>68</v>
      </c>
      <c r="E512" s="10" t="s">
        <v>38</v>
      </c>
      <c r="F512" s="651" t="s">
        <v>53</v>
      </c>
      <c r="G512" s="652" t="s">
        <v>90</v>
      </c>
      <c r="H512" s="652" t="s">
        <v>40</v>
      </c>
      <c r="I512" s="653" t="s">
        <v>409</v>
      </c>
      <c r="J512" s="10"/>
      <c r="K512" s="26">
        <f>K513</f>
        <v>250</v>
      </c>
      <c r="L512" s="26">
        <f>L513</f>
        <v>-62.5</v>
      </c>
      <c r="M512" s="26">
        <f>M513</f>
        <v>187.5</v>
      </c>
      <c r="N512" s="26">
        <f>N513</f>
        <v>187.5</v>
      </c>
    </row>
    <row r="513" spans="1:14" s="143" customFormat="1" ht="108" x14ac:dyDescent="0.35">
      <c r="A513" s="11"/>
      <c r="B513" s="24" t="s">
        <v>50</v>
      </c>
      <c r="C513" s="25" t="s">
        <v>292</v>
      </c>
      <c r="D513" s="10" t="s">
        <v>68</v>
      </c>
      <c r="E513" s="10" t="s">
        <v>38</v>
      </c>
      <c r="F513" s="651" t="s">
        <v>53</v>
      </c>
      <c r="G513" s="652" t="s">
        <v>90</v>
      </c>
      <c r="H513" s="652" t="s">
        <v>40</v>
      </c>
      <c r="I513" s="653" t="s">
        <v>409</v>
      </c>
      <c r="J513" s="10" t="s">
        <v>51</v>
      </c>
      <c r="K513" s="26">
        <v>250</v>
      </c>
      <c r="L513" s="26">
        <f>M513-K513</f>
        <v>-62.5</v>
      </c>
      <c r="M513" s="26">
        <f>250-62.5</f>
        <v>187.5</v>
      </c>
      <c r="N513" s="317">
        <f>250-62.5</f>
        <v>187.5</v>
      </c>
    </row>
    <row r="514" spans="1:14" s="143" customFormat="1" ht="57" customHeight="1" x14ac:dyDescent="0.35">
      <c r="A514" s="11"/>
      <c r="B514" s="24" t="s">
        <v>462</v>
      </c>
      <c r="C514" s="25" t="s">
        <v>292</v>
      </c>
      <c r="D514" s="10" t="s">
        <v>68</v>
      </c>
      <c r="E514" s="10" t="s">
        <v>38</v>
      </c>
      <c r="F514" s="651" t="s">
        <v>53</v>
      </c>
      <c r="G514" s="652" t="s">
        <v>90</v>
      </c>
      <c r="H514" s="652" t="s">
        <v>40</v>
      </c>
      <c r="I514" s="653" t="s">
        <v>430</v>
      </c>
      <c r="J514" s="10"/>
      <c r="K514" s="26">
        <f>K515</f>
        <v>1713.3999999999999</v>
      </c>
      <c r="L514" s="26">
        <f>L515</f>
        <v>0</v>
      </c>
      <c r="M514" s="26">
        <f>M515</f>
        <v>1713.3999999999999</v>
      </c>
      <c r="N514" s="26">
        <f>N515</f>
        <v>1808.6</v>
      </c>
    </row>
    <row r="515" spans="1:14" s="143" customFormat="1" ht="108" x14ac:dyDescent="0.35">
      <c r="A515" s="11"/>
      <c r="B515" s="24" t="s">
        <v>50</v>
      </c>
      <c r="C515" s="25" t="s">
        <v>292</v>
      </c>
      <c r="D515" s="10" t="s">
        <v>68</v>
      </c>
      <c r="E515" s="10" t="s">
        <v>38</v>
      </c>
      <c r="F515" s="651" t="s">
        <v>53</v>
      </c>
      <c r="G515" s="652" t="s">
        <v>90</v>
      </c>
      <c r="H515" s="652" t="s">
        <v>40</v>
      </c>
      <c r="I515" s="653" t="s">
        <v>430</v>
      </c>
      <c r="J515" s="10" t="s">
        <v>51</v>
      </c>
      <c r="K515" s="26">
        <f>1665.6+128.7-80.9</f>
        <v>1713.3999999999999</v>
      </c>
      <c r="L515" s="26">
        <f>M515-K515</f>
        <v>0</v>
      </c>
      <c r="M515" s="26">
        <f>1665.6+128.7-80.9</f>
        <v>1713.3999999999999</v>
      </c>
      <c r="N515" s="317">
        <f>1665.6+128.7+14.3</f>
        <v>1808.6</v>
      </c>
    </row>
    <row r="516" spans="1:14" s="143" customFormat="1" ht="183" customHeight="1" x14ac:dyDescent="0.35">
      <c r="A516" s="11"/>
      <c r="B516" s="24" t="s">
        <v>682</v>
      </c>
      <c r="C516" s="25" t="s">
        <v>292</v>
      </c>
      <c r="D516" s="10" t="s">
        <v>68</v>
      </c>
      <c r="E516" s="10" t="s">
        <v>38</v>
      </c>
      <c r="F516" s="651" t="s">
        <v>53</v>
      </c>
      <c r="G516" s="652" t="s">
        <v>90</v>
      </c>
      <c r="H516" s="652" t="s">
        <v>40</v>
      </c>
      <c r="I516" s="653" t="s">
        <v>676</v>
      </c>
      <c r="J516" s="10"/>
      <c r="K516" s="26">
        <f>K517</f>
        <v>5120</v>
      </c>
      <c r="L516" s="26">
        <f>L517</f>
        <v>0</v>
      </c>
      <c r="M516" s="26">
        <f>M517</f>
        <v>5120</v>
      </c>
      <c r="N516" s="26">
        <f>N517</f>
        <v>0</v>
      </c>
    </row>
    <row r="517" spans="1:14" s="143" customFormat="1" ht="54" x14ac:dyDescent="0.35">
      <c r="A517" s="11"/>
      <c r="B517" s="24" t="s">
        <v>56</v>
      </c>
      <c r="C517" s="25" t="s">
        <v>292</v>
      </c>
      <c r="D517" s="10" t="s">
        <v>68</v>
      </c>
      <c r="E517" s="10" t="s">
        <v>38</v>
      </c>
      <c r="F517" s="651" t="s">
        <v>53</v>
      </c>
      <c r="G517" s="652" t="s">
        <v>90</v>
      </c>
      <c r="H517" s="652" t="s">
        <v>40</v>
      </c>
      <c r="I517" s="653" t="s">
        <v>676</v>
      </c>
      <c r="J517" s="10" t="s">
        <v>57</v>
      </c>
      <c r="K517" s="26">
        <f>4966.4+153.6</f>
        <v>5120</v>
      </c>
      <c r="L517" s="26">
        <f>M517-K517</f>
        <v>0</v>
      </c>
      <c r="M517" s="26">
        <f>4966.4+153.6</f>
        <v>5120</v>
      </c>
      <c r="N517" s="317">
        <v>0</v>
      </c>
    </row>
    <row r="518" spans="1:14" s="143" customFormat="1" ht="18" x14ac:dyDescent="0.35">
      <c r="A518" s="11"/>
      <c r="B518" s="24" t="s">
        <v>198</v>
      </c>
      <c r="C518" s="25" t="s">
        <v>292</v>
      </c>
      <c r="D518" s="10" t="s">
        <v>68</v>
      </c>
      <c r="E518" s="10" t="s">
        <v>40</v>
      </c>
      <c r="F518" s="651"/>
      <c r="G518" s="652"/>
      <c r="H518" s="652"/>
      <c r="I518" s="653"/>
      <c r="J518" s="10"/>
      <c r="K518" s="26">
        <f t="shared" ref="K518:N526" si="69">K519</f>
        <v>3662.6000000000004</v>
      </c>
      <c r="L518" s="26">
        <f t="shared" si="69"/>
        <v>0</v>
      </c>
      <c r="M518" s="26">
        <f t="shared" si="69"/>
        <v>3662.6000000000004</v>
      </c>
      <c r="N518" s="26">
        <f t="shared" si="69"/>
        <v>629.70000000000005</v>
      </c>
    </row>
    <row r="519" spans="1:14" s="143" customFormat="1" ht="56.25" customHeight="1" x14ac:dyDescent="0.35">
      <c r="A519" s="11"/>
      <c r="B519" s="24" t="s">
        <v>218</v>
      </c>
      <c r="C519" s="25" t="s">
        <v>292</v>
      </c>
      <c r="D519" s="10" t="s">
        <v>68</v>
      </c>
      <c r="E519" s="10" t="s">
        <v>40</v>
      </c>
      <c r="F519" s="651" t="s">
        <v>53</v>
      </c>
      <c r="G519" s="652" t="s">
        <v>43</v>
      </c>
      <c r="H519" s="652" t="s">
        <v>44</v>
      </c>
      <c r="I519" s="653" t="s">
        <v>45</v>
      </c>
      <c r="J519" s="10"/>
      <c r="K519" s="26">
        <f t="shared" si="69"/>
        <v>3662.6000000000004</v>
      </c>
      <c r="L519" s="26">
        <f t="shared" si="69"/>
        <v>0</v>
      </c>
      <c r="M519" s="26">
        <f t="shared" si="69"/>
        <v>3662.6000000000004</v>
      </c>
      <c r="N519" s="26">
        <f t="shared" si="69"/>
        <v>629.70000000000005</v>
      </c>
    </row>
    <row r="520" spans="1:14" s="143" customFormat="1" ht="36" x14ac:dyDescent="0.35">
      <c r="A520" s="11"/>
      <c r="B520" s="30" t="s">
        <v>219</v>
      </c>
      <c r="C520" s="25" t="s">
        <v>292</v>
      </c>
      <c r="D520" s="10" t="s">
        <v>68</v>
      </c>
      <c r="E520" s="10" t="s">
        <v>40</v>
      </c>
      <c r="F520" s="651" t="s">
        <v>53</v>
      </c>
      <c r="G520" s="652" t="s">
        <v>46</v>
      </c>
      <c r="H520" s="652" t="s">
        <v>44</v>
      </c>
      <c r="I520" s="653" t="s">
        <v>45</v>
      </c>
      <c r="J520" s="10"/>
      <c r="K520" s="26">
        <f>K521+K525</f>
        <v>3662.6000000000004</v>
      </c>
      <c r="L520" s="26">
        <f>L521+L525</f>
        <v>0</v>
      </c>
      <c r="M520" s="26">
        <f>M521+M525</f>
        <v>3662.6000000000004</v>
      </c>
      <c r="N520" s="26">
        <f>N521+N525</f>
        <v>629.70000000000005</v>
      </c>
    </row>
    <row r="521" spans="1:14" s="143" customFormat="1" ht="54" x14ac:dyDescent="0.35">
      <c r="A521" s="11"/>
      <c r="B521" s="24" t="s">
        <v>293</v>
      </c>
      <c r="C521" s="25" t="s">
        <v>292</v>
      </c>
      <c r="D521" s="10" t="s">
        <v>68</v>
      </c>
      <c r="E521" s="10" t="s">
        <v>40</v>
      </c>
      <c r="F521" s="651" t="s">
        <v>53</v>
      </c>
      <c r="G521" s="652" t="s">
        <v>46</v>
      </c>
      <c r="H521" s="652" t="s">
        <v>40</v>
      </c>
      <c r="I521" s="653" t="s">
        <v>45</v>
      </c>
      <c r="J521" s="10"/>
      <c r="K521" s="26">
        <f>K522</f>
        <v>710.6</v>
      </c>
      <c r="L521" s="26">
        <f>L522</f>
        <v>0</v>
      </c>
      <c r="M521" s="26">
        <f>M522</f>
        <v>710.6</v>
      </c>
      <c r="N521" s="26">
        <f>N522</f>
        <v>629.70000000000005</v>
      </c>
    </row>
    <row r="522" spans="1:14" s="143" customFormat="1" ht="54" x14ac:dyDescent="0.35">
      <c r="A522" s="11"/>
      <c r="B522" s="24" t="s">
        <v>220</v>
      </c>
      <c r="C522" s="25" t="s">
        <v>292</v>
      </c>
      <c r="D522" s="10" t="s">
        <v>68</v>
      </c>
      <c r="E522" s="10" t="s">
        <v>40</v>
      </c>
      <c r="F522" s="651" t="s">
        <v>53</v>
      </c>
      <c r="G522" s="652" t="s">
        <v>46</v>
      </c>
      <c r="H522" s="652" t="s">
        <v>40</v>
      </c>
      <c r="I522" s="653" t="s">
        <v>294</v>
      </c>
      <c r="J522" s="10"/>
      <c r="K522" s="26">
        <f>K523+K524</f>
        <v>710.6</v>
      </c>
      <c r="L522" s="26">
        <f>L523+L524</f>
        <v>0</v>
      </c>
      <c r="M522" s="26">
        <f>M523+M524</f>
        <v>710.6</v>
      </c>
      <c r="N522" s="26">
        <f>N523+N524</f>
        <v>629.70000000000005</v>
      </c>
    </row>
    <row r="523" spans="1:14" s="143" customFormat="1" ht="108" x14ac:dyDescent="0.35">
      <c r="A523" s="11"/>
      <c r="B523" s="24" t="s">
        <v>50</v>
      </c>
      <c r="C523" s="25" t="s">
        <v>292</v>
      </c>
      <c r="D523" s="10" t="s">
        <v>68</v>
      </c>
      <c r="E523" s="10" t="s">
        <v>40</v>
      </c>
      <c r="F523" s="651" t="s">
        <v>53</v>
      </c>
      <c r="G523" s="652" t="s">
        <v>46</v>
      </c>
      <c r="H523" s="652" t="s">
        <v>40</v>
      </c>
      <c r="I523" s="653" t="s">
        <v>294</v>
      </c>
      <c r="J523" s="10" t="s">
        <v>51</v>
      </c>
      <c r="K523" s="26">
        <v>561.70000000000005</v>
      </c>
      <c r="L523" s="26">
        <f>M523-K523</f>
        <v>0</v>
      </c>
      <c r="M523" s="26">
        <v>561.70000000000005</v>
      </c>
      <c r="N523" s="421">
        <v>561.70000000000005</v>
      </c>
    </row>
    <row r="524" spans="1:14" s="143" customFormat="1" ht="54" x14ac:dyDescent="0.35">
      <c r="A524" s="11"/>
      <c r="B524" s="24" t="s">
        <v>56</v>
      </c>
      <c r="C524" s="25" t="s">
        <v>292</v>
      </c>
      <c r="D524" s="10" t="s">
        <v>68</v>
      </c>
      <c r="E524" s="10" t="s">
        <v>40</v>
      </c>
      <c r="F524" s="651" t="s">
        <v>53</v>
      </c>
      <c r="G524" s="652" t="s">
        <v>46</v>
      </c>
      <c r="H524" s="652" t="s">
        <v>40</v>
      </c>
      <c r="I524" s="653" t="s">
        <v>294</v>
      </c>
      <c r="J524" s="10" t="s">
        <v>57</v>
      </c>
      <c r="K524" s="26">
        <f>68+80.9</f>
        <v>148.9</v>
      </c>
      <c r="L524" s="26">
        <f>M524-K524</f>
        <v>0</v>
      </c>
      <c r="M524" s="26">
        <f>68+80.9</f>
        <v>148.9</v>
      </c>
      <c r="N524" s="421">
        <v>68</v>
      </c>
    </row>
    <row r="525" spans="1:14" s="143" customFormat="1" ht="21" customHeight="1" x14ac:dyDescent="0.35">
      <c r="A525" s="11"/>
      <c r="B525" s="24" t="s">
        <v>527</v>
      </c>
      <c r="C525" s="25" t="s">
        <v>292</v>
      </c>
      <c r="D525" s="10" t="s">
        <v>68</v>
      </c>
      <c r="E525" s="10" t="s">
        <v>40</v>
      </c>
      <c r="F525" s="651" t="s">
        <v>53</v>
      </c>
      <c r="G525" s="652" t="s">
        <v>46</v>
      </c>
      <c r="H525" s="652" t="s">
        <v>526</v>
      </c>
      <c r="I525" s="653" t="s">
        <v>45</v>
      </c>
      <c r="J525" s="10"/>
      <c r="K525" s="26">
        <f t="shared" si="69"/>
        <v>2952.0000000000005</v>
      </c>
      <c r="L525" s="26">
        <f t="shared" si="69"/>
        <v>0</v>
      </c>
      <c r="M525" s="26">
        <f t="shared" si="69"/>
        <v>2952.0000000000005</v>
      </c>
      <c r="N525" s="26">
        <f t="shared" si="69"/>
        <v>0</v>
      </c>
    </row>
    <row r="526" spans="1:14" s="143" customFormat="1" ht="54" x14ac:dyDescent="0.35">
      <c r="A526" s="11"/>
      <c r="B526" s="24" t="s">
        <v>528</v>
      </c>
      <c r="C526" s="25" t="s">
        <v>292</v>
      </c>
      <c r="D526" s="10" t="s">
        <v>68</v>
      </c>
      <c r="E526" s="10" t="s">
        <v>40</v>
      </c>
      <c r="F526" s="651" t="s">
        <v>53</v>
      </c>
      <c r="G526" s="652" t="s">
        <v>46</v>
      </c>
      <c r="H526" s="652" t="s">
        <v>526</v>
      </c>
      <c r="I526" s="653" t="s">
        <v>538</v>
      </c>
      <c r="J526" s="10"/>
      <c r="K526" s="26">
        <f t="shared" si="69"/>
        <v>2952.0000000000005</v>
      </c>
      <c r="L526" s="26">
        <f t="shared" si="69"/>
        <v>0</v>
      </c>
      <c r="M526" s="26">
        <f t="shared" si="69"/>
        <v>2952.0000000000005</v>
      </c>
      <c r="N526" s="26">
        <f t="shared" si="69"/>
        <v>0</v>
      </c>
    </row>
    <row r="527" spans="1:14" s="143" customFormat="1" ht="54" x14ac:dyDescent="0.35">
      <c r="A527" s="11"/>
      <c r="B527" s="24" t="s">
        <v>56</v>
      </c>
      <c r="C527" s="25" t="s">
        <v>292</v>
      </c>
      <c r="D527" s="10" t="s">
        <v>68</v>
      </c>
      <c r="E527" s="10" t="s">
        <v>40</v>
      </c>
      <c r="F527" s="651" t="s">
        <v>53</v>
      </c>
      <c r="G527" s="652" t="s">
        <v>46</v>
      </c>
      <c r="H527" s="652" t="s">
        <v>526</v>
      </c>
      <c r="I527" s="653" t="s">
        <v>538</v>
      </c>
      <c r="J527" s="10" t="s">
        <v>57</v>
      </c>
      <c r="K527" s="26">
        <f>3689.8-715.7-22.1</f>
        <v>2952.0000000000005</v>
      </c>
      <c r="L527" s="26">
        <f>M527-K527</f>
        <v>0</v>
      </c>
      <c r="M527" s="26">
        <f>3689.8-715.7-22.1</f>
        <v>2952.0000000000005</v>
      </c>
      <c r="N527" s="317">
        <v>0</v>
      </c>
    </row>
    <row r="528" spans="1:14" s="7" customFormat="1" ht="36" x14ac:dyDescent="0.35">
      <c r="A528" s="11"/>
      <c r="B528" s="30" t="s">
        <v>200</v>
      </c>
      <c r="C528" s="25" t="s">
        <v>292</v>
      </c>
      <c r="D528" s="10" t="s">
        <v>68</v>
      </c>
      <c r="E528" s="10" t="s">
        <v>66</v>
      </c>
      <c r="F528" s="651"/>
      <c r="G528" s="652"/>
      <c r="H528" s="652"/>
      <c r="I528" s="653"/>
      <c r="J528" s="10"/>
      <c r="K528" s="26">
        <f t="shared" ref="K528:N531" si="70">K529</f>
        <v>2486.9</v>
      </c>
      <c r="L528" s="26">
        <f t="shared" si="70"/>
        <v>0</v>
      </c>
      <c r="M528" s="26">
        <f t="shared" si="70"/>
        <v>2486.9</v>
      </c>
      <c r="N528" s="26">
        <f t="shared" si="70"/>
        <v>2487.9</v>
      </c>
    </row>
    <row r="529" spans="1:14" s="7" customFormat="1" ht="60" customHeight="1" x14ac:dyDescent="0.35">
      <c r="A529" s="11"/>
      <c r="B529" s="24" t="s">
        <v>218</v>
      </c>
      <c r="C529" s="25" t="s">
        <v>292</v>
      </c>
      <c r="D529" s="10" t="s">
        <v>68</v>
      </c>
      <c r="E529" s="10" t="s">
        <v>66</v>
      </c>
      <c r="F529" s="651" t="s">
        <v>53</v>
      </c>
      <c r="G529" s="652" t="s">
        <v>43</v>
      </c>
      <c r="H529" s="652" t="s">
        <v>44</v>
      </c>
      <c r="I529" s="653" t="s">
        <v>45</v>
      </c>
      <c r="J529" s="10"/>
      <c r="K529" s="26">
        <f t="shared" si="70"/>
        <v>2486.9</v>
      </c>
      <c r="L529" s="26">
        <f t="shared" si="70"/>
        <v>0</v>
      </c>
      <c r="M529" s="26">
        <f t="shared" si="70"/>
        <v>2486.9</v>
      </c>
      <c r="N529" s="26">
        <f t="shared" si="70"/>
        <v>2487.9</v>
      </c>
    </row>
    <row r="530" spans="1:14" s="7" customFormat="1" ht="36" x14ac:dyDescent="0.35">
      <c r="A530" s="11"/>
      <c r="B530" s="28" t="s">
        <v>221</v>
      </c>
      <c r="C530" s="25" t="s">
        <v>292</v>
      </c>
      <c r="D530" s="10" t="s">
        <v>68</v>
      </c>
      <c r="E530" s="10" t="s">
        <v>66</v>
      </c>
      <c r="F530" s="651" t="s">
        <v>53</v>
      </c>
      <c r="G530" s="652" t="s">
        <v>90</v>
      </c>
      <c r="H530" s="652" t="s">
        <v>44</v>
      </c>
      <c r="I530" s="653" t="s">
        <v>45</v>
      </c>
      <c r="J530" s="10"/>
      <c r="K530" s="26">
        <f t="shared" si="70"/>
        <v>2486.9</v>
      </c>
      <c r="L530" s="26">
        <f t="shared" si="70"/>
        <v>0</v>
      </c>
      <c r="M530" s="26">
        <f t="shared" si="70"/>
        <v>2486.9</v>
      </c>
      <c r="N530" s="26">
        <f t="shared" si="70"/>
        <v>2487.9</v>
      </c>
    </row>
    <row r="531" spans="1:14" s="7" customFormat="1" ht="36" x14ac:dyDescent="0.35">
      <c r="A531" s="11"/>
      <c r="B531" s="24" t="s">
        <v>283</v>
      </c>
      <c r="C531" s="25" t="s">
        <v>292</v>
      </c>
      <c r="D531" s="10" t="s">
        <v>68</v>
      </c>
      <c r="E531" s="10" t="s">
        <v>66</v>
      </c>
      <c r="F531" s="651" t="s">
        <v>53</v>
      </c>
      <c r="G531" s="652" t="s">
        <v>90</v>
      </c>
      <c r="H531" s="652" t="s">
        <v>38</v>
      </c>
      <c r="I531" s="653" t="s">
        <v>45</v>
      </c>
      <c r="J531" s="10"/>
      <c r="K531" s="26">
        <f t="shared" si="70"/>
        <v>2486.9</v>
      </c>
      <c r="L531" s="26">
        <f t="shared" si="70"/>
        <v>0</v>
      </c>
      <c r="M531" s="26">
        <f t="shared" si="70"/>
        <v>2486.9</v>
      </c>
      <c r="N531" s="26">
        <f t="shared" si="70"/>
        <v>2487.9</v>
      </c>
    </row>
    <row r="532" spans="1:14" s="7" customFormat="1" ht="36" x14ac:dyDescent="0.35">
      <c r="A532" s="11"/>
      <c r="B532" s="24" t="s">
        <v>48</v>
      </c>
      <c r="C532" s="25" t="s">
        <v>292</v>
      </c>
      <c r="D532" s="10" t="s">
        <v>68</v>
      </c>
      <c r="E532" s="10" t="s">
        <v>66</v>
      </c>
      <c r="F532" s="651" t="s">
        <v>53</v>
      </c>
      <c r="G532" s="652" t="s">
        <v>90</v>
      </c>
      <c r="H532" s="652" t="s">
        <v>38</v>
      </c>
      <c r="I532" s="653" t="s">
        <v>49</v>
      </c>
      <c r="J532" s="10"/>
      <c r="K532" s="26">
        <f>K533+K534+K535</f>
        <v>2486.9</v>
      </c>
      <c r="L532" s="26">
        <f>L533+L534+L535</f>
        <v>0</v>
      </c>
      <c r="M532" s="26">
        <f>M533+M534+M535</f>
        <v>2486.9</v>
      </c>
      <c r="N532" s="26">
        <f>N533+N534+N535</f>
        <v>2487.9</v>
      </c>
    </row>
    <row r="533" spans="1:14" s="7" customFormat="1" ht="108" x14ac:dyDescent="0.35">
      <c r="A533" s="11"/>
      <c r="B533" s="24" t="s">
        <v>50</v>
      </c>
      <c r="C533" s="25" t="s">
        <v>292</v>
      </c>
      <c r="D533" s="10" t="s">
        <v>68</v>
      </c>
      <c r="E533" s="10" t="s">
        <v>66</v>
      </c>
      <c r="F533" s="651" t="s">
        <v>53</v>
      </c>
      <c r="G533" s="652" t="s">
        <v>90</v>
      </c>
      <c r="H533" s="652" t="s">
        <v>38</v>
      </c>
      <c r="I533" s="653" t="s">
        <v>49</v>
      </c>
      <c r="J533" s="10" t="s">
        <v>51</v>
      </c>
      <c r="K533" s="26">
        <v>2442.4</v>
      </c>
      <c r="L533" s="26">
        <f>M533-K533</f>
        <v>0</v>
      </c>
      <c r="M533" s="26">
        <v>2442.4</v>
      </c>
      <c r="N533" s="26">
        <v>2442.4</v>
      </c>
    </row>
    <row r="534" spans="1:14" s="7" customFormat="1" ht="54" x14ac:dyDescent="0.35">
      <c r="A534" s="11"/>
      <c r="B534" s="24" t="s">
        <v>56</v>
      </c>
      <c r="C534" s="25" t="s">
        <v>292</v>
      </c>
      <c r="D534" s="10" t="s">
        <v>68</v>
      </c>
      <c r="E534" s="10" t="s">
        <v>66</v>
      </c>
      <c r="F534" s="651" t="s">
        <v>53</v>
      </c>
      <c r="G534" s="652" t="s">
        <v>90</v>
      </c>
      <c r="H534" s="652" t="s">
        <v>38</v>
      </c>
      <c r="I534" s="653" t="s">
        <v>49</v>
      </c>
      <c r="J534" s="10" t="s">
        <v>57</v>
      </c>
      <c r="K534" s="26">
        <f>42.5+0.1</f>
        <v>42.6</v>
      </c>
      <c r="L534" s="26">
        <f>M534-K534</f>
        <v>0</v>
      </c>
      <c r="M534" s="26">
        <f>42.5+0.1</f>
        <v>42.6</v>
      </c>
      <c r="N534" s="26">
        <f>43.6+0.1</f>
        <v>43.7</v>
      </c>
    </row>
    <row r="535" spans="1:14" s="7" customFormat="1" ht="18" x14ac:dyDescent="0.35">
      <c r="A535" s="11"/>
      <c r="B535" s="24" t="s">
        <v>58</v>
      </c>
      <c r="C535" s="25" t="s">
        <v>292</v>
      </c>
      <c r="D535" s="10" t="s">
        <v>68</v>
      </c>
      <c r="E535" s="10" t="s">
        <v>66</v>
      </c>
      <c r="F535" s="651" t="s">
        <v>53</v>
      </c>
      <c r="G535" s="652" t="s">
        <v>90</v>
      </c>
      <c r="H535" s="652" t="s">
        <v>38</v>
      </c>
      <c r="I535" s="653" t="s">
        <v>49</v>
      </c>
      <c r="J535" s="10" t="s">
        <v>59</v>
      </c>
      <c r="K535" s="26">
        <v>1.9</v>
      </c>
      <c r="L535" s="26">
        <f>M535-K535</f>
        <v>0</v>
      </c>
      <c r="M535" s="26">
        <v>1.9</v>
      </c>
      <c r="N535" s="26">
        <v>1.8</v>
      </c>
    </row>
    <row r="536" spans="1:14" s="7" customFormat="1" ht="18" x14ac:dyDescent="0.35">
      <c r="A536" s="11"/>
      <c r="B536" s="24"/>
      <c r="C536" s="25"/>
      <c r="D536" s="10"/>
      <c r="E536" s="10"/>
      <c r="F536" s="651"/>
      <c r="G536" s="652"/>
      <c r="H536" s="652"/>
      <c r="I536" s="653"/>
      <c r="J536" s="10"/>
      <c r="K536" s="26"/>
      <c r="L536" s="26"/>
      <c r="M536" s="26"/>
      <c r="N536" s="26"/>
    </row>
    <row r="537" spans="1:14" s="143" customFormat="1" ht="52.2" x14ac:dyDescent="0.3">
      <c r="A537" s="142">
        <v>8</v>
      </c>
      <c r="B537" s="18" t="s">
        <v>11</v>
      </c>
      <c r="C537" s="19" t="s">
        <v>288</v>
      </c>
      <c r="D537" s="20"/>
      <c r="E537" s="20"/>
      <c r="F537" s="21"/>
      <c r="G537" s="22"/>
      <c r="H537" s="22"/>
      <c r="I537" s="23"/>
      <c r="J537" s="20"/>
      <c r="K537" s="40">
        <f>K551+K538</f>
        <v>6956.4</v>
      </c>
      <c r="L537" s="40">
        <f>L551+L538</f>
        <v>0</v>
      </c>
      <c r="M537" s="40">
        <f>M551+M538</f>
        <v>6956.4</v>
      </c>
      <c r="N537" s="40">
        <f>N551+N538</f>
        <v>6961.8999999999987</v>
      </c>
    </row>
    <row r="538" spans="1:14" s="143" customFormat="1" ht="18" x14ac:dyDescent="0.35">
      <c r="A538" s="142"/>
      <c r="B538" s="24" t="s">
        <v>37</v>
      </c>
      <c r="C538" s="25" t="s">
        <v>288</v>
      </c>
      <c r="D538" s="10" t="s">
        <v>38</v>
      </c>
      <c r="E538" s="10"/>
      <c r="F538" s="651"/>
      <c r="G538" s="652"/>
      <c r="H538" s="652"/>
      <c r="I538" s="653"/>
      <c r="J538" s="10"/>
      <c r="K538" s="254">
        <f t="shared" ref="K538:N540" si="71">K539</f>
        <v>150.89999999999998</v>
      </c>
      <c r="L538" s="254">
        <f t="shared" si="71"/>
        <v>0</v>
      </c>
      <c r="M538" s="254">
        <f t="shared" si="71"/>
        <v>150.89999999999998</v>
      </c>
      <c r="N538" s="254">
        <f t="shared" si="71"/>
        <v>150.89999999999998</v>
      </c>
    </row>
    <row r="539" spans="1:14" s="143" customFormat="1" ht="18" x14ac:dyDescent="0.35">
      <c r="A539" s="142"/>
      <c r="B539" s="24" t="s">
        <v>71</v>
      </c>
      <c r="C539" s="25" t="s">
        <v>288</v>
      </c>
      <c r="D539" s="10" t="s">
        <v>38</v>
      </c>
      <c r="E539" s="10" t="s">
        <v>72</v>
      </c>
      <c r="F539" s="651"/>
      <c r="G539" s="652"/>
      <c r="H539" s="652"/>
      <c r="I539" s="653"/>
      <c r="J539" s="10"/>
      <c r="K539" s="254">
        <f t="shared" si="71"/>
        <v>150.89999999999998</v>
      </c>
      <c r="L539" s="254">
        <f t="shared" si="71"/>
        <v>0</v>
      </c>
      <c r="M539" s="254">
        <f t="shared" si="71"/>
        <v>150.89999999999998</v>
      </c>
      <c r="N539" s="254">
        <f t="shared" si="71"/>
        <v>150.89999999999998</v>
      </c>
    </row>
    <row r="540" spans="1:14" s="143" customFormat="1" ht="54" x14ac:dyDescent="0.35">
      <c r="A540" s="142"/>
      <c r="B540" s="24" t="s">
        <v>222</v>
      </c>
      <c r="C540" s="25" t="s">
        <v>288</v>
      </c>
      <c r="D540" s="10" t="s">
        <v>38</v>
      </c>
      <c r="E540" s="10" t="s">
        <v>72</v>
      </c>
      <c r="F540" s="651" t="s">
        <v>66</v>
      </c>
      <c r="G540" s="652" t="s">
        <v>43</v>
      </c>
      <c r="H540" s="652" t="s">
        <v>44</v>
      </c>
      <c r="I540" s="653" t="s">
        <v>45</v>
      </c>
      <c r="J540" s="10"/>
      <c r="K540" s="254">
        <f t="shared" si="71"/>
        <v>150.89999999999998</v>
      </c>
      <c r="L540" s="254">
        <f t="shared" si="71"/>
        <v>0</v>
      </c>
      <c r="M540" s="254">
        <f t="shared" si="71"/>
        <v>150.89999999999998</v>
      </c>
      <c r="N540" s="254">
        <f t="shared" si="71"/>
        <v>150.89999999999998</v>
      </c>
    </row>
    <row r="541" spans="1:14" s="143" customFormat="1" ht="36" x14ac:dyDescent="0.35">
      <c r="A541" s="142"/>
      <c r="B541" s="24" t="s">
        <v>221</v>
      </c>
      <c r="C541" s="25" t="s">
        <v>288</v>
      </c>
      <c r="D541" s="10" t="s">
        <v>38</v>
      </c>
      <c r="E541" s="10" t="s">
        <v>72</v>
      </c>
      <c r="F541" s="651" t="s">
        <v>66</v>
      </c>
      <c r="G541" s="652" t="s">
        <v>90</v>
      </c>
      <c r="H541" s="652" t="s">
        <v>44</v>
      </c>
      <c r="I541" s="653" t="s">
        <v>45</v>
      </c>
      <c r="J541" s="10"/>
      <c r="K541" s="254">
        <f>K542+K545+K548</f>
        <v>150.89999999999998</v>
      </c>
      <c r="L541" s="254">
        <f>L542+L545+L548</f>
        <v>0</v>
      </c>
      <c r="M541" s="254">
        <f>M542+M545+M548</f>
        <v>150.89999999999998</v>
      </c>
      <c r="N541" s="254">
        <f>N542+N545+N548</f>
        <v>150.89999999999998</v>
      </c>
    </row>
    <row r="542" spans="1:14" s="143" customFormat="1" ht="36" x14ac:dyDescent="0.35">
      <c r="A542" s="142"/>
      <c r="B542" s="292" t="s">
        <v>358</v>
      </c>
      <c r="C542" s="25" t="s">
        <v>288</v>
      </c>
      <c r="D542" s="10" t="s">
        <v>38</v>
      </c>
      <c r="E542" s="10" t="s">
        <v>72</v>
      </c>
      <c r="F542" s="651" t="s">
        <v>66</v>
      </c>
      <c r="G542" s="652" t="s">
        <v>90</v>
      </c>
      <c r="H542" s="652" t="s">
        <v>40</v>
      </c>
      <c r="I542" s="653" t="s">
        <v>45</v>
      </c>
      <c r="J542" s="10"/>
      <c r="K542" s="254">
        <f t="shared" ref="K542:N543" si="72">K543</f>
        <v>93.6</v>
      </c>
      <c r="L542" s="254">
        <f t="shared" si="72"/>
        <v>0</v>
      </c>
      <c r="M542" s="254">
        <f t="shared" si="72"/>
        <v>93.6</v>
      </c>
      <c r="N542" s="254">
        <f t="shared" si="72"/>
        <v>93.6</v>
      </c>
    </row>
    <row r="543" spans="1:14" s="143" customFormat="1" ht="57" customHeight="1" x14ac:dyDescent="0.35">
      <c r="A543" s="142"/>
      <c r="B543" s="292" t="s">
        <v>359</v>
      </c>
      <c r="C543" s="25" t="s">
        <v>288</v>
      </c>
      <c r="D543" s="10" t="s">
        <v>38</v>
      </c>
      <c r="E543" s="10" t="s">
        <v>72</v>
      </c>
      <c r="F543" s="651" t="s">
        <v>66</v>
      </c>
      <c r="G543" s="652" t="s">
        <v>90</v>
      </c>
      <c r="H543" s="652" t="s">
        <v>40</v>
      </c>
      <c r="I543" s="653" t="s">
        <v>106</v>
      </c>
      <c r="J543" s="10"/>
      <c r="K543" s="254">
        <f t="shared" si="72"/>
        <v>93.6</v>
      </c>
      <c r="L543" s="254">
        <f t="shared" si="72"/>
        <v>0</v>
      </c>
      <c r="M543" s="254">
        <f t="shared" si="72"/>
        <v>93.6</v>
      </c>
      <c r="N543" s="254">
        <f t="shared" si="72"/>
        <v>93.6</v>
      </c>
    </row>
    <row r="544" spans="1:14" s="143" customFormat="1" ht="54" x14ac:dyDescent="0.35">
      <c r="A544" s="142"/>
      <c r="B544" s="292" t="s">
        <v>56</v>
      </c>
      <c r="C544" s="25" t="s">
        <v>288</v>
      </c>
      <c r="D544" s="10" t="s">
        <v>38</v>
      </c>
      <c r="E544" s="10" t="s">
        <v>72</v>
      </c>
      <c r="F544" s="651" t="s">
        <v>66</v>
      </c>
      <c r="G544" s="652" t="s">
        <v>90</v>
      </c>
      <c r="H544" s="652" t="s">
        <v>40</v>
      </c>
      <c r="I544" s="653" t="s">
        <v>106</v>
      </c>
      <c r="J544" s="10" t="s">
        <v>57</v>
      </c>
      <c r="K544" s="254">
        <v>93.6</v>
      </c>
      <c r="L544" s="26">
        <f>M544-K544</f>
        <v>0</v>
      </c>
      <c r="M544" s="254">
        <v>93.6</v>
      </c>
      <c r="N544" s="254">
        <v>93.6</v>
      </c>
    </row>
    <row r="545" spans="1:14" s="143" customFormat="1" ht="36" x14ac:dyDescent="0.35">
      <c r="A545" s="142"/>
      <c r="B545" s="24" t="s">
        <v>494</v>
      </c>
      <c r="C545" s="25" t="s">
        <v>288</v>
      </c>
      <c r="D545" s="10" t="s">
        <v>38</v>
      </c>
      <c r="E545" s="10" t="s">
        <v>72</v>
      </c>
      <c r="F545" s="651" t="s">
        <v>66</v>
      </c>
      <c r="G545" s="652" t="s">
        <v>90</v>
      </c>
      <c r="H545" s="652" t="s">
        <v>64</v>
      </c>
      <c r="I545" s="653" t="s">
        <v>45</v>
      </c>
      <c r="J545" s="10"/>
      <c r="K545" s="254">
        <f t="shared" ref="K545:N546" si="73">K546</f>
        <v>14.8</v>
      </c>
      <c r="L545" s="254">
        <f t="shared" si="73"/>
        <v>0</v>
      </c>
      <c r="M545" s="254">
        <f t="shared" si="73"/>
        <v>14.8</v>
      </c>
      <c r="N545" s="254">
        <f t="shared" si="73"/>
        <v>14.8</v>
      </c>
    </row>
    <row r="546" spans="1:14" s="143" customFormat="1" ht="18" x14ac:dyDescent="0.35">
      <c r="A546" s="142"/>
      <c r="B546" s="24" t="s">
        <v>492</v>
      </c>
      <c r="C546" s="25" t="s">
        <v>288</v>
      </c>
      <c r="D546" s="10" t="s">
        <v>38</v>
      </c>
      <c r="E546" s="10" t="s">
        <v>72</v>
      </c>
      <c r="F546" s="651" t="s">
        <v>66</v>
      </c>
      <c r="G546" s="652" t="s">
        <v>90</v>
      </c>
      <c r="H546" s="652" t="s">
        <v>64</v>
      </c>
      <c r="I546" s="653" t="s">
        <v>493</v>
      </c>
      <c r="J546" s="10"/>
      <c r="K546" s="254">
        <f t="shared" si="73"/>
        <v>14.8</v>
      </c>
      <c r="L546" s="254">
        <f t="shared" si="73"/>
        <v>0</v>
      </c>
      <c r="M546" s="254">
        <f t="shared" si="73"/>
        <v>14.8</v>
      </c>
      <c r="N546" s="254">
        <f t="shared" si="73"/>
        <v>14.8</v>
      </c>
    </row>
    <row r="547" spans="1:14" s="143" customFormat="1" ht="54" x14ac:dyDescent="0.35">
      <c r="A547" s="142"/>
      <c r="B547" s="292" t="s">
        <v>56</v>
      </c>
      <c r="C547" s="25" t="s">
        <v>288</v>
      </c>
      <c r="D547" s="10" t="s">
        <v>38</v>
      </c>
      <c r="E547" s="10" t="s">
        <v>72</v>
      </c>
      <c r="F547" s="651" t="s">
        <v>66</v>
      </c>
      <c r="G547" s="652" t="s">
        <v>90</v>
      </c>
      <c r="H547" s="652" t="s">
        <v>64</v>
      </c>
      <c r="I547" s="653" t="s">
        <v>493</v>
      </c>
      <c r="J547" s="35" t="s">
        <v>57</v>
      </c>
      <c r="K547" s="254">
        <v>14.8</v>
      </c>
      <c r="L547" s="26">
        <f>M547-K547</f>
        <v>0</v>
      </c>
      <c r="M547" s="254">
        <v>14.8</v>
      </c>
      <c r="N547" s="254">
        <v>14.8</v>
      </c>
    </row>
    <row r="548" spans="1:14" s="143" customFormat="1" ht="36" x14ac:dyDescent="0.35">
      <c r="A548" s="142"/>
      <c r="B548" s="292" t="s">
        <v>504</v>
      </c>
      <c r="C548" s="25" t="s">
        <v>288</v>
      </c>
      <c r="D548" s="10" t="s">
        <v>38</v>
      </c>
      <c r="E548" s="10" t="s">
        <v>72</v>
      </c>
      <c r="F548" s="651" t="s">
        <v>66</v>
      </c>
      <c r="G548" s="652" t="s">
        <v>90</v>
      </c>
      <c r="H548" s="652" t="s">
        <v>53</v>
      </c>
      <c r="I548" s="653" t="s">
        <v>45</v>
      </c>
      <c r="J548" s="20"/>
      <c r="K548" s="254">
        <f t="shared" ref="K548:N549" si="74">K549</f>
        <v>42.5</v>
      </c>
      <c r="L548" s="254">
        <f t="shared" si="74"/>
        <v>0</v>
      </c>
      <c r="M548" s="254">
        <f t="shared" si="74"/>
        <v>42.5</v>
      </c>
      <c r="N548" s="254">
        <f t="shared" si="74"/>
        <v>42.5</v>
      </c>
    </row>
    <row r="549" spans="1:14" s="143" customFormat="1" ht="36" x14ac:dyDescent="0.35">
      <c r="A549" s="142"/>
      <c r="B549" s="263" t="s">
        <v>128</v>
      </c>
      <c r="C549" s="25" t="s">
        <v>288</v>
      </c>
      <c r="D549" s="10" t="s">
        <v>38</v>
      </c>
      <c r="E549" s="10" t="s">
        <v>72</v>
      </c>
      <c r="F549" s="651" t="s">
        <v>66</v>
      </c>
      <c r="G549" s="652" t="s">
        <v>90</v>
      </c>
      <c r="H549" s="652" t="s">
        <v>53</v>
      </c>
      <c r="I549" s="653" t="s">
        <v>91</v>
      </c>
      <c r="J549" s="20"/>
      <c r="K549" s="254">
        <f t="shared" si="74"/>
        <v>42.5</v>
      </c>
      <c r="L549" s="254">
        <f t="shared" si="74"/>
        <v>0</v>
      </c>
      <c r="M549" s="254">
        <f t="shared" si="74"/>
        <v>42.5</v>
      </c>
      <c r="N549" s="254">
        <f t="shared" si="74"/>
        <v>42.5</v>
      </c>
    </row>
    <row r="550" spans="1:14" s="143" customFormat="1" ht="54" x14ac:dyDescent="0.35">
      <c r="A550" s="142"/>
      <c r="B550" s="292" t="s">
        <v>56</v>
      </c>
      <c r="C550" s="25" t="s">
        <v>288</v>
      </c>
      <c r="D550" s="10" t="s">
        <v>38</v>
      </c>
      <c r="E550" s="10" t="s">
        <v>72</v>
      </c>
      <c r="F550" s="651" t="s">
        <v>66</v>
      </c>
      <c r="G550" s="652" t="s">
        <v>90</v>
      </c>
      <c r="H550" s="652" t="s">
        <v>53</v>
      </c>
      <c r="I550" s="653" t="s">
        <v>91</v>
      </c>
      <c r="J550" s="35" t="s">
        <v>57</v>
      </c>
      <c r="K550" s="254">
        <v>42.5</v>
      </c>
      <c r="L550" s="26">
        <f>M550-K550</f>
        <v>0</v>
      </c>
      <c r="M550" s="254">
        <v>42.5</v>
      </c>
      <c r="N550" s="254">
        <v>42.5</v>
      </c>
    </row>
    <row r="551" spans="1:14" s="7" customFormat="1" ht="18" x14ac:dyDescent="0.35">
      <c r="A551" s="142"/>
      <c r="B551" s="24" t="s">
        <v>180</v>
      </c>
      <c r="C551" s="25" t="s">
        <v>288</v>
      </c>
      <c r="D551" s="10" t="s">
        <v>225</v>
      </c>
      <c r="E551" s="10"/>
      <c r="F551" s="651"/>
      <c r="G551" s="652"/>
      <c r="H551" s="652"/>
      <c r="I551" s="653"/>
      <c r="J551" s="10"/>
      <c r="K551" s="26">
        <f>K552+K560</f>
        <v>6805.5</v>
      </c>
      <c r="L551" s="26">
        <f>L552+L560</f>
        <v>0</v>
      </c>
      <c r="M551" s="26">
        <f>M552+M560</f>
        <v>6805.5</v>
      </c>
      <c r="N551" s="26">
        <f>N552+N560</f>
        <v>6810.9999999999991</v>
      </c>
    </row>
    <row r="552" spans="1:14" s="143" customFormat="1" ht="18" x14ac:dyDescent="0.35">
      <c r="A552" s="142"/>
      <c r="B552" s="24" t="s">
        <v>357</v>
      </c>
      <c r="C552" s="25" t="s">
        <v>288</v>
      </c>
      <c r="D552" s="10" t="s">
        <v>225</v>
      </c>
      <c r="E552" s="10" t="s">
        <v>225</v>
      </c>
      <c r="F552" s="651"/>
      <c r="G552" s="652"/>
      <c r="H552" s="652"/>
      <c r="I552" s="653"/>
      <c r="J552" s="10"/>
      <c r="K552" s="26">
        <f>K553</f>
        <v>3771.5999999999995</v>
      </c>
      <c r="L552" s="26">
        <f>L553</f>
        <v>0</v>
      </c>
      <c r="M552" s="26">
        <f>M553</f>
        <v>3771.5999999999995</v>
      </c>
      <c r="N552" s="26">
        <f>N553</f>
        <v>3771.5999999999995</v>
      </c>
    </row>
    <row r="553" spans="1:14" s="143" customFormat="1" ht="54" x14ac:dyDescent="0.35">
      <c r="A553" s="142"/>
      <c r="B553" s="24" t="s">
        <v>222</v>
      </c>
      <c r="C553" s="25" t="s">
        <v>288</v>
      </c>
      <c r="D553" s="10" t="s">
        <v>225</v>
      </c>
      <c r="E553" s="10" t="s">
        <v>225</v>
      </c>
      <c r="F553" s="651" t="s">
        <v>66</v>
      </c>
      <c r="G553" s="652" t="s">
        <v>43</v>
      </c>
      <c r="H553" s="652" t="s">
        <v>44</v>
      </c>
      <c r="I553" s="653" t="s">
        <v>45</v>
      </c>
      <c r="J553" s="10"/>
      <c r="K553" s="26">
        <f t="shared" ref="K553:N555" si="75">K554</f>
        <v>3771.5999999999995</v>
      </c>
      <c r="L553" s="26">
        <f t="shared" si="75"/>
        <v>0</v>
      </c>
      <c r="M553" s="26">
        <f t="shared" si="75"/>
        <v>3771.5999999999995</v>
      </c>
      <c r="N553" s="26">
        <f t="shared" si="75"/>
        <v>3771.5999999999995</v>
      </c>
    </row>
    <row r="554" spans="1:14" s="143" customFormat="1" ht="18" x14ac:dyDescent="0.35">
      <c r="A554" s="142"/>
      <c r="B554" s="24" t="s">
        <v>223</v>
      </c>
      <c r="C554" s="25" t="s">
        <v>288</v>
      </c>
      <c r="D554" s="10" t="s">
        <v>225</v>
      </c>
      <c r="E554" s="10" t="s">
        <v>225</v>
      </c>
      <c r="F554" s="651" t="s">
        <v>66</v>
      </c>
      <c r="G554" s="652" t="s">
        <v>46</v>
      </c>
      <c r="H554" s="652" t="s">
        <v>44</v>
      </c>
      <c r="I554" s="653" t="s">
        <v>45</v>
      </c>
      <c r="J554" s="10"/>
      <c r="K554" s="26">
        <f t="shared" si="75"/>
        <v>3771.5999999999995</v>
      </c>
      <c r="L554" s="26">
        <f t="shared" si="75"/>
        <v>0</v>
      </c>
      <c r="M554" s="26">
        <f t="shared" si="75"/>
        <v>3771.5999999999995</v>
      </c>
      <c r="N554" s="26">
        <f t="shared" si="75"/>
        <v>3771.5999999999995</v>
      </c>
    </row>
    <row r="555" spans="1:14" s="143" customFormat="1" ht="72" customHeight="1" x14ac:dyDescent="0.35">
      <c r="A555" s="142"/>
      <c r="B555" s="24" t="s">
        <v>289</v>
      </c>
      <c r="C555" s="25" t="s">
        <v>288</v>
      </c>
      <c r="D555" s="10" t="s">
        <v>225</v>
      </c>
      <c r="E555" s="10" t="s">
        <v>225</v>
      </c>
      <c r="F555" s="651" t="s">
        <v>66</v>
      </c>
      <c r="G555" s="652" t="s">
        <v>46</v>
      </c>
      <c r="H555" s="652" t="s">
        <v>38</v>
      </c>
      <c r="I555" s="653" t="s">
        <v>45</v>
      </c>
      <c r="J555" s="10"/>
      <c r="K555" s="26">
        <f t="shared" si="75"/>
        <v>3771.5999999999995</v>
      </c>
      <c r="L555" s="26">
        <f t="shared" si="75"/>
        <v>0</v>
      </c>
      <c r="M555" s="26">
        <f t="shared" si="75"/>
        <v>3771.5999999999995</v>
      </c>
      <c r="N555" s="26">
        <f t="shared" si="75"/>
        <v>3771.5999999999995</v>
      </c>
    </row>
    <row r="556" spans="1:14" s="143" customFormat="1" ht="35.4" customHeight="1" x14ac:dyDescent="0.35">
      <c r="A556" s="142"/>
      <c r="B556" s="105" t="s">
        <v>490</v>
      </c>
      <c r="C556" s="25" t="s">
        <v>288</v>
      </c>
      <c r="D556" s="10" t="s">
        <v>225</v>
      </c>
      <c r="E556" s="10" t="s">
        <v>225</v>
      </c>
      <c r="F556" s="651" t="s">
        <v>66</v>
      </c>
      <c r="G556" s="652" t="s">
        <v>46</v>
      </c>
      <c r="H556" s="652" t="s">
        <v>38</v>
      </c>
      <c r="I556" s="653" t="s">
        <v>92</v>
      </c>
      <c r="J556" s="10"/>
      <c r="K556" s="26">
        <f>K557+K558+K559</f>
        <v>3771.5999999999995</v>
      </c>
      <c r="L556" s="26">
        <f>L557+L558+L559</f>
        <v>0</v>
      </c>
      <c r="M556" s="26">
        <f>M557+M558+M559</f>
        <v>3771.5999999999995</v>
      </c>
      <c r="N556" s="26">
        <f>N557+N558+N559</f>
        <v>3771.5999999999995</v>
      </c>
    </row>
    <row r="557" spans="1:14" s="143" customFormat="1" ht="108" x14ac:dyDescent="0.35">
      <c r="A557" s="11"/>
      <c r="B557" s="24" t="s">
        <v>50</v>
      </c>
      <c r="C557" s="25" t="s">
        <v>288</v>
      </c>
      <c r="D557" s="10" t="s">
        <v>225</v>
      </c>
      <c r="E557" s="10" t="s">
        <v>225</v>
      </c>
      <c r="F557" s="651" t="s">
        <v>66</v>
      </c>
      <c r="G557" s="652" t="s">
        <v>46</v>
      </c>
      <c r="H557" s="652" t="s">
        <v>38</v>
      </c>
      <c r="I557" s="653" t="s">
        <v>92</v>
      </c>
      <c r="J557" s="10" t="s">
        <v>51</v>
      </c>
      <c r="K557" s="26">
        <v>3374.2</v>
      </c>
      <c r="L557" s="26">
        <f>M557-K557</f>
        <v>0</v>
      </c>
      <c r="M557" s="26">
        <v>3374.2</v>
      </c>
      <c r="N557" s="26">
        <v>3374.2</v>
      </c>
    </row>
    <row r="558" spans="1:14" s="7" customFormat="1" ht="54" x14ac:dyDescent="0.35">
      <c r="A558" s="11"/>
      <c r="B558" s="24" t="s">
        <v>56</v>
      </c>
      <c r="C558" s="25" t="s">
        <v>288</v>
      </c>
      <c r="D558" s="10" t="s">
        <v>225</v>
      </c>
      <c r="E558" s="10" t="s">
        <v>225</v>
      </c>
      <c r="F558" s="651" t="s">
        <v>66</v>
      </c>
      <c r="G558" s="652" t="s">
        <v>46</v>
      </c>
      <c r="H558" s="652" t="s">
        <v>38</v>
      </c>
      <c r="I558" s="653" t="s">
        <v>92</v>
      </c>
      <c r="J558" s="10" t="s">
        <v>57</v>
      </c>
      <c r="K558" s="26">
        <v>394.7</v>
      </c>
      <c r="L558" s="26">
        <f>M558-K558</f>
        <v>0</v>
      </c>
      <c r="M558" s="26">
        <v>394.7</v>
      </c>
      <c r="N558" s="26">
        <v>394.7</v>
      </c>
    </row>
    <row r="559" spans="1:14" s="7" customFormat="1" ht="18" x14ac:dyDescent="0.35">
      <c r="A559" s="11"/>
      <c r="B559" s="24" t="s">
        <v>58</v>
      </c>
      <c r="C559" s="25" t="s">
        <v>288</v>
      </c>
      <c r="D559" s="10" t="s">
        <v>225</v>
      </c>
      <c r="E559" s="10" t="s">
        <v>225</v>
      </c>
      <c r="F559" s="651" t="s">
        <v>66</v>
      </c>
      <c r="G559" s="652" t="s">
        <v>46</v>
      </c>
      <c r="H559" s="652" t="s">
        <v>38</v>
      </c>
      <c r="I559" s="653" t="s">
        <v>92</v>
      </c>
      <c r="J559" s="10" t="s">
        <v>59</v>
      </c>
      <c r="K559" s="26">
        <v>2.7</v>
      </c>
      <c r="L559" s="26">
        <f>M559-K559</f>
        <v>0</v>
      </c>
      <c r="M559" s="26">
        <v>2.7</v>
      </c>
      <c r="N559" s="26">
        <v>2.7</v>
      </c>
    </row>
    <row r="560" spans="1:14" s="7" customFormat="1" ht="18" x14ac:dyDescent="0.35">
      <c r="A560" s="11"/>
      <c r="B560" s="24" t="s">
        <v>187</v>
      </c>
      <c r="C560" s="181" t="s">
        <v>288</v>
      </c>
      <c r="D560" s="10" t="s">
        <v>225</v>
      </c>
      <c r="E560" s="10" t="s">
        <v>80</v>
      </c>
      <c r="F560" s="651"/>
      <c r="G560" s="652"/>
      <c r="H560" s="652"/>
      <c r="I560" s="653"/>
      <c r="J560" s="10"/>
      <c r="K560" s="26">
        <f t="shared" ref="K560:N563" si="76">K561</f>
        <v>3033.9</v>
      </c>
      <c r="L560" s="26">
        <f t="shared" si="76"/>
        <v>0</v>
      </c>
      <c r="M560" s="26">
        <f t="shared" si="76"/>
        <v>3033.9</v>
      </c>
      <c r="N560" s="26">
        <f t="shared" si="76"/>
        <v>3039.3999999999996</v>
      </c>
    </row>
    <row r="561" spans="1:14" s="7" customFormat="1" ht="54" x14ac:dyDescent="0.35">
      <c r="A561" s="11"/>
      <c r="B561" s="24" t="s">
        <v>222</v>
      </c>
      <c r="C561" s="181" t="s">
        <v>288</v>
      </c>
      <c r="D561" s="10" t="s">
        <v>225</v>
      </c>
      <c r="E561" s="10" t="s">
        <v>80</v>
      </c>
      <c r="F561" s="651" t="s">
        <v>66</v>
      </c>
      <c r="G561" s="652" t="s">
        <v>43</v>
      </c>
      <c r="H561" s="652" t="s">
        <v>44</v>
      </c>
      <c r="I561" s="653" t="s">
        <v>45</v>
      </c>
      <c r="J561" s="10"/>
      <c r="K561" s="26">
        <f t="shared" si="76"/>
        <v>3033.9</v>
      </c>
      <c r="L561" s="26">
        <f t="shared" si="76"/>
        <v>0</v>
      </c>
      <c r="M561" s="26">
        <f t="shared" si="76"/>
        <v>3033.9</v>
      </c>
      <c r="N561" s="26">
        <f t="shared" si="76"/>
        <v>3039.3999999999996</v>
      </c>
    </row>
    <row r="562" spans="1:14" s="7" customFormat="1" ht="36" x14ac:dyDescent="0.35">
      <c r="A562" s="11"/>
      <c r="B562" s="24" t="s">
        <v>221</v>
      </c>
      <c r="C562" s="25" t="s">
        <v>288</v>
      </c>
      <c r="D562" s="10" t="s">
        <v>225</v>
      </c>
      <c r="E562" s="10" t="s">
        <v>80</v>
      </c>
      <c r="F562" s="651" t="s">
        <v>66</v>
      </c>
      <c r="G562" s="652" t="s">
        <v>90</v>
      </c>
      <c r="H562" s="652" t="s">
        <v>44</v>
      </c>
      <c r="I562" s="653" t="s">
        <v>45</v>
      </c>
      <c r="J562" s="10"/>
      <c r="K562" s="26">
        <f t="shared" si="76"/>
        <v>3033.9</v>
      </c>
      <c r="L562" s="26">
        <f t="shared" si="76"/>
        <v>0</v>
      </c>
      <c r="M562" s="26">
        <f t="shared" si="76"/>
        <v>3033.9</v>
      </c>
      <c r="N562" s="26">
        <f t="shared" si="76"/>
        <v>3039.3999999999996</v>
      </c>
    </row>
    <row r="563" spans="1:14" s="143" customFormat="1" ht="36" x14ac:dyDescent="0.35">
      <c r="A563" s="11"/>
      <c r="B563" s="24" t="s">
        <v>283</v>
      </c>
      <c r="C563" s="25" t="s">
        <v>288</v>
      </c>
      <c r="D563" s="10" t="s">
        <v>225</v>
      </c>
      <c r="E563" s="10" t="s">
        <v>80</v>
      </c>
      <c r="F563" s="651" t="s">
        <v>66</v>
      </c>
      <c r="G563" s="652" t="s">
        <v>90</v>
      </c>
      <c r="H563" s="652" t="s">
        <v>38</v>
      </c>
      <c r="I563" s="653" t="s">
        <v>45</v>
      </c>
      <c r="J563" s="10"/>
      <c r="K563" s="26">
        <f t="shared" si="76"/>
        <v>3033.9</v>
      </c>
      <c r="L563" s="26">
        <f t="shared" si="76"/>
        <v>0</v>
      </c>
      <c r="M563" s="26">
        <f t="shared" si="76"/>
        <v>3033.9</v>
      </c>
      <c r="N563" s="26">
        <f t="shared" si="76"/>
        <v>3039.3999999999996</v>
      </c>
    </row>
    <row r="564" spans="1:14" s="7" customFormat="1" ht="36" x14ac:dyDescent="0.35">
      <c r="A564" s="11"/>
      <c r="B564" s="24" t="s">
        <v>48</v>
      </c>
      <c r="C564" s="25" t="s">
        <v>288</v>
      </c>
      <c r="D564" s="10" t="s">
        <v>225</v>
      </c>
      <c r="E564" s="10" t="s">
        <v>80</v>
      </c>
      <c r="F564" s="651" t="s">
        <v>66</v>
      </c>
      <c r="G564" s="652" t="s">
        <v>90</v>
      </c>
      <c r="H564" s="652" t="s">
        <v>38</v>
      </c>
      <c r="I564" s="653" t="s">
        <v>49</v>
      </c>
      <c r="J564" s="10"/>
      <c r="K564" s="26">
        <f>K565+K566+K567</f>
        <v>3033.9</v>
      </c>
      <c r="L564" s="26">
        <f>L565+L566+L567</f>
        <v>0</v>
      </c>
      <c r="M564" s="26">
        <f>M565+M566+M567</f>
        <v>3033.9</v>
      </c>
      <c r="N564" s="26">
        <f>N565+N566+N567</f>
        <v>3039.3999999999996</v>
      </c>
    </row>
    <row r="565" spans="1:14" s="7" customFormat="1" ht="108" x14ac:dyDescent="0.35">
      <c r="A565" s="11"/>
      <c r="B565" s="24" t="s">
        <v>50</v>
      </c>
      <c r="C565" s="25" t="s">
        <v>288</v>
      </c>
      <c r="D565" s="10" t="s">
        <v>225</v>
      </c>
      <c r="E565" s="10" t="s">
        <v>80</v>
      </c>
      <c r="F565" s="651" t="s">
        <v>66</v>
      </c>
      <c r="G565" s="652" t="s">
        <v>90</v>
      </c>
      <c r="H565" s="652" t="s">
        <v>38</v>
      </c>
      <c r="I565" s="653" t="s">
        <v>49</v>
      </c>
      <c r="J565" s="10" t="s">
        <v>51</v>
      </c>
      <c r="K565" s="26">
        <v>2735.5</v>
      </c>
      <c r="L565" s="26">
        <f>M565-K565</f>
        <v>0</v>
      </c>
      <c r="M565" s="26">
        <v>2735.5</v>
      </c>
      <c r="N565" s="26">
        <v>2735.5</v>
      </c>
    </row>
    <row r="566" spans="1:14" s="7" customFormat="1" ht="54" x14ac:dyDescent="0.35">
      <c r="A566" s="11"/>
      <c r="B566" s="24" t="s">
        <v>56</v>
      </c>
      <c r="C566" s="181" t="s">
        <v>288</v>
      </c>
      <c r="D566" s="119" t="s">
        <v>225</v>
      </c>
      <c r="E566" s="119" t="s">
        <v>80</v>
      </c>
      <c r="F566" s="651" t="s">
        <v>66</v>
      </c>
      <c r="G566" s="652" t="s">
        <v>90</v>
      </c>
      <c r="H566" s="652" t="s">
        <v>38</v>
      </c>
      <c r="I566" s="653" t="s">
        <v>49</v>
      </c>
      <c r="J566" s="10" t="s">
        <v>57</v>
      </c>
      <c r="K566" s="26">
        <v>297.10000000000002</v>
      </c>
      <c r="L566" s="26">
        <f>M566-K566</f>
        <v>0</v>
      </c>
      <c r="M566" s="26">
        <v>297.10000000000002</v>
      </c>
      <c r="N566" s="26">
        <v>302.7</v>
      </c>
    </row>
    <row r="567" spans="1:14" s="7" customFormat="1" ht="18" x14ac:dyDescent="0.35">
      <c r="A567" s="11"/>
      <c r="B567" s="24" t="s">
        <v>58</v>
      </c>
      <c r="C567" s="181" t="s">
        <v>288</v>
      </c>
      <c r="D567" s="119" t="s">
        <v>225</v>
      </c>
      <c r="E567" s="119" t="s">
        <v>80</v>
      </c>
      <c r="F567" s="651" t="s">
        <v>66</v>
      </c>
      <c r="G567" s="652" t="s">
        <v>90</v>
      </c>
      <c r="H567" s="652" t="s">
        <v>38</v>
      </c>
      <c r="I567" s="653" t="s">
        <v>49</v>
      </c>
      <c r="J567" s="10" t="s">
        <v>59</v>
      </c>
      <c r="K567" s="26">
        <v>1.3</v>
      </c>
      <c r="L567" s="26">
        <f>M567-K567</f>
        <v>0</v>
      </c>
      <c r="M567" s="26">
        <v>1.3</v>
      </c>
      <c r="N567" s="26">
        <v>1.2</v>
      </c>
    </row>
    <row r="568" spans="1:14" s="7" customFormat="1" ht="18" x14ac:dyDescent="0.35">
      <c r="A568" s="11"/>
      <c r="B568" s="24"/>
      <c r="C568" s="181"/>
      <c r="D568" s="119"/>
      <c r="E568" s="119"/>
      <c r="F568" s="651"/>
      <c r="G568" s="652"/>
      <c r="H568" s="652"/>
      <c r="I568" s="653"/>
      <c r="J568" s="10"/>
      <c r="K568" s="26"/>
      <c r="L568" s="26"/>
      <c r="M568" s="26"/>
      <c r="N568" s="26"/>
    </row>
    <row r="569" spans="1:14" s="143" customFormat="1" ht="52.2" x14ac:dyDescent="0.3">
      <c r="A569" s="142">
        <v>9</v>
      </c>
      <c r="B569" s="18" t="s">
        <v>12</v>
      </c>
      <c r="C569" s="19" t="s">
        <v>296</v>
      </c>
      <c r="D569" s="20"/>
      <c r="E569" s="20"/>
      <c r="F569" s="21"/>
      <c r="G569" s="22"/>
      <c r="H569" s="22"/>
      <c r="I569" s="23"/>
      <c r="J569" s="20"/>
      <c r="K569" s="40">
        <f>K570</f>
        <v>76230.699999999983</v>
      </c>
      <c r="L569" s="40">
        <f>L570</f>
        <v>0</v>
      </c>
      <c r="M569" s="40">
        <f>M570</f>
        <v>76230.699999999983</v>
      </c>
      <c r="N569" s="40">
        <f>N570</f>
        <v>77761</v>
      </c>
    </row>
    <row r="570" spans="1:14" s="7" customFormat="1" ht="18" x14ac:dyDescent="0.35">
      <c r="A570" s="11"/>
      <c r="B570" s="30" t="s">
        <v>120</v>
      </c>
      <c r="C570" s="25" t="s">
        <v>296</v>
      </c>
      <c r="D570" s="10" t="s">
        <v>105</v>
      </c>
      <c r="E570" s="10"/>
      <c r="F570" s="651"/>
      <c r="G570" s="652"/>
      <c r="H570" s="652"/>
      <c r="I570" s="653"/>
      <c r="J570" s="10"/>
      <c r="K570" s="26">
        <f>K571+K587</f>
        <v>76230.699999999983</v>
      </c>
      <c r="L570" s="26">
        <f>L571+L587</f>
        <v>0</v>
      </c>
      <c r="M570" s="26">
        <f>M571+M587</f>
        <v>76230.699999999983</v>
      </c>
      <c r="N570" s="26">
        <f>N571+N587</f>
        <v>77761</v>
      </c>
    </row>
    <row r="571" spans="1:14" s="7" customFormat="1" ht="18" x14ac:dyDescent="0.35">
      <c r="A571" s="11"/>
      <c r="B571" s="24" t="s">
        <v>194</v>
      </c>
      <c r="C571" s="25" t="s">
        <v>296</v>
      </c>
      <c r="D571" s="10" t="s">
        <v>105</v>
      </c>
      <c r="E571" s="10" t="s">
        <v>53</v>
      </c>
      <c r="F571" s="651"/>
      <c r="G571" s="652"/>
      <c r="H571" s="652"/>
      <c r="I571" s="653"/>
      <c r="J571" s="10"/>
      <c r="K571" s="26">
        <f t="shared" ref="K571:N573" si="77">K572</f>
        <v>67603.499999999985</v>
      </c>
      <c r="L571" s="26">
        <f t="shared" si="77"/>
        <v>0</v>
      </c>
      <c r="M571" s="26">
        <f t="shared" si="77"/>
        <v>67603.499999999985</v>
      </c>
      <c r="N571" s="26">
        <f t="shared" si="77"/>
        <v>69133.8</v>
      </c>
    </row>
    <row r="572" spans="1:14" s="7" customFormat="1" ht="54" x14ac:dyDescent="0.35">
      <c r="A572" s="11"/>
      <c r="B572" s="28" t="s">
        <v>231</v>
      </c>
      <c r="C572" s="25" t="s">
        <v>296</v>
      </c>
      <c r="D572" s="10" t="s">
        <v>105</v>
      </c>
      <c r="E572" s="10" t="s">
        <v>53</v>
      </c>
      <c r="F572" s="651" t="s">
        <v>80</v>
      </c>
      <c r="G572" s="652" t="s">
        <v>43</v>
      </c>
      <c r="H572" s="652" t="s">
        <v>44</v>
      </c>
      <c r="I572" s="653" t="s">
        <v>45</v>
      </c>
      <c r="J572" s="10"/>
      <c r="K572" s="26">
        <f t="shared" si="77"/>
        <v>67603.499999999985</v>
      </c>
      <c r="L572" s="26">
        <f t="shared" si="77"/>
        <v>0</v>
      </c>
      <c r="M572" s="26">
        <f t="shared" si="77"/>
        <v>67603.499999999985</v>
      </c>
      <c r="N572" s="26">
        <f t="shared" si="77"/>
        <v>69133.8</v>
      </c>
    </row>
    <row r="573" spans="1:14" s="7" customFormat="1" ht="36" x14ac:dyDescent="0.35">
      <c r="A573" s="11"/>
      <c r="B573" s="24" t="s">
        <v>343</v>
      </c>
      <c r="C573" s="25" t="s">
        <v>296</v>
      </c>
      <c r="D573" s="10" t="s">
        <v>105</v>
      </c>
      <c r="E573" s="10" t="s">
        <v>53</v>
      </c>
      <c r="F573" s="651" t="s">
        <v>80</v>
      </c>
      <c r="G573" s="652" t="s">
        <v>46</v>
      </c>
      <c r="H573" s="652" t="s">
        <v>44</v>
      </c>
      <c r="I573" s="653" t="s">
        <v>45</v>
      </c>
      <c r="J573" s="10"/>
      <c r="K573" s="26">
        <f t="shared" si="77"/>
        <v>67603.499999999985</v>
      </c>
      <c r="L573" s="26">
        <f t="shared" si="77"/>
        <v>0</v>
      </c>
      <c r="M573" s="26">
        <f t="shared" si="77"/>
        <v>67603.499999999985</v>
      </c>
      <c r="N573" s="26">
        <f t="shared" si="77"/>
        <v>69133.8</v>
      </c>
    </row>
    <row r="574" spans="1:14" s="143" customFormat="1" ht="36" x14ac:dyDescent="0.35">
      <c r="A574" s="11"/>
      <c r="B574" s="24" t="s">
        <v>286</v>
      </c>
      <c r="C574" s="25" t="s">
        <v>296</v>
      </c>
      <c r="D574" s="10" t="s">
        <v>105</v>
      </c>
      <c r="E574" s="10" t="s">
        <v>53</v>
      </c>
      <c r="F574" s="651" t="s">
        <v>80</v>
      </c>
      <c r="G574" s="652" t="s">
        <v>46</v>
      </c>
      <c r="H574" s="652" t="s">
        <v>38</v>
      </c>
      <c r="I574" s="653" t="s">
        <v>45</v>
      </c>
      <c r="J574" s="10"/>
      <c r="K574" s="26">
        <f>K575+K578+K581+K584</f>
        <v>67603.499999999985</v>
      </c>
      <c r="L574" s="26">
        <f>L575+L578+L581+L584</f>
        <v>0</v>
      </c>
      <c r="M574" s="26">
        <f>M575+M578+M581+M584</f>
        <v>67603.499999999985</v>
      </c>
      <c r="N574" s="26">
        <f>N575+N578+N581+N584</f>
        <v>69133.8</v>
      </c>
    </row>
    <row r="575" spans="1:14" s="143" customFormat="1" ht="142.94999999999999" customHeight="1" x14ac:dyDescent="0.35">
      <c r="A575" s="11"/>
      <c r="B575" s="584" t="s">
        <v>364</v>
      </c>
      <c r="C575" s="25" t="s">
        <v>296</v>
      </c>
      <c r="D575" s="10" t="s">
        <v>105</v>
      </c>
      <c r="E575" s="10" t="s">
        <v>53</v>
      </c>
      <c r="F575" s="651" t="s">
        <v>80</v>
      </c>
      <c r="G575" s="652" t="s">
        <v>46</v>
      </c>
      <c r="H575" s="652" t="s">
        <v>38</v>
      </c>
      <c r="I575" s="653" t="s">
        <v>614</v>
      </c>
      <c r="J575" s="10"/>
      <c r="K575" s="26">
        <f>SUM(K576:K577)</f>
        <v>36785</v>
      </c>
      <c r="L575" s="26">
        <f>SUM(L576:L577)</f>
        <v>0</v>
      </c>
      <c r="M575" s="26">
        <f>SUM(M576:M577)</f>
        <v>36785</v>
      </c>
      <c r="N575" s="26">
        <f>SUM(N576:N577)</f>
        <v>38255.5</v>
      </c>
    </row>
    <row r="576" spans="1:14" s="143" customFormat="1" ht="54" x14ac:dyDescent="0.35">
      <c r="A576" s="11"/>
      <c r="B576" s="24" t="s">
        <v>56</v>
      </c>
      <c r="C576" s="25" t="s">
        <v>296</v>
      </c>
      <c r="D576" s="10" t="s">
        <v>105</v>
      </c>
      <c r="E576" s="10" t="s">
        <v>53</v>
      </c>
      <c r="F576" s="651" t="s">
        <v>80</v>
      </c>
      <c r="G576" s="652" t="s">
        <v>46</v>
      </c>
      <c r="H576" s="652" t="s">
        <v>38</v>
      </c>
      <c r="I576" s="653" t="s">
        <v>614</v>
      </c>
      <c r="J576" s="10" t="s">
        <v>57</v>
      </c>
      <c r="K576" s="26">
        <v>184</v>
      </c>
      <c r="L576" s="26">
        <f>M576-K576</f>
        <v>0</v>
      </c>
      <c r="M576" s="26">
        <v>184</v>
      </c>
      <c r="N576" s="26">
        <v>191.3</v>
      </c>
    </row>
    <row r="577" spans="1:14" s="143" customFormat="1" ht="36" x14ac:dyDescent="0.35">
      <c r="A577" s="11"/>
      <c r="B577" s="24" t="s">
        <v>121</v>
      </c>
      <c r="C577" s="25" t="s">
        <v>296</v>
      </c>
      <c r="D577" s="10" t="s">
        <v>105</v>
      </c>
      <c r="E577" s="10" t="s">
        <v>53</v>
      </c>
      <c r="F577" s="651" t="s">
        <v>80</v>
      </c>
      <c r="G577" s="652" t="s">
        <v>46</v>
      </c>
      <c r="H577" s="652" t="s">
        <v>38</v>
      </c>
      <c r="I577" s="653" t="s">
        <v>614</v>
      </c>
      <c r="J577" s="10" t="s">
        <v>122</v>
      </c>
      <c r="K577" s="26">
        <v>36601</v>
      </c>
      <c r="L577" s="26">
        <f>M577-K577</f>
        <v>0</v>
      </c>
      <c r="M577" s="26">
        <v>36601</v>
      </c>
      <c r="N577" s="26">
        <v>38064.199999999997</v>
      </c>
    </row>
    <row r="578" spans="1:14" s="143" customFormat="1" ht="93.75" customHeight="1" x14ac:dyDescent="0.35">
      <c r="A578" s="11"/>
      <c r="B578" s="24" t="s">
        <v>366</v>
      </c>
      <c r="C578" s="25" t="s">
        <v>296</v>
      </c>
      <c r="D578" s="10" t="s">
        <v>105</v>
      </c>
      <c r="E578" s="10" t="s">
        <v>53</v>
      </c>
      <c r="F578" s="651" t="s">
        <v>80</v>
      </c>
      <c r="G578" s="652" t="s">
        <v>46</v>
      </c>
      <c r="H578" s="652" t="s">
        <v>38</v>
      </c>
      <c r="I578" s="653" t="s">
        <v>616</v>
      </c>
      <c r="J578" s="10"/>
      <c r="K578" s="26">
        <f>SUM(K579:K580)</f>
        <v>1495.2</v>
      </c>
      <c r="L578" s="26">
        <f>SUM(L579:L580)</f>
        <v>0</v>
      </c>
      <c r="M578" s="26">
        <f>SUM(M579:M580)</f>
        <v>1495.2</v>
      </c>
      <c r="N578" s="26">
        <f>SUM(N579:N580)</f>
        <v>1555</v>
      </c>
    </row>
    <row r="579" spans="1:14" s="143" customFormat="1" ht="54" x14ac:dyDescent="0.35">
      <c r="A579" s="11"/>
      <c r="B579" s="24" t="s">
        <v>56</v>
      </c>
      <c r="C579" s="25" t="s">
        <v>296</v>
      </c>
      <c r="D579" s="10" t="s">
        <v>105</v>
      </c>
      <c r="E579" s="10" t="s">
        <v>53</v>
      </c>
      <c r="F579" s="651" t="s">
        <v>80</v>
      </c>
      <c r="G579" s="652" t="s">
        <v>46</v>
      </c>
      <c r="H579" s="652" t="s">
        <v>38</v>
      </c>
      <c r="I579" s="653" t="s">
        <v>616</v>
      </c>
      <c r="J579" s="10" t="s">
        <v>57</v>
      </c>
      <c r="K579" s="26">
        <v>7.5</v>
      </c>
      <c r="L579" s="26">
        <f>M579-K579</f>
        <v>0</v>
      </c>
      <c r="M579" s="26">
        <v>7.5</v>
      </c>
      <c r="N579" s="26">
        <v>7.8</v>
      </c>
    </row>
    <row r="580" spans="1:14" s="143" customFormat="1" ht="36" x14ac:dyDescent="0.35">
      <c r="A580" s="11"/>
      <c r="B580" s="24" t="s">
        <v>121</v>
      </c>
      <c r="C580" s="25" t="s">
        <v>296</v>
      </c>
      <c r="D580" s="10" t="s">
        <v>105</v>
      </c>
      <c r="E580" s="10" t="s">
        <v>53</v>
      </c>
      <c r="F580" s="651" t="s">
        <v>80</v>
      </c>
      <c r="G580" s="652" t="s">
        <v>46</v>
      </c>
      <c r="H580" s="652" t="s">
        <v>38</v>
      </c>
      <c r="I580" s="653" t="s">
        <v>616</v>
      </c>
      <c r="J580" s="10" t="s">
        <v>122</v>
      </c>
      <c r="K580" s="26">
        <v>1487.7</v>
      </c>
      <c r="L580" s="26">
        <f>M580-K580</f>
        <v>0</v>
      </c>
      <c r="M580" s="26">
        <v>1487.7</v>
      </c>
      <c r="N580" s="26">
        <v>1547.2</v>
      </c>
    </row>
    <row r="581" spans="1:14" s="143" customFormat="1" ht="88.2" customHeight="1" x14ac:dyDescent="0.35">
      <c r="A581" s="11"/>
      <c r="B581" s="24" t="s">
        <v>365</v>
      </c>
      <c r="C581" s="25" t="s">
        <v>296</v>
      </c>
      <c r="D581" s="10" t="s">
        <v>105</v>
      </c>
      <c r="E581" s="10" t="s">
        <v>53</v>
      </c>
      <c r="F581" s="651" t="s">
        <v>80</v>
      </c>
      <c r="G581" s="652" t="s">
        <v>46</v>
      </c>
      <c r="H581" s="652" t="s">
        <v>38</v>
      </c>
      <c r="I581" s="653" t="s">
        <v>615</v>
      </c>
      <c r="J581" s="10"/>
      <c r="K581" s="26">
        <f>SUM(K582:K583)</f>
        <v>27520.6</v>
      </c>
      <c r="L581" s="26">
        <f>SUM(L582:L583)</f>
        <v>0</v>
      </c>
      <c r="M581" s="26">
        <f>SUM(M582:M583)</f>
        <v>27520.6</v>
      </c>
      <c r="N581" s="26">
        <f>SUM(N582:N583)</f>
        <v>27520.6</v>
      </c>
    </row>
    <row r="582" spans="1:14" s="143" customFormat="1" ht="54" x14ac:dyDescent="0.35">
      <c r="A582" s="11"/>
      <c r="B582" s="24" t="s">
        <v>56</v>
      </c>
      <c r="C582" s="25" t="s">
        <v>296</v>
      </c>
      <c r="D582" s="10" t="s">
        <v>105</v>
      </c>
      <c r="E582" s="10" t="s">
        <v>53</v>
      </c>
      <c r="F582" s="651" t="s">
        <v>80</v>
      </c>
      <c r="G582" s="652" t="s">
        <v>46</v>
      </c>
      <c r="H582" s="652" t="s">
        <v>38</v>
      </c>
      <c r="I582" s="653" t="s">
        <v>615</v>
      </c>
      <c r="J582" s="10" t="s">
        <v>57</v>
      </c>
      <c r="K582" s="26">
        <v>137.6</v>
      </c>
      <c r="L582" s="26">
        <f>M582-K582</f>
        <v>0</v>
      </c>
      <c r="M582" s="26">
        <v>137.6</v>
      </c>
      <c r="N582" s="26">
        <v>137.6</v>
      </c>
    </row>
    <row r="583" spans="1:14" s="143" customFormat="1" ht="36" x14ac:dyDescent="0.35">
      <c r="A583" s="11"/>
      <c r="B583" s="24" t="s">
        <v>121</v>
      </c>
      <c r="C583" s="25" t="s">
        <v>296</v>
      </c>
      <c r="D583" s="10" t="s">
        <v>105</v>
      </c>
      <c r="E583" s="10" t="s">
        <v>53</v>
      </c>
      <c r="F583" s="651" t="s">
        <v>80</v>
      </c>
      <c r="G583" s="652" t="s">
        <v>46</v>
      </c>
      <c r="H583" s="652" t="s">
        <v>38</v>
      </c>
      <c r="I583" s="653" t="s">
        <v>615</v>
      </c>
      <c r="J583" s="10" t="s">
        <v>122</v>
      </c>
      <c r="K583" s="26">
        <v>27383</v>
      </c>
      <c r="L583" s="26">
        <f>M583-K583</f>
        <v>0</v>
      </c>
      <c r="M583" s="26">
        <v>27383</v>
      </c>
      <c r="N583" s="26">
        <v>27383</v>
      </c>
    </row>
    <row r="584" spans="1:14" s="143" customFormat="1" ht="106.2" customHeight="1" x14ac:dyDescent="0.35">
      <c r="A584" s="11"/>
      <c r="B584" s="24" t="s">
        <v>372</v>
      </c>
      <c r="C584" s="25" t="s">
        <v>296</v>
      </c>
      <c r="D584" s="10" t="s">
        <v>105</v>
      </c>
      <c r="E584" s="10" t="s">
        <v>53</v>
      </c>
      <c r="F584" s="651" t="s">
        <v>80</v>
      </c>
      <c r="G584" s="652" t="s">
        <v>46</v>
      </c>
      <c r="H584" s="652" t="s">
        <v>38</v>
      </c>
      <c r="I584" s="653" t="s">
        <v>617</v>
      </c>
      <c r="J584" s="10"/>
      <c r="K584" s="26">
        <f>SUM(K585:K586)</f>
        <v>1802.7</v>
      </c>
      <c r="L584" s="26">
        <f>SUM(L585:L586)</f>
        <v>0</v>
      </c>
      <c r="M584" s="26">
        <f>SUM(M585:M586)</f>
        <v>1802.7</v>
      </c>
      <c r="N584" s="26">
        <f>SUM(N585:N586)</f>
        <v>1802.7</v>
      </c>
    </row>
    <row r="585" spans="1:14" s="143" customFormat="1" ht="54" x14ac:dyDescent="0.35">
      <c r="A585" s="11"/>
      <c r="B585" s="24" t="s">
        <v>56</v>
      </c>
      <c r="C585" s="25" t="s">
        <v>296</v>
      </c>
      <c r="D585" s="10" t="s">
        <v>105</v>
      </c>
      <c r="E585" s="10" t="s">
        <v>53</v>
      </c>
      <c r="F585" s="651" t="s">
        <v>80</v>
      </c>
      <c r="G585" s="652" t="s">
        <v>46</v>
      </c>
      <c r="H585" s="652" t="s">
        <v>38</v>
      </c>
      <c r="I585" s="653" t="s">
        <v>617</v>
      </c>
      <c r="J585" s="10" t="s">
        <v>57</v>
      </c>
      <c r="K585" s="26">
        <v>9</v>
      </c>
      <c r="L585" s="26">
        <f>M585-K585</f>
        <v>0</v>
      </c>
      <c r="M585" s="26">
        <v>9</v>
      </c>
      <c r="N585" s="26">
        <v>9</v>
      </c>
    </row>
    <row r="586" spans="1:14" s="143" customFormat="1" ht="36" x14ac:dyDescent="0.35">
      <c r="A586" s="11"/>
      <c r="B586" s="24" t="s">
        <v>121</v>
      </c>
      <c r="C586" s="25" t="s">
        <v>296</v>
      </c>
      <c r="D586" s="10" t="s">
        <v>105</v>
      </c>
      <c r="E586" s="10" t="s">
        <v>53</v>
      </c>
      <c r="F586" s="651" t="s">
        <v>80</v>
      </c>
      <c r="G586" s="652" t="s">
        <v>46</v>
      </c>
      <c r="H586" s="652" t="s">
        <v>38</v>
      </c>
      <c r="I586" s="653" t="s">
        <v>617</v>
      </c>
      <c r="J586" s="10" t="s">
        <v>122</v>
      </c>
      <c r="K586" s="26">
        <v>1793.7</v>
      </c>
      <c r="L586" s="26">
        <f>M586-K586</f>
        <v>0</v>
      </c>
      <c r="M586" s="26">
        <v>1793.7</v>
      </c>
      <c r="N586" s="26">
        <v>1793.7</v>
      </c>
    </row>
    <row r="587" spans="1:14" s="7" customFormat="1" ht="36" x14ac:dyDescent="0.35">
      <c r="A587" s="11"/>
      <c r="B587" s="24" t="s">
        <v>298</v>
      </c>
      <c r="C587" s="25" t="s">
        <v>296</v>
      </c>
      <c r="D587" s="10" t="s">
        <v>105</v>
      </c>
      <c r="E587" s="10" t="s">
        <v>82</v>
      </c>
      <c r="F587" s="651"/>
      <c r="G587" s="652"/>
      <c r="H587" s="652"/>
      <c r="I587" s="653"/>
      <c r="J587" s="10"/>
      <c r="K587" s="26">
        <f t="shared" ref="K587:N589" si="78">K588</f>
        <v>8627.2000000000007</v>
      </c>
      <c r="L587" s="26">
        <f t="shared" si="78"/>
        <v>0</v>
      </c>
      <c r="M587" s="26">
        <f t="shared" si="78"/>
        <v>8627.2000000000007</v>
      </c>
      <c r="N587" s="26">
        <f t="shared" si="78"/>
        <v>8627.2000000000007</v>
      </c>
    </row>
    <row r="588" spans="1:14" s="7" customFormat="1" ht="54" x14ac:dyDescent="0.35">
      <c r="A588" s="11"/>
      <c r="B588" s="28" t="s">
        <v>231</v>
      </c>
      <c r="C588" s="25" t="s">
        <v>296</v>
      </c>
      <c r="D588" s="10" t="s">
        <v>105</v>
      </c>
      <c r="E588" s="10" t="s">
        <v>82</v>
      </c>
      <c r="F588" s="651" t="s">
        <v>80</v>
      </c>
      <c r="G588" s="652" t="s">
        <v>43</v>
      </c>
      <c r="H588" s="652" t="s">
        <v>44</v>
      </c>
      <c r="I588" s="653" t="s">
        <v>45</v>
      </c>
      <c r="J588" s="10"/>
      <c r="K588" s="26">
        <f t="shared" si="78"/>
        <v>8627.2000000000007</v>
      </c>
      <c r="L588" s="26">
        <f t="shared" si="78"/>
        <v>0</v>
      </c>
      <c r="M588" s="26">
        <f t="shared" si="78"/>
        <v>8627.2000000000007</v>
      </c>
      <c r="N588" s="26">
        <f t="shared" si="78"/>
        <v>8627.2000000000007</v>
      </c>
    </row>
    <row r="589" spans="1:14" s="7" customFormat="1" ht="36" x14ac:dyDescent="0.35">
      <c r="A589" s="11"/>
      <c r="B589" s="24" t="s">
        <v>343</v>
      </c>
      <c r="C589" s="25" t="s">
        <v>296</v>
      </c>
      <c r="D589" s="10" t="s">
        <v>105</v>
      </c>
      <c r="E589" s="10" t="s">
        <v>82</v>
      </c>
      <c r="F589" s="651" t="s">
        <v>80</v>
      </c>
      <c r="G589" s="652" t="s">
        <v>46</v>
      </c>
      <c r="H589" s="652" t="s">
        <v>44</v>
      </c>
      <c r="I589" s="653" t="s">
        <v>45</v>
      </c>
      <c r="J589" s="10"/>
      <c r="K589" s="26">
        <f t="shared" si="78"/>
        <v>8627.2000000000007</v>
      </c>
      <c r="L589" s="26">
        <f t="shared" si="78"/>
        <v>0</v>
      </c>
      <c r="M589" s="26">
        <f t="shared" si="78"/>
        <v>8627.2000000000007</v>
      </c>
      <c r="N589" s="26">
        <f t="shared" si="78"/>
        <v>8627.2000000000007</v>
      </c>
    </row>
    <row r="590" spans="1:14" s="143" customFormat="1" ht="36" x14ac:dyDescent="0.35">
      <c r="A590" s="11"/>
      <c r="B590" s="24" t="s">
        <v>230</v>
      </c>
      <c r="C590" s="25" t="s">
        <v>296</v>
      </c>
      <c r="D590" s="10" t="s">
        <v>105</v>
      </c>
      <c r="E590" s="10" t="s">
        <v>82</v>
      </c>
      <c r="F590" s="651" t="s">
        <v>80</v>
      </c>
      <c r="G590" s="652" t="s">
        <v>46</v>
      </c>
      <c r="H590" s="652" t="s">
        <v>64</v>
      </c>
      <c r="I590" s="653" t="s">
        <v>45</v>
      </c>
      <c r="J590" s="10"/>
      <c r="K590" s="26">
        <f>K591+K594+K597</f>
        <v>8627.2000000000007</v>
      </c>
      <c r="L590" s="26">
        <f>L591+L594+L597</f>
        <v>0</v>
      </c>
      <c r="M590" s="26">
        <f>M591+M594+M597</f>
        <v>8627.2000000000007</v>
      </c>
      <c r="N590" s="26">
        <f>N591+N594+N597</f>
        <v>8627.2000000000007</v>
      </c>
    </row>
    <row r="591" spans="1:14" s="143" customFormat="1" ht="255" customHeight="1" x14ac:dyDescent="0.35">
      <c r="A591" s="11"/>
      <c r="B591" s="112" t="s">
        <v>233</v>
      </c>
      <c r="C591" s="25" t="s">
        <v>296</v>
      </c>
      <c r="D591" s="10" t="s">
        <v>105</v>
      </c>
      <c r="E591" s="10" t="s">
        <v>82</v>
      </c>
      <c r="F591" s="651" t="s">
        <v>80</v>
      </c>
      <c r="G591" s="652" t="s">
        <v>46</v>
      </c>
      <c r="H591" s="652" t="s">
        <v>64</v>
      </c>
      <c r="I591" s="653" t="s">
        <v>618</v>
      </c>
      <c r="J591" s="10"/>
      <c r="K591" s="26">
        <f>K592+K593</f>
        <v>984.4</v>
      </c>
      <c r="L591" s="26">
        <f>L592+L593</f>
        <v>0</v>
      </c>
      <c r="M591" s="26">
        <f>M592+M593</f>
        <v>984.4</v>
      </c>
      <c r="N591" s="26">
        <f>N592+N593</f>
        <v>984.4</v>
      </c>
    </row>
    <row r="592" spans="1:14" s="143" customFormat="1" ht="111.6" customHeight="1" x14ac:dyDescent="0.35">
      <c r="A592" s="11"/>
      <c r="B592" s="24" t="s">
        <v>50</v>
      </c>
      <c r="C592" s="25" t="s">
        <v>296</v>
      </c>
      <c r="D592" s="10" t="s">
        <v>105</v>
      </c>
      <c r="E592" s="10" t="s">
        <v>82</v>
      </c>
      <c r="F592" s="651" t="s">
        <v>80</v>
      </c>
      <c r="G592" s="652" t="s">
        <v>46</v>
      </c>
      <c r="H592" s="652" t="s">
        <v>64</v>
      </c>
      <c r="I592" s="653" t="s">
        <v>618</v>
      </c>
      <c r="J592" s="10" t="s">
        <v>51</v>
      </c>
      <c r="K592" s="26">
        <f>845.8+78.6</f>
        <v>924.4</v>
      </c>
      <c r="L592" s="26">
        <f>M592-K592</f>
        <v>0</v>
      </c>
      <c r="M592" s="26">
        <f>845.8+78.6</f>
        <v>924.4</v>
      </c>
      <c r="N592" s="26">
        <f>845.8+78.6</f>
        <v>924.4</v>
      </c>
    </row>
    <row r="593" spans="1:14" s="143" customFormat="1" ht="54" x14ac:dyDescent="0.35">
      <c r="A593" s="11"/>
      <c r="B593" s="24" t="s">
        <v>56</v>
      </c>
      <c r="C593" s="25" t="s">
        <v>296</v>
      </c>
      <c r="D593" s="10" t="s">
        <v>105</v>
      </c>
      <c r="E593" s="10" t="s">
        <v>82</v>
      </c>
      <c r="F593" s="651" t="s">
        <v>80</v>
      </c>
      <c r="G593" s="652" t="s">
        <v>46</v>
      </c>
      <c r="H593" s="652" t="s">
        <v>64</v>
      </c>
      <c r="I593" s="653" t="s">
        <v>618</v>
      </c>
      <c r="J593" s="10" t="s">
        <v>57</v>
      </c>
      <c r="K593" s="26">
        <v>60</v>
      </c>
      <c r="L593" s="26">
        <f>M593-K593</f>
        <v>0</v>
      </c>
      <c r="M593" s="26">
        <v>60</v>
      </c>
      <c r="N593" s="26">
        <v>60</v>
      </c>
    </row>
    <row r="594" spans="1:14" s="143" customFormat="1" ht="111" customHeight="1" x14ac:dyDescent="0.35">
      <c r="A594" s="11"/>
      <c r="B594" s="24" t="s">
        <v>485</v>
      </c>
      <c r="C594" s="25" t="s">
        <v>296</v>
      </c>
      <c r="D594" s="10" t="s">
        <v>105</v>
      </c>
      <c r="E594" s="10" t="s">
        <v>82</v>
      </c>
      <c r="F594" s="651" t="s">
        <v>80</v>
      </c>
      <c r="G594" s="652" t="s">
        <v>46</v>
      </c>
      <c r="H594" s="652" t="s">
        <v>64</v>
      </c>
      <c r="I594" s="653" t="s">
        <v>612</v>
      </c>
      <c r="J594" s="10"/>
      <c r="K594" s="26">
        <f>K595+K596</f>
        <v>723.6</v>
      </c>
      <c r="L594" s="26">
        <f>L595+L596</f>
        <v>0</v>
      </c>
      <c r="M594" s="26">
        <f>M595+M596</f>
        <v>723.6</v>
      </c>
      <c r="N594" s="26">
        <f>N595+N596</f>
        <v>723.6</v>
      </c>
    </row>
    <row r="595" spans="1:14" s="143" customFormat="1" ht="114.6" customHeight="1" x14ac:dyDescent="0.35">
      <c r="A595" s="11"/>
      <c r="B595" s="24" t="s">
        <v>50</v>
      </c>
      <c r="C595" s="25" t="s">
        <v>296</v>
      </c>
      <c r="D595" s="10" t="s">
        <v>105</v>
      </c>
      <c r="E595" s="10" t="s">
        <v>82</v>
      </c>
      <c r="F595" s="651" t="s">
        <v>80</v>
      </c>
      <c r="G595" s="652" t="s">
        <v>46</v>
      </c>
      <c r="H595" s="652" t="s">
        <v>64</v>
      </c>
      <c r="I595" s="653" t="s">
        <v>612</v>
      </c>
      <c r="J595" s="10" t="s">
        <v>51</v>
      </c>
      <c r="K595" s="26">
        <f>632.2+61.4</f>
        <v>693.6</v>
      </c>
      <c r="L595" s="26">
        <f>M595-K595</f>
        <v>0</v>
      </c>
      <c r="M595" s="26">
        <f>632.2+61.4</f>
        <v>693.6</v>
      </c>
      <c r="N595" s="26">
        <f>632.2+61.4</f>
        <v>693.6</v>
      </c>
    </row>
    <row r="596" spans="1:14" s="143" customFormat="1" ht="58.95" customHeight="1" x14ac:dyDescent="0.35">
      <c r="A596" s="11"/>
      <c r="B596" s="24" t="s">
        <v>56</v>
      </c>
      <c r="C596" s="25" t="s">
        <v>296</v>
      </c>
      <c r="D596" s="10" t="s">
        <v>105</v>
      </c>
      <c r="E596" s="10" t="s">
        <v>82</v>
      </c>
      <c r="F596" s="651" t="s">
        <v>80</v>
      </c>
      <c r="G596" s="652" t="s">
        <v>46</v>
      </c>
      <c r="H596" s="652" t="s">
        <v>64</v>
      </c>
      <c r="I596" s="653" t="s">
        <v>612</v>
      </c>
      <c r="J596" s="10" t="s">
        <v>57</v>
      </c>
      <c r="K596" s="26">
        <v>30</v>
      </c>
      <c r="L596" s="26">
        <f>M596-K596</f>
        <v>0</v>
      </c>
      <c r="M596" s="26">
        <v>30</v>
      </c>
      <c r="N596" s="26">
        <v>30</v>
      </c>
    </row>
    <row r="597" spans="1:14" s="143" customFormat="1" ht="76.2" customHeight="1" x14ac:dyDescent="0.35">
      <c r="A597" s="11"/>
      <c r="B597" s="24" t="s">
        <v>232</v>
      </c>
      <c r="C597" s="25" t="s">
        <v>296</v>
      </c>
      <c r="D597" s="10" t="s">
        <v>105</v>
      </c>
      <c r="E597" s="10" t="s">
        <v>82</v>
      </c>
      <c r="F597" s="651" t="s">
        <v>80</v>
      </c>
      <c r="G597" s="652" t="s">
        <v>46</v>
      </c>
      <c r="H597" s="652" t="s">
        <v>64</v>
      </c>
      <c r="I597" s="653" t="s">
        <v>613</v>
      </c>
      <c r="J597" s="10"/>
      <c r="K597" s="26">
        <f>K598+K599</f>
        <v>6919.2</v>
      </c>
      <c r="L597" s="26">
        <f>L598+L599</f>
        <v>0</v>
      </c>
      <c r="M597" s="26">
        <f>M598+M599</f>
        <v>6919.2</v>
      </c>
      <c r="N597" s="26">
        <f>N598+N599</f>
        <v>6919.2</v>
      </c>
    </row>
    <row r="598" spans="1:14" s="143" customFormat="1" ht="109.95" customHeight="1" x14ac:dyDescent="0.35">
      <c r="A598" s="11"/>
      <c r="B598" s="24" t="s">
        <v>50</v>
      </c>
      <c r="C598" s="25" t="s">
        <v>296</v>
      </c>
      <c r="D598" s="10" t="s">
        <v>105</v>
      </c>
      <c r="E598" s="10" t="s">
        <v>82</v>
      </c>
      <c r="F598" s="651" t="s">
        <v>80</v>
      </c>
      <c r="G598" s="652" t="s">
        <v>46</v>
      </c>
      <c r="H598" s="652" t="s">
        <v>64</v>
      </c>
      <c r="I598" s="653" t="s">
        <v>613</v>
      </c>
      <c r="J598" s="10" t="s">
        <v>51</v>
      </c>
      <c r="K598" s="26">
        <f>5967+592.2</f>
        <v>6559.2</v>
      </c>
      <c r="L598" s="26">
        <f>M598-K598</f>
        <v>0</v>
      </c>
      <c r="M598" s="26">
        <f>5967+592.2</f>
        <v>6559.2</v>
      </c>
      <c r="N598" s="26">
        <f>5967+592.2</f>
        <v>6559.2</v>
      </c>
    </row>
    <row r="599" spans="1:14" s="143" customFormat="1" ht="57.6" customHeight="1" x14ac:dyDescent="0.35">
      <c r="A599" s="11"/>
      <c r="B599" s="24" t="s">
        <v>56</v>
      </c>
      <c r="C599" s="25" t="s">
        <v>296</v>
      </c>
      <c r="D599" s="10" t="s">
        <v>105</v>
      </c>
      <c r="E599" s="10" t="s">
        <v>82</v>
      </c>
      <c r="F599" s="591" t="s">
        <v>80</v>
      </c>
      <c r="G599" s="592" t="s">
        <v>46</v>
      </c>
      <c r="H599" s="592" t="s">
        <v>64</v>
      </c>
      <c r="I599" s="593" t="s">
        <v>613</v>
      </c>
      <c r="J599" s="10" t="s">
        <v>57</v>
      </c>
      <c r="K599" s="26">
        <v>360</v>
      </c>
      <c r="L599" s="26">
        <f>M599-K599</f>
        <v>0</v>
      </c>
      <c r="M599" s="26">
        <v>360</v>
      </c>
      <c r="N599" s="26">
        <v>360</v>
      </c>
    </row>
    <row r="600" spans="1:14" s="143" customFormat="1" ht="18" x14ac:dyDescent="0.35">
      <c r="A600" s="142">
        <v>10</v>
      </c>
      <c r="B600" s="190" t="s">
        <v>369</v>
      </c>
      <c r="C600" s="25"/>
      <c r="D600" s="10"/>
      <c r="E600" s="10"/>
      <c r="F600" s="652"/>
      <c r="G600" s="652"/>
      <c r="H600" s="652"/>
      <c r="I600" s="653"/>
      <c r="J600" s="10"/>
      <c r="K600" s="40">
        <f>K601</f>
        <v>27393.1</v>
      </c>
      <c r="L600" s="40">
        <f>L601</f>
        <v>0</v>
      </c>
      <c r="M600" s="40">
        <f>M601</f>
        <v>27393.1</v>
      </c>
      <c r="N600" s="40">
        <f>N601</f>
        <v>34551.699999999997</v>
      </c>
    </row>
    <row r="601" spans="1:14" s="143" customFormat="1" ht="18" x14ac:dyDescent="0.35">
      <c r="A601" s="11"/>
      <c r="B601" s="116" t="s">
        <v>369</v>
      </c>
      <c r="C601" s="25"/>
      <c r="D601" s="10"/>
      <c r="E601" s="10"/>
      <c r="F601" s="652"/>
      <c r="G601" s="652"/>
      <c r="H601" s="652"/>
      <c r="I601" s="653"/>
      <c r="J601" s="10"/>
      <c r="K601" s="26">
        <f>33320.7-1011.8-4915.8</f>
        <v>27393.1</v>
      </c>
      <c r="L601" s="26">
        <f>M601-K601</f>
        <v>0</v>
      </c>
      <c r="M601" s="26">
        <f>33320.7-1011.8-4915.8</f>
        <v>27393.1</v>
      </c>
      <c r="N601" s="26">
        <v>34551.699999999997</v>
      </c>
    </row>
    <row r="602" spans="1:14" x14ac:dyDescent="0.3">
      <c r="K602" s="37"/>
      <c r="M602" s="37"/>
      <c r="N602" s="37"/>
    </row>
    <row r="603" spans="1:14" x14ac:dyDescent="0.3">
      <c r="K603" s="37"/>
      <c r="M603" s="37"/>
      <c r="N603" s="37"/>
    </row>
    <row r="604" spans="1:14" s="98" customFormat="1" ht="18" x14ac:dyDescent="0.35">
      <c r="A604" s="636" t="s">
        <v>384</v>
      </c>
      <c r="B604" s="100"/>
      <c r="C604" s="101"/>
      <c r="D604" s="101"/>
      <c r="E604" s="101"/>
      <c r="F604" s="52"/>
      <c r="G604" s="137"/>
      <c r="H604" s="182"/>
    </row>
    <row r="605" spans="1:14" s="98" customFormat="1" ht="18" x14ac:dyDescent="0.35">
      <c r="A605" s="636" t="s">
        <v>385</v>
      </c>
      <c r="B605" s="100"/>
      <c r="C605" s="101"/>
      <c r="D605" s="101"/>
      <c r="E605" s="101"/>
      <c r="F605" s="52"/>
      <c r="G605" s="137"/>
      <c r="H605" s="182"/>
    </row>
    <row r="606" spans="1:14" s="98" customFormat="1" ht="18" x14ac:dyDescent="0.35">
      <c r="A606" s="637" t="s">
        <v>386</v>
      </c>
      <c r="B606" s="100"/>
      <c r="D606" s="101"/>
      <c r="E606" s="101"/>
      <c r="F606" s="52"/>
      <c r="N606" s="138" t="s">
        <v>407</v>
      </c>
    </row>
    <row r="607" spans="1:14" x14ac:dyDescent="0.3">
      <c r="K607" s="144"/>
    </row>
    <row r="608" spans="1:14" s="183" customFormat="1" ht="15.6" hidden="1" x14ac:dyDescent="0.3">
      <c r="B608" s="183" t="s">
        <v>370</v>
      </c>
      <c r="K608" s="184" t="e">
        <f>K601/('прил10 (ведом 23-24)'!#REF!-('прил.3 (пост.безв.23-24)'!A14-'прил.3 (пост.безв.23-24)'!A18))*100</f>
        <v>#REF!</v>
      </c>
      <c r="M608" s="184" t="e">
        <f>M601/('прил10 (ведом 23-24)'!#REF!-('прил.3 (пост.безв.23-24)'!C14-'прил.3 (пост.безв.23-24)'!C18))*100</f>
        <v>#REF!</v>
      </c>
      <c r="N608" s="184" t="e">
        <f>N601/('прил10 (ведом 23-24)'!#REF!-('прил.3 (пост.безв.23-24)'!D14-'прил.3 (пост.безв.23-24)'!D18))*100</f>
        <v>#REF!</v>
      </c>
    </row>
    <row r="609" spans="4:14" hidden="1" x14ac:dyDescent="0.3">
      <c r="K609" s="144"/>
    </row>
    <row r="610" spans="4:14" ht="18" hidden="1" x14ac:dyDescent="0.35">
      <c r="D610" s="35" t="s">
        <v>38</v>
      </c>
      <c r="E610" s="35" t="s">
        <v>40</v>
      </c>
      <c r="F610" s="36"/>
      <c r="G610" s="36"/>
      <c r="H610" s="36"/>
      <c r="I610" s="36"/>
      <c r="J610" s="36"/>
      <c r="K610" s="185">
        <f>K20</f>
        <v>2128.5</v>
      </c>
      <c r="L610" s="36"/>
      <c r="M610" s="185">
        <f>M20</f>
        <v>2128.5</v>
      </c>
      <c r="N610" s="185">
        <f>N20</f>
        <v>2128.5</v>
      </c>
    </row>
    <row r="611" spans="4:14" ht="18" hidden="1" x14ac:dyDescent="0.35">
      <c r="D611" s="35" t="s">
        <v>38</v>
      </c>
      <c r="E611" s="35" t="s">
        <v>53</v>
      </c>
      <c r="F611" s="36"/>
      <c r="G611" s="36"/>
      <c r="H611" s="36"/>
      <c r="I611" s="36"/>
      <c r="J611" s="36"/>
      <c r="K611" s="185">
        <f>K26</f>
        <v>50609.5</v>
      </c>
      <c r="L611" s="36"/>
      <c r="M611" s="185">
        <f>M26</f>
        <v>48374</v>
      </c>
      <c r="N611" s="185">
        <f>N26</f>
        <v>76860.799999999988</v>
      </c>
    </row>
    <row r="612" spans="4:14" ht="18" hidden="1" x14ac:dyDescent="0.35">
      <c r="D612" s="35" t="s">
        <v>38</v>
      </c>
      <c r="E612" s="35" t="s">
        <v>66</v>
      </c>
      <c r="F612" s="36"/>
      <c r="G612" s="36"/>
      <c r="H612" s="36"/>
      <c r="I612" s="36"/>
      <c r="J612" s="36"/>
      <c r="K612" s="185">
        <f>K49</f>
        <v>24.700000000000003</v>
      </c>
      <c r="L612" s="36"/>
      <c r="M612" s="185">
        <f>M49</f>
        <v>24.700000000000003</v>
      </c>
      <c r="N612" s="185">
        <f>N49</f>
        <v>21.5</v>
      </c>
    </row>
    <row r="613" spans="4:14" ht="18" hidden="1" x14ac:dyDescent="0.35">
      <c r="D613" s="35" t="s">
        <v>38</v>
      </c>
      <c r="E613" s="35" t="s">
        <v>82</v>
      </c>
      <c r="F613" s="36"/>
      <c r="G613" s="36"/>
      <c r="H613" s="36"/>
      <c r="I613" s="36"/>
      <c r="J613" s="36"/>
      <c r="K613" s="185">
        <f>K183+K210</f>
        <v>30179.4</v>
      </c>
      <c r="L613" s="36"/>
      <c r="M613" s="185">
        <f>M183+M210</f>
        <v>30179.4</v>
      </c>
      <c r="N613" s="185">
        <f>N183+N210</f>
        <v>30180.2</v>
      </c>
    </row>
    <row r="614" spans="4:14" ht="18" hidden="1" x14ac:dyDescent="0.35">
      <c r="D614" s="35" t="s">
        <v>38</v>
      </c>
      <c r="E614" s="35" t="s">
        <v>68</v>
      </c>
      <c r="F614" s="36"/>
      <c r="G614" s="36"/>
      <c r="H614" s="36"/>
      <c r="I614" s="36"/>
      <c r="J614" s="36"/>
      <c r="K614" s="185">
        <f>K55</f>
        <v>5000</v>
      </c>
      <c r="L614" s="36"/>
      <c r="M614" s="185">
        <f>M55</f>
        <v>5000</v>
      </c>
      <c r="N614" s="185">
        <f>N55</f>
        <v>5000</v>
      </c>
    </row>
    <row r="615" spans="4:14" ht="18" hidden="1" x14ac:dyDescent="0.35">
      <c r="D615" s="35" t="s">
        <v>38</v>
      </c>
      <c r="E615" s="35" t="s">
        <v>72</v>
      </c>
      <c r="F615" s="36"/>
      <c r="G615" s="36"/>
      <c r="H615" s="36"/>
      <c r="I615" s="36"/>
      <c r="J615" s="36"/>
      <c r="K615" s="185">
        <f>K220+K191+K539+K60+K428+K491+K291</f>
        <v>33853.799999999996</v>
      </c>
      <c r="L615" s="36"/>
      <c r="M615" s="185">
        <f>M220+M191+M539+M60+M428+M491+M291</f>
        <v>33853.799999999996</v>
      </c>
      <c r="N615" s="185">
        <f>N220+N191+N539+N60+N428+N491+N291</f>
        <v>35580.9</v>
      </c>
    </row>
    <row r="616" spans="4:14" ht="18" hidden="1" x14ac:dyDescent="0.35">
      <c r="D616" s="186" t="s">
        <v>38</v>
      </c>
      <c r="E616" s="186" t="s">
        <v>44</v>
      </c>
      <c r="F616" s="36"/>
      <c r="G616" s="36"/>
      <c r="H616" s="36"/>
      <c r="I616" s="36"/>
      <c r="J616" s="36"/>
      <c r="K616" s="187">
        <f>SUBTOTAL(9,K610:K615)</f>
        <v>121795.9</v>
      </c>
      <c r="L616" s="36"/>
      <c r="M616" s="187">
        <f>SUBTOTAL(9,M610:M615)</f>
        <v>119560.4</v>
      </c>
      <c r="N616" s="187">
        <f>SUBTOTAL(9,N610:N615)</f>
        <v>149771.9</v>
      </c>
    </row>
    <row r="617" spans="4:14" ht="18" hidden="1" x14ac:dyDescent="0.35">
      <c r="D617" s="35"/>
      <c r="E617" s="35"/>
      <c r="F617" s="36"/>
      <c r="G617" s="36"/>
      <c r="H617" s="36"/>
      <c r="I617" s="36"/>
      <c r="J617" s="36"/>
      <c r="K617" s="185"/>
      <c r="L617" s="36"/>
      <c r="M617" s="185"/>
      <c r="N617" s="185"/>
    </row>
    <row r="618" spans="4:14" ht="18" hidden="1" x14ac:dyDescent="0.35">
      <c r="D618" s="35" t="s">
        <v>64</v>
      </c>
      <c r="E618" s="35" t="s">
        <v>105</v>
      </c>
      <c r="F618" s="36"/>
      <c r="G618" s="36"/>
      <c r="H618" s="36"/>
      <c r="I618" s="36"/>
      <c r="J618" s="36"/>
      <c r="K618" s="185">
        <f>K84</f>
        <v>362.29999999999995</v>
      </c>
      <c r="L618" s="36"/>
      <c r="M618" s="185">
        <f>M84</f>
        <v>362.29999999999995</v>
      </c>
      <c r="N618" s="185">
        <f>N84</f>
        <v>362.29999999999995</v>
      </c>
    </row>
    <row r="619" spans="4:14" ht="18" hidden="1" x14ac:dyDescent="0.35">
      <c r="D619" s="35" t="s">
        <v>64</v>
      </c>
      <c r="E619" s="35" t="s">
        <v>89</v>
      </c>
      <c r="F619" s="36"/>
      <c r="G619" s="36"/>
      <c r="H619" s="36"/>
      <c r="I619" s="36"/>
      <c r="J619" s="36"/>
      <c r="K619" s="185">
        <f>K92</f>
        <v>11495.8</v>
      </c>
      <c r="L619" s="36"/>
      <c r="M619" s="185">
        <f>M92</f>
        <v>11495.8</v>
      </c>
      <c r="N619" s="185">
        <f>N92</f>
        <v>11496.199999999999</v>
      </c>
    </row>
    <row r="620" spans="4:14" ht="18" hidden="1" x14ac:dyDescent="0.35">
      <c r="D620" s="186" t="s">
        <v>64</v>
      </c>
      <c r="E620" s="186" t="s">
        <v>44</v>
      </c>
      <c r="F620" s="36"/>
      <c r="G620" s="36"/>
      <c r="H620" s="36"/>
      <c r="I620" s="36"/>
      <c r="J620" s="36"/>
      <c r="K620" s="187">
        <f>SUBTOTAL(9,K618:K619)</f>
        <v>11858.099999999999</v>
      </c>
      <c r="L620" s="36"/>
      <c r="M620" s="187">
        <f>SUBTOTAL(9,M618:M619)</f>
        <v>11858.099999999999</v>
      </c>
      <c r="N620" s="187">
        <f>SUBTOTAL(9,N618:N619)</f>
        <v>11858.499999999998</v>
      </c>
    </row>
    <row r="621" spans="4:14" ht="18" hidden="1" x14ac:dyDescent="0.35">
      <c r="D621" s="35"/>
      <c r="E621" s="35"/>
      <c r="F621" s="36"/>
      <c r="G621" s="36"/>
      <c r="H621" s="36"/>
      <c r="I621" s="36"/>
      <c r="J621" s="36"/>
      <c r="K621" s="185"/>
      <c r="L621" s="36"/>
      <c r="M621" s="185"/>
      <c r="N621" s="185"/>
    </row>
    <row r="622" spans="4:14" ht="18" hidden="1" x14ac:dyDescent="0.35">
      <c r="D622" s="35" t="s">
        <v>53</v>
      </c>
      <c r="E622" s="35" t="s">
        <v>66</v>
      </c>
      <c r="F622" s="36"/>
      <c r="G622" s="36"/>
      <c r="H622" s="36"/>
      <c r="I622" s="36"/>
      <c r="J622" s="36"/>
      <c r="K622" s="185">
        <f>K112</f>
        <v>12695.300000000001</v>
      </c>
      <c r="L622" s="36"/>
      <c r="M622" s="185">
        <f>M112</f>
        <v>12695.300000000001</v>
      </c>
      <c r="N622" s="185">
        <f>N112</f>
        <v>17253.900000000001</v>
      </c>
    </row>
    <row r="623" spans="4:14" ht="18" hidden="1" x14ac:dyDescent="0.35">
      <c r="D623" s="35" t="s">
        <v>53</v>
      </c>
      <c r="E623" s="35" t="s">
        <v>80</v>
      </c>
      <c r="F623" s="36"/>
      <c r="G623" s="36"/>
      <c r="H623" s="36"/>
      <c r="I623" s="36"/>
      <c r="J623" s="36"/>
      <c r="K623" s="185">
        <f>K121</f>
        <v>6443.4</v>
      </c>
      <c r="L623" s="36"/>
      <c r="M623" s="185">
        <f>M121</f>
        <v>6443.4</v>
      </c>
      <c r="N623" s="185">
        <f>N121</f>
        <v>6701.1</v>
      </c>
    </row>
    <row r="624" spans="4:14" ht="18" hidden="1" x14ac:dyDescent="0.35">
      <c r="D624" s="35" t="s">
        <v>53</v>
      </c>
      <c r="E624" s="35" t="s">
        <v>101</v>
      </c>
      <c r="F624" s="36"/>
      <c r="G624" s="36"/>
      <c r="H624" s="36"/>
      <c r="I624" s="36"/>
      <c r="J624" s="36"/>
      <c r="K624" s="185">
        <f>K127</f>
        <v>9150.2999999999993</v>
      </c>
      <c r="L624" s="36"/>
      <c r="M624" s="185">
        <f>M127</f>
        <v>31504.5</v>
      </c>
      <c r="N624" s="185">
        <f>N127</f>
        <v>7502.6</v>
      </c>
    </row>
    <row r="625" spans="4:14" ht="18" hidden="1" x14ac:dyDescent="0.35">
      <c r="D625" s="186" t="s">
        <v>53</v>
      </c>
      <c r="E625" s="186" t="s">
        <v>44</v>
      </c>
      <c r="F625" s="36"/>
      <c r="G625" s="36"/>
      <c r="H625" s="36"/>
      <c r="I625" s="36"/>
      <c r="J625" s="36"/>
      <c r="K625" s="187">
        <f>SUBTOTAL(9,K622:K624)</f>
        <v>28289</v>
      </c>
      <c r="L625" s="36"/>
      <c r="M625" s="187">
        <f>SUBTOTAL(9,M622:M624)</f>
        <v>50643.199999999997</v>
      </c>
      <c r="N625" s="187">
        <f>SUBTOTAL(9,N622:N624)</f>
        <v>31457.599999999999</v>
      </c>
    </row>
    <row r="626" spans="4:14" ht="18" hidden="1" x14ac:dyDescent="0.35">
      <c r="D626" s="35"/>
      <c r="E626" s="35"/>
      <c r="F626" s="36"/>
      <c r="G626" s="36"/>
      <c r="H626" s="36"/>
      <c r="I626" s="36"/>
      <c r="J626" s="36"/>
      <c r="K626" s="185"/>
      <c r="L626" s="36"/>
      <c r="M626" s="185"/>
      <c r="N626" s="185"/>
    </row>
    <row r="627" spans="4:14" ht="18" hidden="1" x14ac:dyDescent="0.35">
      <c r="D627" s="35" t="s">
        <v>66</v>
      </c>
      <c r="E627" s="35" t="s">
        <v>38</v>
      </c>
      <c r="F627" s="36"/>
      <c r="G627" s="36"/>
      <c r="H627" s="36"/>
      <c r="I627" s="36"/>
      <c r="J627" s="36"/>
      <c r="K627" s="185"/>
      <c r="L627" s="36"/>
      <c r="M627" s="185">
        <f>M155</f>
        <v>35000</v>
      </c>
      <c r="N627" s="185"/>
    </row>
    <row r="628" spans="4:14" ht="18" hidden="1" x14ac:dyDescent="0.35">
      <c r="D628" s="35" t="s">
        <v>66</v>
      </c>
      <c r="E628" s="35" t="s">
        <v>40</v>
      </c>
      <c r="F628" s="36"/>
      <c r="G628" s="36"/>
      <c r="H628" s="36"/>
      <c r="I628" s="36"/>
      <c r="J628" s="36"/>
      <c r="K628" s="185">
        <f>K251</f>
        <v>57894.8</v>
      </c>
      <c r="L628" s="36"/>
      <c r="M628" s="185">
        <f>M251</f>
        <v>57894.8</v>
      </c>
      <c r="N628" s="185">
        <f>N251</f>
        <v>0</v>
      </c>
    </row>
    <row r="629" spans="4:14" ht="18" hidden="1" x14ac:dyDescent="0.35">
      <c r="D629" s="35" t="s">
        <v>66</v>
      </c>
      <c r="E629" s="35" t="s">
        <v>64</v>
      </c>
      <c r="F629" s="36"/>
      <c r="G629" s="36"/>
      <c r="H629" s="36"/>
      <c r="I629" s="36"/>
      <c r="J629" s="36"/>
      <c r="K629" s="185">
        <f>K161</f>
        <v>3516.2</v>
      </c>
      <c r="L629" s="36"/>
      <c r="M629" s="185">
        <f>M161</f>
        <v>3516.2</v>
      </c>
      <c r="N629" s="185">
        <f>N161</f>
        <v>0</v>
      </c>
    </row>
    <row r="630" spans="4:14" ht="18" hidden="1" x14ac:dyDescent="0.35">
      <c r="D630" s="186" t="s">
        <v>66</v>
      </c>
      <c r="E630" s="186" t="s">
        <v>44</v>
      </c>
      <c r="F630" s="36"/>
      <c r="G630" s="36"/>
      <c r="H630" s="36"/>
      <c r="I630" s="36"/>
      <c r="J630" s="36"/>
      <c r="K630" s="187">
        <f>SUBTOTAL(9,K627:K629)</f>
        <v>61411</v>
      </c>
      <c r="L630" s="36"/>
      <c r="M630" s="187">
        <f>SUBTOTAL(9,M627:M629)</f>
        <v>96411</v>
      </c>
      <c r="N630" s="187">
        <f>SUBTOTAL(9,N627:N629)</f>
        <v>0</v>
      </c>
    </row>
    <row r="631" spans="4:14" ht="18" hidden="1" x14ac:dyDescent="0.35">
      <c r="D631" s="35"/>
      <c r="E631" s="35"/>
      <c r="F631" s="36"/>
      <c r="G631" s="36"/>
      <c r="H631" s="36"/>
      <c r="I631" s="36"/>
      <c r="J631" s="36"/>
      <c r="K631" s="185"/>
      <c r="L631" s="36"/>
      <c r="M631" s="185"/>
      <c r="N631" s="185"/>
    </row>
    <row r="632" spans="4:14" ht="18" hidden="1" x14ac:dyDescent="0.35">
      <c r="D632" s="35" t="s">
        <v>225</v>
      </c>
      <c r="E632" s="35" t="s">
        <v>38</v>
      </c>
      <c r="F632" s="36"/>
      <c r="G632" s="36"/>
      <c r="H632" s="36"/>
      <c r="I632" s="36"/>
      <c r="J632" s="36"/>
      <c r="K632" s="185">
        <f>K304+K258</f>
        <v>438264.9</v>
      </c>
      <c r="L632" s="36"/>
      <c r="M632" s="185">
        <f>M304+M258</f>
        <v>438264.9</v>
      </c>
      <c r="N632" s="185">
        <f>N304+N258</f>
        <v>338318.30000000005</v>
      </c>
    </row>
    <row r="633" spans="4:14" ht="18" hidden="1" x14ac:dyDescent="0.35">
      <c r="D633" s="35" t="s">
        <v>225</v>
      </c>
      <c r="E633" s="35" t="s">
        <v>40</v>
      </c>
      <c r="F633" s="36"/>
      <c r="G633" s="36"/>
      <c r="H633" s="36"/>
      <c r="I633" s="36"/>
      <c r="J633" s="36"/>
      <c r="K633" s="185">
        <f>K326+K266</f>
        <v>615543.40000000014</v>
      </c>
      <c r="L633" s="36"/>
      <c r="M633" s="185">
        <f>M326+M266</f>
        <v>613631.20000000019</v>
      </c>
      <c r="N633" s="185">
        <f>N326+N266</f>
        <v>614556.79999999993</v>
      </c>
    </row>
    <row r="634" spans="4:14" ht="18" hidden="1" x14ac:dyDescent="0.35">
      <c r="D634" s="35" t="s">
        <v>225</v>
      </c>
      <c r="E634" s="35" t="s">
        <v>64</v>
      </c>
      <c r="F634" s="36"/>
      <c r="G634" s="36"/>
      <c r="H634" s="36"/>
      <c r="I634" s="36"/>
      <c r="J634" s="36"/>
      <c r="K634" s="185">
        <f>K371+K435</f>
        <v>121543.30000000002</v>
      </c>
      <c r="L634" s="36"/>
      <c r="M634" s="185">
        <f>M371+M435</f>
        <v>121543.30000000002</v>
      </c>
      <c r="N634" s="185">
        <f>N371+N435</f>
        <v>131669.69999999998</v>
      </c>
    </row>
    <row r="635" spans="4:14" ht="18" hidden="1" x14ac:dyDescent="0.35">
      <c r="D635" s="35" t="s">
        <v>225</v>
      </c>
      <c r="E635" s="35" t="s">
        <v>66</v>
      </c>
      <c r="F635" s="36"/>
      <c r="G635" s="36"/>
      <c r="H635" s="36"/>
      <c r="I635" s="36"/>
      <c r="J635" s="36"/>
      <c r="K635" s="185"/>
      <c r="L635" s="36"/>
      <c r="M635" s="185"/>
      <c r="N635" s="185"/>
    </row>
    <row r="636" spans="4:14" ht="18" hidden="1" x14ac:dyDescent="0.35">
      <c r="D636" s="35" t="s">
        <v>225</v>
      </c>
      <c r="E636" s="35" t="s">
        <v>225</v>
      </c>
      <c r="F636" s="36"/>
      <c r="G636" s="36"/>
      <c r="H636" s="36"/>
      <c r="I636" s="36"/>
      <c r="J636" s="36"/>
      <c r="K636" s="185">
        <f>K552+K392+K443</f>
        <v>11998.899999999998</v>
      </c>
      <c r="L636" s="36"/>
      <c r="M636" s="185">
        <f>M552+M392+M443</f>
        <v>11998.899999999998</v>
      </c>
      <c r="N636" s="185">
        <f>N552+N392+N443</f>
        <v>11998.899999999998</v>
      </c>
    </row>
    <row r="637" spans="4:14" ht="18" hidden="1" x14ac:dyDescent="0.35">
      <c r="D637" s="35" t="s">
        <v>225</v>
      </c>
      <c r="E637" s="35" t="s">
        <v>80</v>
      </c>
      <c r="F637" s="36"/>
      <c r="G637" s="36"/>
      <c r="H637" s="36"/>
      <c r="I637" s="36"/>
      <c r="J637" s="36"/>
      <c r="K637" s="185">
        <f>K400+K449+K560</f>
        <v>44525.700000000004</v>
      </c>
      <c r="L637" s="36"/>
      <c r="M637" s="185">
        <f>M400+M449+M560</f>
        <v>44525.700000000004</v>
      </c>
      <c r="N637" s="185">
        <f>N400+N449+N560</f>
        <v>68535.7</v>
      </c>
    </row>
    <row r="638" spans="4:14" ht="18" hidden="1" x14ac:dyDescent="0.35">
      <c r="D638" s="186" t="s">
        <v>225</v>
      </c>
      <c r="E638" s="186" t="s">
        <v>44</v>
      </c>
      <c r="F638" s="36"/>
      <c r="G638" s="36"/>
      <c r="H638" s="36"/>
      <c r="I638" s="36"/>
      <c r="J638" s="36"/>
      <c r="K638" s="187">
        <f>SUBTOTAL(9,K632:K637)</f>
        <v>1231876.2000000002</v>
      </c>
      <c r="L638" s="36"/>
      <c r="M638" s="187">
        <f>SUBTOTAL(9,M632:M637)</f>
        <v>1229964</v>
      </c>
      <c r="N638" s="187">
        <f>SUBTOTAL(9,N632:N637)</f>
        <v>1165079.3999999999</v>
      </c>
    </row>
    <row r="639" spans="4:14" ht="18" hidden="1" x14ac:dyDescent="0.35">
      <c r="D639" s="35"/>
      <c r="E639" s="35"/>
      <c r="F639" s="36"/>
      <c r="G639" s="36"/>
      <c r="H639" s="36"/>
      <c r="I639" s="36"/>
      <c r="J639" s="36"/>
      <c r="K639" s="185"/>
      <c r="L639" s="36"/>
      <c r="M639" s="185"/>
      <c r="N639" s="185"/>
    </row>
    <row r="640" spans="4:14" ht="18" hidden="1" x14ac:dyDescent="0.35">
      <c r="D640" s="35" t="s">
        <v>227</v>
      </c>
      <c r="E640" s="35" t="s">
        <v>38</v>
      </c>
      <c r="F640" s="36"/>
      <c r="G640" s="36"/>
      <c r="H640" s="36"/>
      <c r="I640" s="36"/>
      <c r="J640" s="36"/>
      <c r="K640" s="185">
        <f>K456</f>
        <v>24617.300000000003</v>
      </c>
      <c r="L640" s="36"/>
      <c r="M640" s="185">
        <f>M456</f>
        <v>24617.300000000003</v>
      </c>
      <c r="N640" s="185">
        <f>N456</f>
        <v>26988.1</v>
      </c>
    </row>
    <row r="641" spans="4:14" ht="18" hidden="1" x14ac:dyDescent="0.35">
      <c r="D641" s="35" t="s">
        <v>227</v>
      </c>
      <c r="E641" s="35" t="s">
        <v>53</v>
      </c>
      <c r="F641" s="36"/>
      <c r="G641" s="36"/>
      <c r="H641" s="36"/>
      <c r="I641" s="36"/>
      <c r="J641" s="36"/>
      <c r="K641" s="185">
        <f>K476</f>
        <v>9253.1</v>
      </c>
      <c r="L641" s="36"/>
      <c r="M641" s="185">
        <f>M476</f>
        <v>9253.1</v>
      </c>
      <c r="N641" s="185">
        <f>N476</f>
        <v>9910</v>
      </c>
    </row>
    <row r="642" spans="4:14" ht="18" hidden="1" x14ac:dyDescent="0.35">
      <c r="D642" s="186" t="s">
        <v>227</v>
      </c>
      <c r="E642" s="186" t="s">
        <v>44</v>
      </c>
      <c r="F642" s="36"/>
      <c r="G642" s="36"/>
      <c r="H642" s="36"/>
      <c r="I642" s="36"/>
      <c r="J642" s="36"/>
      <c r="K642" s="187">
        <f>SUBTOTAL(9,K640:K641)</f>
        <v>33870.400000000001</v>
      </c>
      <c r="L642" s="36"/>
      <c r="M642" s="187">
        <f>SUBTOTAL(9,M640:M641)</f>
        <v>33870.400000000001</v>
      </c>
      <c r="N642" s="187">
        <f>SUBTOTAL(9,N640:N641)</f>
        <v>36898.1</v>
      </c>
    </row>
    <row r="643" spans="4:14" ht="18" hidden="1" x14ac:dyDescent="0.35">
      <c r="D643" s="35"/>
      <c r="E643" s="35"/>
      <c r="F643" s="36"/>
      <c r="G643" s="36"/>
      <c r="H643" s="36"/>
      <c r="I643" s="36"/>
      <c r="J643" s="36"/>
      <c r="K643" s="185"/>
      <c r="L643" s="36"/>
      <c r="M643" s="185"/>
      <c r="N643" s="185"/>
    </row>
    <row r="644" spans="4:14" ht="18" hidden="1" x14ac:dyDescent="0.35">
      <c r="D644" s="35" t="s">
        <v>105</v>
      </c>
      <c r="E644" s="35" t="s">
        <v>38</v>
      </c>
      <c r="F644" s="36"/>
      <c r="G644" s="36"/>
      <c r="H644" s="36"/>
      <c r="I644" s="36"/>
      <c r="J644" s="36"/>
      <c r="K644" s="185">
        <f>K168</f>
        <v>504</v>
      </c>
      <c r="L644" s="36"/>
      <c r="M644" s="185">
        <f>M168</f>
        <v>504</v>
      </c>
      <c r="N644" s="185">
        <f>N168</f>
        <v>504</v>
      </c>
    </row>
    <row r="645" spans="4:14" ht="18" hidden="1" x14ac:dyDescent="0.35">
      <c r="D645" s="35" t="s">
        <v>105</v>
      </c>
      <c r="E645" s="35" t="s">
        <v>53</v>
      </c>
      <c r="F645" s="36"/>
      <c r="G645" s="36"/>
      <c r="H645" s="36"/>
      <c r="I645" s="36"/>
      <c r="J645" s="36"/>
      <c r="K645" s="185">
        <f>K273+K418+K571</f>
        <v>120323.9</v>
      </c>
      <c r="L645" s="36"/>
      <c r="M645" s="185">
        <f>M273+M418+M571</f>
        <v>120323.9</v>
      </c>
      <c r="N645" s="185">
        <f>N273+N418+N571</f>
        <v>121854.20000000001</v>
      </c>
    </row>
    <row r="646" spans="4:14" ht="18" hidden="1" x14ac:dyDescent="0.35">
      <c r="D646" s="35" t="s">
        <v>105</v>
      </c>
      <c r="E646" s="35" t="s">
        <v>82</v>
      </c>
      <c r="F646" s="36"/>
      <c r="G646" s="36"/>
      <c r="H646" s="36"/>
      <c r="I646" s="36"/>
      <c r="J646" s="36"/>
      <c r="K646" s="185">
        <f>K587+K174</f>
        <v>9579.3000000000011</v>
      </c>
      <c r="L646" s="36"/>
      <c r="M646" s="185">
        <f>M587+M174</f>
        <v>9579.3000000000011</v>
      </c>
      <c r="N646" s="185">
        <f>N587+N174</f>
        <v>9579.3000000000011</v>
      </c>
    </row>
    <row r="647" spans="4:14" ht="18" hidden="1" x14ac:dyDescent="0.35">
      <c r="D647" s="186" t="s">
        <v>105</v>
      </c>
      <c r="E647" s="186" t="s">
        <v>44</v>
      </c>
      <c r="F647" s="36"/>
      <c r="G647" s="36"/>
      <c r="H647" s="36"/>
      <c r="I647" s="36"/>
      <c r="J647" s="36"/>
      <c r="K647" s="187">
        <f>SUBTOTAL(9,K644:K646)</f>
        <v>130407.2</v>
      </c>
      <c r="L647" s="36"/>
      <c r="M647" s="187">
        <f>SUBTOTAL(9,M644:M646)</f>
        <v>130407.2</v>
      </c>
      <c r="N647" s="187">
        <f>SUBTOTAL(9,N644:N646)</f>
        <v>131937.5</v>
      </c>
    </row>
    <row r="648" spans="4:14" ht="18" hidden="1" x14ac:dyDescent="0.35">
      <c r="D648" s="35"/>
      <c r="E648" s="35"/>
      <c r="F648" s="36"/>
      <c r="G648" s="36"/>
      <c r="H648" s="36"/>
      <c r="I648" s="36"/>
      <c r="J648" s="36"/>
      <c r="K648" s="185"/>
      <c r="L648" s="36"/>
      <c r="M648" s="185"/>
      <c r="N648" s="185"/>
    </row>
    <row r="649" spans="4:14" ht="18" hidden="1" x14ac:dyDescent="0.35">
      <c r="D649" s="35" t="s">
        <v>68</v>
      </c>
      <c r="E649" s="35" t="s">
        <v>38</v>
      </c>
      <c r="F649" s="36"/>
      <c r="G649" s="36"/>
      <c r="H649" s="36"/>
      <c r="I649" s="36"/>
      <c r="J649" s="36"/>
      <c r="K649" s="185">
        <f>K498+K282</f>
        <v>41745.600000000006</v>
      </c>
      <c r="L649" s="36"/>
      <c r="M649" s="185">
        <f>M498+M282</f>
        <v>43595.3</v>
      </c>
      <c r="N649" s="185">
        <f>N498+N282</f>
        <v>27518.299999999996</v>
      </c>
    </row>
    <row r="650" spans="4:14" ht="18" hidden="1" x14ac:dyDescent="0.35">
      <c r="D650" s="35" t="s">
        <v>68</v>
      </c>
      <c r="E650" s="35" t="s">
        <v>40</v>
      </c>
      <c r="F650" s="36"/>
      <c r="G650" s="36"/>
      <c r="H650" s="36"/>
      <c r="I650" s="36"/>
      <c r="J650" s="36"/>
      <c r="K650" s="185">
        <f>K518</f>
        <v>3662.6000000000004</v>
      </c>
      <c r="L650" s="36"/>
      <c r="M650" s="185">
        <f>M518</f>
        <v>3662.6000000000004</v>
      </c>
      <c r="N650" s="185">
        <f>N518</f>
        <v>629.70000000000005</v>
      </c>
    </row>
    <row r="651" spans="4:14" ht="18" hidden="1" x14ac:dyDescent="0.35">
      <c r="D651" s="35" t="s">
        <v>68</v>
      </c>
      <c r="E651" s="35" t="s">
        <v>66</v>
      </c>
      <c r="F651" s="36"/>
      <c r="G651" s="36"/>
      <c r="H651" s="36"/>
      <c r="I651" s="36"/>
      <c r="J651" s="36"/>
      <c r="K651" s="185">
        <f>K528</f>
        <v>2486.9</v>
      </c>
      <c r="L651" s="36"/>
      <c r="M651" s="185">
        <f>M528</f>
        <v>2486.9</v>
      </c>
      <c r="N651" s="185">
        <f>N528</f>
        <v>2487.9</v>
      </c>
    </row>
    <row r="652" spans="4:14" ht="18" hidden="1" x14ac:dyDescent="0.35">
      <c r="D652" s="186" t="s">
        <v>68</v>
      </c>
      <c r="E652" s="186" t="s">
        <v>44</v>
      </c>
      <c r="F652" s="36"/>
      <c r="G652" s="36"/>
      <c r="H652" s="36"/>
      <c r="I652" s="36"/>
      <c r="J652" s="36"/>
      <c r="K652" s="187">
        <f>SUBTOTAL(9,K649:K651)</f>
        <v>47895.100000000006</v>
      </c>
      <c r="L652" s="36"/>
      <c r="M652" s="187">
        <f>SUBTOTAL(9,M649:M651)</f>
        <v>49744.800000000003</v>
      </c>
      <c r="N652" s="187">
        <f>SUBTOTAL(9,N649:N651)</f>
        <v>30635.899999999998</v>
      </c>
    </row>
    <row r="653" spans="4:14" ht="18" hidden="1" x14ac:dyDescent="0.35">
      <c r="D653" s="35"/>
      <c r="E653" s="35"/>
      <c r="F653" s="36"/>
      <c r="G653" s="36"/>
      <c r="H653" s="36"/>
      <c r="I653" s="36"/>
      <c r="J653" s="36"/>
      <c r="K653" s="185"/>
      <c r="L653" s="36"/>
      <c r="M653" s="185"/>
      <c r="N653" s="185"/>
    </row>
    <row r="654" spans="4:14" ht="18" hidden="1" x14ac:dyDescent="0.35">
      <c r="D654" s="35" t="s">
        <v>72</v>
      </c>
      <c r="E654" s="35" t="s">
        <v>38</v>
      </c>
      <c r="F654" s="36"/>
      <c r="G654" s="36"/>
      <c r="H654" s="36"/>
      <c r="I654" s="36"/>
      <c r="J654" s="36"/>
      <c r="K654" s="185"/>
      <c r="L654" s="36"/>
      <c r="M654" s="185"/>
      <c r="N654" s="185"/>
    </row>
    <row r="655" spans="4:14" ht="18" hidden="1" x14ac:dyDescent="0.35">
      <c r="D655" s="186" t="s">
        <v>72</v>
      </c>
      <c r="E655" s="186" t="s">
        <v>44</v>
      </c>
      <c r="F655" s="36"/>
      <c r="G655" s="36"/>
      <c r="H655" s="36"/>
      <c r="I655" s="36"/>
      <c r="J655" s="36"/>
      <c r="K655" s="187">
        <f>K654</f>
        <v>0</v>
      </c>
      <c r="L655" s="36"/>
      <c r="M655" s="187">
        <f>M654</f>
        <v>0</v>
      </c>
      <c r="N655" s="187">
        <f>N654</f>
        <v>0</v>
      </c>
    </row>
    <row r="656" spans="4:14" ht="18" hidden="1" x14ac:dyDescent="0.35">
      <c r="D656" s="35"/>
      <c r="E656" s="35"/>
      <c r="F656" s="36"/>
      <c r="G656" s="36"/>
      <c r="H656" s="36"/>
      <c r="I656" s="36"/>
      <c r="J656" s="36"/>
      <c r="K656" s="185"/>
      <c r="L656" s="36"/>
      <c r="M656" s="185"/>
      <c r="N656" s="185"/>
    </row>
    <row r="657" spans="2:14" ht="18" hidden="1" x14ac:dyDescent="0.35">
      <c r="D657" s="35" t="s">
        <v>89</v>
      </c>
      <c r="E657" s="35" t="s">
        <v>38</v>
      </c>
      <c r="F657" s="36"/>
      <c r="G657" s="36"/>
      <c r="H657" s="36"/>
      <c r="I657" s="36"/>
      <c r="J657" s="36"/>
      <c r="K657" s="185">
        <f>K201</f>
        <v>7000</v>
      </c>
      <c r="L657" s="36"/>
      <c r="M657" s="185">
        <f>M201</f>
        <v>7000</v>
      </c>
      <c r="N657" s="185">
        <f>N201</f>
        <v>7000</v>
      </c>
    </row>
    <row r="658" spans="2:14" ht="18" hidden="1" x14ac:dyDescent="0.35">
      <c r="D658" s="186" t="s">
        <v>89</v>
      </c>
      <c r="E658" s="186" t="s">
        <v>44</v>
      </c>
      <c r="F658" s="36"/>
      <c r="G658" s="36"/>
      <c r="H658" s="36"/>
      <c r="I658" s="36"/>
      <c r="J658" s="36"/>
      <c r="K658" s="187">
        <f>SUBTOTAL(9,K657:K657)</f>
        <v>7000</v>
      </c>
      <c r="L658" s="36"/>
      <c r="M658" s="187">
        <f>SUBTOTAL(9,M657:M657)</f>
        <v>7000</v>
      </c>
      <c r="N658" s="187">
        <f>SUBTOTAL(9,N657:N657)</f>
        <v>7000</v>
      </c>
    </row>
    <row r="659" spans="2:14" ht="18" hidden="1" x14ac:dyDescent="0.35">
      <c r="D659" s="35"/>
      <c r="E659" s="35"/>
      <c r="F659" s="36"/>
      <c r="G659" s="36"/>
      <c r="H659" s="36"/>
      <c r="I659" s="36"/>
      <c r="J659" s="36"/>
      <c r="K659" s="185"/>
      <c r="L659" s="36"/>
      <c r="M659" s="185"/>
      <c r="N659" s="185"/>
    </row>
    <row r="660" spans="2:14" ht="18" hidden="1" x14ac:dyDescent="0.35">
      <c r="D660" s="188" t="s">
        <v>371</v>
      </c>
      <c r="E660" s="35"/>
      <c r="F660" s="36"/>
      <c r="G660" s="36"/>
      <c r="H660" s="36"/>
      <c r="I660" s="36"/>
      <c r="J660" s="36"/>
      <c r="K660" s="185">
        <f>K600</f>
        <v>27393.1</v>
      </c>
      <c r="L660" s="36"/>
      <c r="M660" s="185">
        <f>M600</f>
        <v>27393.1</v>
      </c>
      <c r="N660" s="185">
        <f>N600</f>
        <v>34551.699999999997</v>
      </c>
    </row>
    <row r="661" spans="2:14" ht="18" hidden="1" x14ac:dyDescent="0.35">
      <c r="D661" s="35"/>
      <c r="E661" s="35"/>
      <c r="F661" s="36"/>
      <c r="G661" s="36"/>
      <c r="H661" s="36"/>
      <c r="I661" s="36"/>
      <c r="J661" s="36"/>
      <c r="K661" s="185"/>
      <c r="L661" s="36"/>
      <c r="M661" s="185"/>
      <c r="N661" s="185"/>
    </row>
    <row r="662" spans="2:14" ht="18" hidden="1" x14ac:dyDescent="0.35">
      <c r="D662" s="35"/>
      <c r="E662" s="35"/>
      <c r="F662" s="36"/>
      <c r="G662" s="36"/>
      <c r="H662" s="36"/>
      <c r="I662" s="36"/>
      <c r="J662" s="36"/>
      <c r="K662" s="187"/>
      <c r="L662" s="36"/>
      <c r="M662" s="187"/>
      <c r="N662" s="187"/>
    </row>
    <row r="663" spans="2:14" ht="18" hidden="1" x14ac:dyDescent="0.35">
      <c r="D663" s="35"/>
      <c r="E663" s="35"/>
      <c r="F663" s="36"/>
      <c r="G663" s="36"/>
      <c r="H663" s="36"/>
      <c r="I663" s="36"/>
      <c r="J663" s="36"/>
      <c r="K663" s="185"/>
      <c r="L663" s="36"/>
      <c r="M663" s="185"/>
      <c r="N663" s="185"/>
    </row>
    <row r="664" spans="2:14" ht="18" hidden="1" x14ac:dyDescent="0.35">
      <c r="B664" s="1" t="s">
        <v>374</v>
      </c>
      <c r="D664" s="35"/>
      <c r="E664" s="35"/>
      <c r="F664" s="36"/>
      <c r="G664" s="36"/>
      <c r="H664" s="36"/>
      <c r="I664" s="36"/>
      <c r="J664" s="36"/>
      <c r="K664" s="185"/>
      <c r="L664" s="36"/>
      <c r="M664" s="185"/>
      <c r="N664" s="185"/>
    </row>
    <row r="665" spans="2:14" ht="18" hidden="1" x14ac:dyDescent="0.35">
      <c r="B665" s="1" t="s">
        <v>373</v>
      </c>
      <c r="D665" s="35"/>
      <c r="E665" s="35"/>
      <c r="F665" s="36"/>
      <c r="G665" s="36"/>
      <c r="H665" s="36"/>
      <c r="I665" s="36"/>
      <c r="J665" s="36"/>
      <c r="K665" s="185"/>
      <c r="L665" s="36"/>
      <c r="M665" s="185"/>
      <c r="N665" s="185"/>
    </row>
    <row r="666" spans="2:14" ht="18" hidden="1" x14ac:dyDescent="0.35">
      <c r="D666" s="35"/>
      <c r="E666" s="35"/>
      <c r="F666" s="36"/>
      <c r="G666" s="36"/>
      <c r="H666" s="36"/>
      <c r="I666" s="36"/>
      <c r="J666" s="36"/>
      <c r="K666" s="189"/>
      <c r="L666" s="36"/>
      <c r="M666" s="189"/>
      <c r="N666" s="189"/>
    </row>
    <row r="667" spans="2:14" ht="32.4" hidden="1" customHeight="1" x14ac:dyDescent="0.35">
      <c r="D667" s="35"/>
      <c r="E667" s="35"/>
      <c r="F667" s="36"/>
      <c r="G667" s="36"/>
      <c r="H667" s="36"/>
      <c r="I667" s="36"/>
      <c r="J667" s="36"/>
      <c r="K667" s="189"/>
      <c r="L667" s="36"/>
      <c r="M667" s="189"/>
      <c r="N667" s="189"/>
    </row>
    <row r="668" spans="2:14" x14ac:dyDescent="0.3">
      <c r="K668" s="144"/>
    </row>
    <row r="669" spans="2:14" x14ac:dyDescent="0.3">
      <c r="K669" s="37"/>
      <c r="M669" s="37"/>
      <c r="N669" s="37"/>
    </row>
    <row r="670" spans="2:14" x14ac:dyDescent="0.3">
      <c r="K670" s="144"/>
    </row>
    <row r="671" spans="2:14" x14ac:dyDescent="0.3">
      <c r="K671" s="144"/>
    </row>
    <row r="672" spans="2:14" x14ac:dyDescent="0.3">
      <c r="K672" s="144"/>
    </row>
    <row r="673" spans="11:11" x14ac:dyDescent="0.3">
      <c r="K673" s="144"/>
    </row>
    <row r="674" spans="11:11" x14ac:dyDescent="0.3">
      <c r="K674" s="144"/>
    </row>
    <row r="675" spans="11:11" x14ac:dyDescent="0.3">
      <c r="K675" s="144"/>
    </row>
    <row r="676" spans="11:11" x14ac:dyDescent="0.3">
      <c r="K676" s="144"/>
    </row>
    <row r="677" spans="11:11" x14ac:dyDescent="0.3">
      <c r="K677" s="144"/>
    </row>
    <row r="678" spans="11:11" x14ac:dyDescent="0.3">
      <c r="K678" s="144"/>
    </row>
    <row r="679" spans="11:11" x14ac:dyDescent="0.3">
      <c r="K679" s="144"/>
    </row>
    <row r="680" spans="11:11" x14ac:dyDescent="0.3">
      <c r="K680" s="144"/>
    </row>
    <row r="681" spans="11:11" x14ac:dyDescent="0.3">
      <c r="K681" s="144"/>
    </row>
    <row r="682" spans="11:11" x14ac:dyDescent="0.3">
      <c r="K682" s="144"/>
    </row>
    <row r="683" spans="11:11" x14ac:dyDescent="0.3">
      <c r="K683" s="144"/>
    </row>
    <row r="684" spans="11:11" x14ac:dyDescent="0.3">
      <c r="K684" s="144"/>
    </row>
    <row r="685" spans="11:11" x14ac:dyDescent="0.3">
      <c r="K685" s="144"/>
    </row>
    <row r="686" spans="11:11" x14ac:dyDescent="0.3">
      <c r="K686" s="144"/>
    </row>
    <row r="687" spans="11:11" x14ac:dyDescent="0.3">
      <c r="K687" s="144"/>
    </row>
    <row r="688" spans="11:11" x14ac:dyDescent="0.3">
      <c r="K688" s="144"/>
    </row>
    <row r="689" spans="11:11" x14ac:dyDescent="0.3">
      <c r="K689" s="144"/>
    </row>
    <row r="690" spans="11:11" x14ac:dyDescent="0.3">
      <c r="K690" s="144"/>
    </row>
    <row r="691" spans="11:11" x14ac:dyDescent="0.3">
      <c r="K691" s="144"/>
    </row>
    <row r="692" spans="11:11" x14ac:dyDescent="0.3">
      <c r="K692" s="144"/>
    </row>
    <row r="693" spans="11:11" x14ac:dyDescent="0.3">
      <c r="K693" s="144"/>
    </row>
    <row r="694" spans="11:11" x14ac:dyDescent="0.3">
      <c r="K694" s="144"/>
    </row>
    <row r="695" spans="11:11" x14ac:dyDescent="0.3">
      <c r="K695" s="144"/>
    </row>
    <row r="696" spans="11:11" x14ac:dyDescent="0.3">
      <c r="K696" s="144"/>
    </row>
    <row r="697" spans="11:11" x14ac:dyDescent="0.3">
      <c r="K697" s="144"/>
    </row>
    <row r="698" spans="11:11" x14ac:dyDescent="0.3">
      <c r="K698" s="144"/>
    </row>
    <row r="699" spans="11:11" x14ac:dyDescent="0.3">
      <c r="K699" s="144"/>
    </row>
    <row r="700" spans="11:11" x14ac:dyDescent="0.3">
      <c r="K700" s="144"/>
    </row>
    <row r="701" spans="11:11" x14ac:dyDescent="0.3">
      <c r="K701" s="144"/>
    </row>
    <row r="702" spans="11:11" x14ac:dyDescent="0.3">
      <c r="K702" s="144"/>
    </row>
    <row r="703" spans="11:11" x14ac:dyDescent="0.3">
      <c r="K703" s="144"/>
    </row>
    <row r="704" spans="11:11" x14ac:dyDescent="0.3">
      <c r="K704" s="144"/>
    </row>
    <row r="705" spans="11:11" x14ac:dyDescent="0.3">
      <c r="K705" s="144"/>
    </row>
    <row r="706" spans="11:11" x14ac:dyDescent="0.3">
      <c r="K706" s="144"/>
    </row>
    <row r="707" spans="11:11" x14ac:dyDescent="0.3">
      <c r="K707" s="144"/>
    </row>
    <row r="708" spans="11:11" x14ac:dyDescent="0.3">
      <c r="K708" s="144"/>
    </row>
    <row r="709" spans="11:11" x14ac:dyDescent="0.3">
      <c r="K709" s="144"/>
    </row>
    <row r="710" spans="11:11" x14ac:dyDescent="0.3">
      <c r="K710" s="144"/>
    </row>
    <row r="711" spans="11:11" x14ac:dyDescent="0.3">
      <c r="K711" s="144"/>
    </row>
    <row r="712" spans="11:11" x14ac:dyDescent="0.3">
      <c r="K712" s="144"/>
    </row>
    <row r="713" spans="11:11" x14ac:dyDescent="0.3">
      <c r="K713" s="144"/>
    </row>
    <row r="714" spans="11:11" x14ac:dyDescent="0.3">
      <c r="K714" s="144"/>
    </row>
    <row r="715" spans="11:11" x14ac:dyDescent="0.3">
      <c r="K715" s="144"/>
    </row>
    <row r="716" spans="11:11" x14ac:dyDescent="0.3">
      <c r="K716" s="144"/>
    </row>
    <row r="717" spans="11:11" x14ac:dyDescent="0.3">
      <c r="K717" s="144"/>
    </row>
    <row r="718" spans="11:11" x14ac:dyDescent="0.3">
      <c r="K718" s="144"/>
    </row>
    <row r="719" spans="11:11" x14ac:dyDescent="0.3">
      <c r="K719" s="144"/>
    </row>
    <row r="720" spans="11:11" x14ac:dyDescent="0.3">
      <c r="K720" s="144"/>
    </row>
    <row r="721" spans="11:11" x14ac:dyDescent="0.3">
      <c r="K721" s="144"/>
    </row>
    <row r="722" spans="11:11" x14ac:dyDescent="0.3">
      <c r="K722" s="144"/>
    </row>
    <row r="723" spans="11:11" x14ac:dyDescent="0.3">
      <c r="K723" s="144"/>
    </row>
    <row r="724" spans="11:11" x14ac:dyDescent="0.3">
      <c r="K724" s="144"/>
    </row>
    <row r="725" spans="11:11" x14ac:dyDescent="0.3">
      <c r="K725" s="144"/>
    </row>
    <row r="726" spans="11:11" x14ac:dyDescent="0.3">
      <c r="K726" s="144"/>
    </row>
    <row r="727" spans="11:11" x14ac:dyDescent="0.3">
      <c r="K727" s="144"/>
    </row>
    <row r="728" spans="11:11" x14ac:dyDescent="0.3">
      <c r="K728" s="144"/>
    </row>
    <row r="729" spans="11:11" x14ac:dyDescent="0.3">
      <c r="K729" s="144"/>
    </row>
    <row r="730" spans="11:11" x14ac:dyDescent="0.3">
      <c r="K730" s="144"/>
    </row>
    <row r="731" spans="11:11" x14ac:dyDescent="0.3">
      <c r="K731" s="144"/>
    </row>
    <row r="732" spans="11:11" x14ac:dyDescent="0.3">
      <c r="K732" s="144"/>
    </row>
    <row r="733" spans="11:11" x14ac:dyDescent="0.3">
      <c r="K733" s="144"/>
    </row>
    <row r="734" spans="11:11" x14ac:dyDescent="0.3">
      <c r="K734" s="144"/>
    </row>
    <row r="735" spans="11:11" x14ac:dyDescent="0.3">
      <c r="K735" s="144"/>
    </row>
    <row r="736" spans="11:11" x14ac:dyDescent="0.3">
      <c r="K736" s="144"/>
    </row>
    <row r="737" spans="11:11" x14ac:dyDescent="0.3">
      <c r="K737" s="144"/>
    </row>
    <row r="738" spans="11:11" x14ac:dyDescent="0.3">
      <c r="K738" s="144"/>
    </row>
    <row r="739" spans="11:11" x14ac:dyDescent="0.3">
      <c r="K739" s="144"/>
    </row>
    <row r="740" spans="11:11" x14ac:dyDescent="0.3">
      <c r="K740" s="144"/>
    </row>
    <row r="741" spans="11:11" x14ac:dyDescent="0.3">
      <c r="K741" s="144"/>
    </row>
    <row r="742" spans="11:11" x14ac:dyDescent="0.3">
      <c r="K742" s="144"/>
    </row>
    <row r="743" spans="11:11" x14ac:dyDescent="0.3">
      <c r="K743" s="144"/>
    </row>
    <row r="744" spans="11:11" x14ac:dyDescent="0.3">
      <c r="K744" s="144"/>
    </row>
    <row r="745" spans="11:11" x14ac:dyDescent="0.3">
      <c r="K745" s="144"/>
    </row>
    <row r="746" spans="11:11" x14ac:dyDescent="0.3">
      <c r="K746" s="144"/>
    </row>
    <row r="747" spans="11:11" x14ac:dyDescent="0.3">
      <c r="K747" s="144"/>
    </row>
    <row r="748" spans="11:11" x14ac:dyDescent="0.3">
      <c r="K748" s="144"/>
    </row>
    <row r="749" spans="11:11" x14ac:dyDescent="0.3">
      <c r="K749" s="144"/>
    </row>
    <row r="750" spans="11:11" x14ac:dyDescent="0.3">
      <c r="K750" s="144"/>
    </row>
    <row r="751" spans="11:11" x14ac:dyDescent="0.3">
      <c r="K751" s="144"/>
    </row>
    <row r="752" spans="11:11" x14ac:dyDescent="0.3">
      <c r="K752" s="144"/>
    </row>
    <row r="753" spans="11:11" x14ac:dyDescent="0.3">
      <c r="K753" s="144"/>
    </row>
    <row r="754" spans="11:11" x14ac:dyDescent="0.3">
      <c r="K754" s="144"/>
    </row>
    <row r="755" spans="11:11" x14ac:dyDescent="0.3">
      <c r="K755" s="144"/>
    </row>
    <row r="756" spans="11:11" x14ac:dyDescent="0.3">
      <c r="K756" s="144"/>
    </row>
    <row r="757" spans="11:11" x14ac:dyDescent="0.3">
      <c r="K757" s="144"/>
    </row>
    <row r="758" spans="11:11" x14ac:dyDescent="0.3">
      <c r="K758" s="144"/>
    </row>
    <row r="759" spans="11:11" x14ac:dyDescent="0.3">
      <c r="K759" s="144"/>
    </row>
    <row r="760" spans="11:11" x14ac:dyDescent="0.3">
      <c r="K760" s="144"/>
    </row>
    <row r="761" spans="11:11" x14ac:dyDescent="0.3">
      <c r="K761" s="144"/>
    </row>
    <row r="762" spans="11:11" x14ac:dyDescent="0.3">
      <c r="K762" s="144"/>
    </row>
    <row r="763" spans="11:11" x14ac:dyDescent="0.3">
      <c r="K763" s="144"/>
    </row>
    <row r="764" spans="11:11" x14ac:dyDescent="0.3">
      <c r="K764" s="144"/>
    </row>
    <row r="765" spans="11:11" x14ac:dyDescent="0.3">
      <c r="K765" s="144"/>
    </row>
    <row r="766" spans="11:11" x14ac:dyDescent="0.3">
      <c r="K766" s="144"/>
    </row>
    <row r="767" spans="11:11" x14ac:dyDescent="0.3">
      <c r="K767" s="144"/>
    </row>
    <row r="768" spans="11:11" x14ac:dyDescent="0.3">
      <c r="K768" s="144"/>
    </row>
    <row r="769" spans="11:11" x14ac:dyDescent="0.3">
      <c r="K769" s="144"/>
    </row>
    <row r="770" spans="11:11" x14ac:dyDescent="0.3">
      <c r="K770" s="144"/>
    </row>
    <row r="771" spans="11:11" x14ac:dyDescent="0.3">
      <c r="K771" s="144"/>
    </row>
    <row r="772" spans="11:11" x14ac:dyDescent="0.3">
      <c r="K772" s="144"/>
    </row>
    <row r="773" spans="11:11" x14ac:dyDescent="0.3">
      <c r="K773" s="144"/>
    </row>
    <row r="774" spans="11:11" x14ac:dyDescent="0.3">
      <c r="K774" s="144"/>
    </row>
    <row r="775" spans="11:11" x14ac:dyDescent="0.3">
      <c r="K775" s="144"/>
    </row>
    <row r="776" spans="11:11" x14ac:dyDescent="0.3">
      <c r="K776" s="144"/>
    </row>
    <row r="777" spans="11:11" x14ac:dyDescent="0.3">
      <c r="K777" s="144"/>
    </row>
    <row r="778" spans="11:11" x14ac:dyDescent="0.3">
      <c r="K778" s="144"/>
    </row>
    <row r="779" spans="11:11" x14ac:dyDescent="0.3">
      <c r="K779" s="144"/>
    </row>
    <row r="780" spans="11:11" x14ac:dyDescent="0.3">
      <c r="K780" s="144"/>
    </row>
    <row r="781" spans="11:11" x14ac:dyDescent="0.3">
      <c r="K781" s="144"/>
    </row>
    <row r="782" spans="11:11" x14ac:dyDescent="0.3">
      <c r="K782" s="144"/>
    </row>
    <row r="783" spans="11:11" x14ac:dyDescent="0.3">
      <c r="K783" s="144"/>
    </row>
    <row r="784" spans="11:11" x14ac:dyDescent="0.3">
      <c r="K784" s="144"/>
    </row>
    <row r="785" spans="11:11" x14ac:dyDescent="0.3">
      <c r="K785" s="144"/>
    </row>
    <row r="786" spans="11:11" x14ac:dyDescent="0.3">
      <c r="K786" s="144"/>
    </row>
    <row r="787" spans="11:11" x14ac:dyDescent="0.3">
      <c r="K787" s="144"/>
    </row>
    <row r="788" spans="11:11" x14ac:dyDescent="0.3">
      <c r="K788" s="144"/>
    </row>
    <row r="789" spans="11:11" x14ac:dyDescent="0.3">
      <c r="K789" s="144"/>
    </row>
    <row r="790" spans="11:11" x14ac:dyDescent="0.3">
      <c r="K790" s="144"/>
    </row>
    <row r="791" spans="11:11" x14ac:dyDescent="0.3">
      <c r="K791" s="144"/>
    </row>
    <row r="792" spans="11:11" x14ac:dyDescent="0.3">
      <c r="K792" s="144"/>
    </row>
    <row r="793" spans="11:11" x14ac:dyDescent="0.3">
      <c r="K793" s="144"/>
    </row>
  </sheetData>
  <autoFilter ref="A4:N669"/>
  <mergeCells count="12">
    <mergeCell ref="F15:I15"/>
    <mergeCell ref="A9:N9"/>
    <mergeCell ref="A13:A14"/>
    <mergeCell ref="B13:B14"/>
    <mergeCell ref="C13:C14"/>
    <mergeCell ref="D13:D14"/>
    <mergeCell ref="E13:E14"/>
    <mergeCell ref="F13:I14"/>
    <mergeCell ref="J13:J14"/>
    <mergeCell ref="N13:N14"/>
    <mergeCell ref="L13:M13"/>
    <mergeCell ref="K13:K1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  <headerFooter differentFirst="1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3"/>
  <sheetViews>
    <sheetView topLeftCell="A31" zoomScale="80" zoomScaleNormal="80" workbookViewId="0">
      <selection activeCell="H11" sqref="H11"/>
    </sheetView>
  </sheetViews>
  <sheetFormatPr defaultColWidth="9.109375" defaultRowHeight="18" x14ac:dyDescent="0.35"/>
  <cols>
    <col min="1" max="1" width="33.33203125" style="276" customWidth="1"/>
    <col min="2" max="2" width="66.44140625" style="276" customWidth="1"/>
    <col min="3" max="3" width="19.6640625" style="276" customWidth="1"/>
    <col min="4" max="4" width="15.5546875" style="276" customWidth="1"/>
    <col min="5" max="5" width="15.88671875" style="276" customWidth="1"/>
    <col min="6" max="6" width="19.88671875" style="276" customWidth="1"/>
    <col min="7" max="7" width="10.88671875" style="276" bestFit="1" customWidth="1"/>
    <col min="8" max="16384" width="9.109375" style="276"/>
  </cols>
  <sheetData>
    <row r="1" spans="1:6" x14ac:dyDescent="0.35">
      <c r="E1" s="192" t="s">
        <v>576</v>
      </c>
    </row>
    <row r="2" spans="1:6" x14ac:dyDescent="0.35">
      <c r="E2" s="192" t="s">
        <v>719</v>
      </c>
    </row>
    <row r="4" spans="1:6" s="42" customFormat="1" x14ac:dyDescent="0.35">
      <c r="E4" s="48" t="s">
        <v>578</v>
      </c>
    </row>
    <row r="5" spans="1:6" s="42" customFormat="1" x14ac:dyDescent="0.35">
      <c r="E5" s="48" t="s">
        <v>631</v>
      </c>
    </row>
    <row r="7" spans="1:6" ht="17.399999999999999" customHeight="1" x14ac:dyDescent="0.35"/>
    <row r="8" spans="1:6" s="42" customFormat="1" ht="18" customHeight="1" x14ac:dyDescent="0.35">
      <c r="C8" s="48"/>
    </row>
    <row r="9" spans="1:6" s="42" customFormat="1" ht="36" customHeight="1" x14ac:dyDescent="0.35">
      <c r="A9" s="726" t="s">
        <v>556</v>
      </c>
      <c r="B9" s="727"/>
      <c r="C9" s="727"/>
      <c r="D9" s="727"/>
      <c r="E9" s="727"/>
    </row>
    <row r="10" spans="1:6" x14ac:dyDescent="0.35">
      <c r="A10" s="727"/>
      <c r="B10" s="727"/>
      <c r="C10" s="727"/>
      <c r="D10" s="727"/>
      <c r="E10" s="727"/>
      <c r="F10" s="613"/>
    </row>
    <row r="11" spans="1:6" ht="37.5" customHeight="1" x14ac:dyDescent="0.35">
      <c r="E11" s="301" t="s">
        <v>240</v>
      </c>
    </row>
    <row r="12" spans="1:6" ht="33" customHeight="1" x14ac:dyDescent="0.35">
      <c r="A12" s="682" t="s">
        <v>13</v>
      </c>
      <c r="B12" s="682" t="s">
        <v>520</v>
      </c>
      <c r="C12" s="728" t="s">
        <v>15</v>
      </c>
      <c r="D12" s="729"/>
      <c r="E12" s="730"/>
      <c r="F12" s="614"/>
    </row>
    <row r="13" spans="1:6" ht="32.25" customHeight="1" x14ac:dyDescent="0.35">
      <c r="A13" s="683"/>
      <c r="B13" s="683"/>
      <c r="C13" s="227" t="s">
        <v>427</v>
      </c>
      <c r="D13" s="227" t="s">
        <v>484</v>
      </c>
      <c r="E13" s="227" t="s">
        <v>557</v>
      </c>
      <c r="F13" s="614"/>
    </row>
    <row r="14" spans="1:6" ht="18" customHeight="1" x14ac:dyDescent="0.35">
      <c r="A14" s="283">
        <v>1</v>
      </c>
      <c r="B14" s="302">
        <v>2</v>
      </c>
      <c r="C14" s="400">
        <v>3</v>
      </c>
      <c r="D14" s="283">
        <v>4</v>
      </c>
      <c r="E14" s="303">
        <v>5</v>
      </c>
      <c r="F14" s="614"/>
    </row>
    <row r="15" spans="1:6" ht="37.200000000000003" customHeight="1" x14ac:dyDescent="0.35">
      <c r="A15" s="304" t="s">
        <v>241</v>
      </c>
      <c r="B15" s="396" t="s">
        <v>242</v>
      </c>
      <c r="C15" s="305">
        <f>C20+C16</f>
        <v>90138.909000000174</v>
      </c>
      <c r="D15" s="305">
        <f>D20+D16</f>
        <v>0</v>
      </c>
      <c r="E15" s="404">
        <f>E20+E16</f>
        <v>0</v>
      </c>
      <c r="F15" s="615"/>
    </row>
    <row r="16" spans="1:6" ht="50.25" customHeight="1" x14ac:dyDescent="0.35">
      <c r="A16" s="306" t="s">
        <v>395</v>
      </c>
      <c r="B16" s="397" t="s">
        <v>517</v>
      </c>
      <c r="C16" s="401">
        <f>C17</f>
        <v>-511.20000000000073</v>
      </c>
      <c r="D16" s="401">
        <f>D17</f>
        <v>0</v>
      </c>
      <c r="E16" s="405">
        <f>E17</f>
        <v>0</v>
      </c>
      <c r="F16" s="615"/>
    </row>
    <row r="17" spans="1:8" ht="57" customHeight="1" x14ac:dyDescent="0.35">
      <c r="A17" s="307" t="s">
        <v>396</v>
      </c>
      <c r="B17" s="398" t="s">
        <v>514</v>
      </c>
      <c r="C17" s="402">
        <f>-C18</f>
        <v>-511.20000000000073</v>
      </c>
      <c r="D17" s="402">
        <v>0</v>
      </c>
      <c r="E17" s="406">
        <v>0</v>
      </c>
      <c r="F17" s="615"/>
    </row>
    <row r="18" spans="1:8" ht="63" customHeight="1" x14ac:dyDescent="0.35">
      <c r="A18" s="307" t="s">
        <v>397</v>
      </c>
      <c r="B18" s="398" t="s">
        <v>515</v>
      </c>
      <c r="C18" s="402">
        <f>C19</f>
        <v>511.20000000000073</v>
      </c>
      <c r="D18" s="402">
        <v>0</v>
      </c>
      <c r="E18" s="406">
        <v>0</v>
      </c>
      <c r="F18" s="615"/>
    </row>
    <row r="19" spans="1:8" ht="75.75" customHeight="1" x14ac:dyDescent="0.35">
      <c r="A19" s="311" t="s">
        <v>398</v>
      </c>
      <c r="B19" s="399" t="s">
        <v>516</v>
      </c>
      <c r="C19" s="403">
        <f>10224-9712.8</f>
        <v>511.20000000000073</v>
      </c>
      <c r="D19" s="403">
        <v>0</v>
      </c>
      <c r="E19" s="407">
        <v>0</v>
      </c>
      <c r="F19" s="615"/>
    </row>
    <row r="20" spans="1:8" s="618" customFormat="1" ht="34.950000000000003" customHeight="1" x14ac:dyDescent="0.3">
      <c r="A20" s="306" t="s">
        <v>243</v>
      </c>
      <c r="B20" s="308" t="s">
        <v>244</v>
      </c>
      <c r="C20" s="621">
        <f>C25-C21</f>
        <v>90650.109000000171</v>
      </c>
      <c r="D20" s="305">
        <f>D25-D21</f>
        <v>0</v>
      </c>
      <c r="E20" s="404">
        <f>E25-E21</f>
        <v>0</v>
      </c>
      <c r="F20" s="616"/>
      <c r="G20" s="617"/>
    </row>
    <row r="21" spans="1:8" x14ac:dyDescent="0.35">
      <c r="A21" s="307" t="s">
        <v>245</v>
      </c>
      <c r="B21" s="309" t="s">
        <v>246</v>
      </c>
      <c r="C21" s="381">
        <f t="shared" ref="C21:E23" si="0">C22</f>
        <v>2027144.5967999999</v>
      </c>
      <c r="D21" s="393">
        <f t="shared" si="0"/>
        <v>1756852.2</v>
      </c>
      <c r="E21" s="408">
        <f t="shared" si="0"/>
        <v>1599190.6</v>
      </c>
    </row>
    <row r="22" spans="1:8" x14ac:dyDescent="0.35">
      <c r="A22" s="307" t="s">
        <v>247</v>
      </c>
      <c r="B22" s="309" t="s">
        <v>248</v>
      </c>
      <c r="C22" s="381">
        <f t="shared" si="0"/>
        <v>2027144.5967999999</v>
      </c>
      <c r="D22" s="393">
        <f t="shared" si="0"/>
        <v>1756852.2</v>
      </c>
      <c r="E22" s="408">
        <f t="shared" si="0"/>
        <v>1599190.6</v>
      </c>
    </row>
    <row r="23" spans="1:8" ht="20.25" customHeight="1" x14ac:dyDescent="0.35">
      <c r="A23" s="307" t="s">
        <v>328</v>
      </c>
      <c r="B23" s="310" t="s">
        <v>249</v>
      </c>
      <c r="C23" s="382">
        <f t="shared" si="0"/>
        <v>2027144.5967999999</v>
      </c>
      <c r="D23" s="394">
        <f t="shared" si="0"/>
        <v>1756852.2</v>
      </c>
      <c r="E23" s="409">
        <f t="shared" si="0"/>
        <v>1599190.6</v>
      </c>
    </row>
    <row r="24" spans="1:8" ht="37.5" customHeight="1" x14ac:dyDescent="0.35">
      <c r="A24" s="307" t="s">
        <v>250</v>
      </c>
      <c r="B24" s="310" t="s">
        <v>3</v>
      </c>
      <c r="C24" s="382">
        <f>'прил. 1 (поступл.22-24)'!C42+'прил. 1 (поступл.22-24)'!C41</f>
        <v>2027144.5967999999</v>
      </c>
      <c r="D24" s="392">
        <f>'прил. 1 (поступл.22-24)'!D42</f>
        <v>1756852.2</v>
      </c>
      <c r="E24" s="410">
        <f>'прил. 1 (поступл.22-24)'!E42</f>
        <v>1599190.6</v>
      </c>
    </row>
    <row r="25" spans="1:8" x14ac:dyDescent="0.35">
      <c r="A25" s="307" t="s">
        <v>251</v>
      </c>
      <c r="B25" s="310" t="s">
        <v>252</v>
      </c>
      <c r="C25" s="382">
        <f>C26</f>
        <v>2117794.7058000001</v>
      </c>
      <c r="D25" s="394">
        <f t="shared" ref="D25:E27" si="1">D26</f>
        <v>1756852.2000000002</v>
      </c>
      <c r="E25" s="409">
        <f t="shared" si="1"/>
        <v>1599190.6</v>
      </c>
    </row>
    <row r="26" spans="1:8" x14ac:dyDescent="0.35">
      <c r="A26" s="307" t="s">
        <v>253</v>
      </c>
      <c r="B26" s="310" t="s">
        <v>254</v>
      </c>
      <c r="C26" s="382">
        <f>C27</f>
        <v>2117794.7058000001</v>
      </c>
      <c r="D26" s="394">
        <f t="shared" si="1"/>
        <v>1756852.2000000002</v>
      </c>
      <c r="E26" s="409">
        <f t="shared" si="1"/>
        <v>1599190.6</v>
      </c>
    </row>
    <row r="27" spans="1:8" ht="22.2" customHeight="1" x14ac:dyDescent="0.35">
      <c r="A27" s="307" t="s">
        <v>255</v>
      </c>
      <c r="B27" s="310" t="s">
        <v>256</v>
      </c>
      <c r="C27" s="382">
        <f>C28</f>
        <v>2117794.7058000001</v>
      </c>
      <c r="D27" s="394">
        <f t="shared" si="1"/>
        <v>1756852.2000000002</v>
      </c>
      <c r="E27" s="409">
        <f t="shared" si="1"/>
        <v>1599190.6</v>
      </c>
    </row>
    <row r="28" spans="1:8" ht="36" x14ac:dyDescent="0.35">
      <c r="A28" s="311" t="s">
        <v>257</v>
      </c>
      <c r="B28" s="312" t="s">
        <v>4</v>
      </c>
      <c r="C28" s="383">
        <f>'прил9 (ведом 22)'!M15+C19+'прил. 1 (поступл.22-24)'!C41</f>
        <v>2117794.7058000001</v>
      </c>
      <c r="D28" s="395">
        <f>'прил10 (ведом 23-24)'!M16+D19</f>
        <v>1756852.2000000002</v>
      </c>
      <c r="E28" s="411">
        <f>'прил10 (ведом 23-24)'!N16+E19</f>
        <v>1599190.6</v>
      </c>
    </row>
    <row r="29" spans="1:8" x14ac:dyDescent="0.35">
      <c r="A29" s="313"/>
      <c r="B29" s="314"/>
      <c r="C29" s="315"/>
    </row>
    <row r="30" spans="1:8" x14ac:dyDescent="0.35">
      <c r="A30" s="313"/>
      <c r="B30" s="314"/>
      <c r="C30" s="315"/>
    </row>
    <row r="31" spans="1:8" s="339" customFormat="1" x14ac:dyDescent="0.35">
      <c r="A31" s="611" t="s">
        <v>384</v>
      </c>
      <c r="B31" s="380"/>
      <c r="C31" s="120"/>
      <c r="D31" s="120"/>
      <c r="E31" s="120"/>
      <c r="F31" s="376"/>
      <c r="G31" s="137"/>
      <c r="H31" s="619"/>
    </row>
    <row r="32" spans="1:8" s="339" customFormat="1" x14ac:dyDescent="0.35">
      <c r="A32" s="611" t="s">
        <v>385</v>
      </c>
      <c r="B32" s="380"/>
      <c r="C32" s="120"/>
      <c r="D32" s="120"/>
      <c r="E32" s="120"/>
      <c r="F32" s="376"/>
      <c r="G32" s="137"/>
      <c r="H32" s="619"/>
    </row>
    <row r="33" spans="1:6" s="339" customFormat="1" x14ac:dyDescent="0.35">
      <c r="A33" s="612" t="s">
        <v>386</v>
      </c>
      <c r="B33" s="380"/>
      <c r="C33" s="138"/>
      <c r="D33" s="120"/>
      <c r="E33" s="138" t="s">
        <v>407</v>
      </c>
      <c r="F33" s="376"/>
    </row>
  </sheetData>
  <mergeCells count="4">
    <mergeCell ref="A9:E10"/>
    <mergeCell ref="C12:E12"/>
    <mergeCell ref="A12:A13"/>
    <mergeCell ref="B12:B13"/>
  </mergeCells>
  <printOptions horizontalCentered="1"/>
  <pageMargins left="1.1811023622047245" right="0.39370078740157483" top="0.78740157480314965" bottom="0.78740157480314965" header="0" footer="0"/>
  <pageSetup paperSize="9" scale="5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19</vt:i4>
      </vt:variant>
    </vt:vector>
  </HeadingPairs>
  <TitlesOfParts>
    <vt:vector size="29" baseType="lpstr">
      <vt:lpstr>прил. 1 (поступл.22-24)</vt:lpstr>
      <vt:lpstr>прил.2(пост.безв.22)</vt:lpstr>
      <vt:lpstr>прил.3 (пост.безв.23-24)</vt:lpstr>
      <vt:lpstr>прил 6 (Рз,ПР 22-24)</vt:lpstr>
      <vt:lpstr>прил 7 (ЦС,ВР 22)</vt:lpstr>
      <vt:lpstr>прил 8 (ЦС,ВР 23-24)</vt:lpstr>
      <vt:lpstr>прил9 (ведом 22)</vt:lpstr>
      <vt:lpstr>прил10 (ведом 23-24)</vt:lpstr>
      <vt:lpstr>прил.11 (Источники 22-24)</vt:lpstr>
      <vt:lpstr>прил.12 (безв.всего 22-24)</vt:lpstr>
      <vt:lpstr>'прил 6 (Рз,ПР 22-24)'!Заголовки_для_печати</vt:lpstr>
      <vt:lpstr>'прил 7 (ЦС,ВР 22)'!Заголовки_для_печати</vt:lpstr>
      <vt:lpstr>'прил 8 (ЦС,ВР 23-24)'!Заголовки_для_печати</vt:lpstr>
      <vt:lpstr>'прил. 1 (поступл.22-24)'!Заголовки_для_печати</vt:lpstr>
      <vt:lpstr>'прил.11 (Источники 22-24)'!Заголовки_для_печати</vt:lpstr>
      <vt:lpstr>'прил.2(пост.безв.22)'!Заголовки_для_печати</vt:lpstr>
      <vt:lpstr>'прил.3 (пост.безв.23-24)'!Заголовки_для_печати</vt:lpstr>
      <vt:lpstr>'прил10 (ведом 23-24)'!Заголовки_для_печати</vt:lpstr>
      <vt:lpstr>'прил9 (ведом 22)'!Заголовки_для_печати</vt:lpstr>
      <vt:lpstr>'прил 6 (Рз,ПР 22-24)'!Область_печати</vt:lpstr>
      <vt:lpstr>'прил 7 (ЦС,ВР 22)'!Область_печати</vt:lpstr>
      <vt:lpstr>'прил 8 (ЦС,ВР 23-24)'!Область_печати</vt:lpstr>
      <vt:lpstr>'прил. 1 (поступл.22-24)'!Область_печати</vt:lpstr>
      <vt:lpstr>'прил.11 (Источники 22-24)'!Область_печати</vt:lpstr>
      <vt:lpstr>'прил.12 (безв.всего 22-24)'!Область_печати</vt:lpstr>
      <vt:lpstr>'прил.2(пост.безв.22)'!Область_печати</vt:lpstr>
      <vt:lpstr>'прил.3 (пост.безв.23-24)'!Область_печати</vt:lpstr>
      <vt:lpstr>'прил10 (ведом 23-24)'!Область_печати</vt:lpstr>
      <vt:lpstr>'прил9 (ведом 22)'!Область_печати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2022-07-28T09:21:27Z</dcterms:modified>
</cp:coreProperties>
</file>