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685" windowWidth="14805" windowHeight="5430" tabRatio="852" firstSheet="10" activeTab="18"/>
  </bookViews>
  <sheets>
    <sheet name="прил.1 (админ.)" sheetId="1" r:id="rId1"/>
    <sheet name="прил. 2 (поступл.20)" sheetId="5" r:id="rId2"/>
    <sheet name="прил. 3 (поступл. 21-22)" sheetId="15" r:id="rId3"/>
    <sheet name="прил.4 (пост.безв.20)" sheetId="2" r:id="rId4"/>
    <sheet name="прил.5 (пост.безв.21-22)" sheetId="16" r:id="rId5"/>
    <sheet name="прил.6 (безв.от пос.20) (2)" sheetId="27" r:id="rId6"/>
    <sheet name="прил.7 (норм.доходов)" sheetId="26" r:id="rId7"/>
    <sheet name="прил 8 (Рз,ПР 20)" sheetId="6" r:id="rId8"/>
    <sheet name="прил 9 (Рз,ПР 21-22)" sheetId="17" r:id="rId9"/>
    <sheet name="прил 10 (ЦС,ВР 20)" sheetId="7" r:id="rId10"/>
    <sheet name="прил 11 (ЦС,ВР 21-22)" sheetId="18" r:id="rId11"/>
    <sheet name="прил12(ведом 20)" sheetId="3" r:id="rId12"/>
    <sheet name="прил13(ведом 21-22)" sheetId="19" r:id="rId13"/>
    <sheet name="прил.14 (Источники 20)" sheetId="8" r:id="rId14"/>
    <sheet name="прил.15 (Источники 21-22)" sheetId="20" r:id="rId15"/>
    <sheet name="прил.16(безв.всего 19)" sheetId="9" r:id="rId16"/>
    <sheet name="прил.17(безв.всего 20-21)" sheetId="21" r:id="rId17"/>
    <sheet name="прил.18(дотация 20)" sheetId="11" r:id="rId18"/>
    <sheet name="прил.19(дотация 21-22)" sheetId="22" r:id="rId19"/>
    <sheet name="прил.20мун.заим.20-22)" sheetId="12" r:id="rId20"/>
    <sheet name="прил.21(гар. 20-22)" sheetId="13" r:id="rId21"/>
  </sheets>
  <definedNames>
    <definedName name="_xlnm._FilterDatabase" localSheetId="9" hidden="1">'прил 10 (ЦС,ВР 20)'!$A$1:$M$493</definedName>
    <definedName name="_xlnm._FilterDatabase" localSheetId="10" hidden="1">'прил 11 (ЦС,ВР 21-22)'!$A$1:$L$353</definedName>
    <definedName name="_xlnm._FilterDatabase" localSheetId="7" hidden="1">'прил 8 (Рз,ПР 20)'!$A$12:$AI$56</definedName>
    <definedName name="_xlnm._FilterDatabase" localSheetId="8" hidden="1">'прил 9 (Рз,ПР 21-22)'!$A$13:$AJ$55</definedName>
    <definedName name="_xlnm._FilterDatabase" localSheetId="0" hidden="1">'прил.1 (админ.)'!$A$4:$C$193</definedName>
    <definedName name="_xlnm._FilterDatabase" localSheetId="3" hidden="1">'прил.4 (пост.безв.20)'!$A$4:$E$76</definedName>
    <definedName name="_xlnm._FilterDatabase" localSheetId="4" hidden="1">'прил.5 (пост.безв.21-22)'!$A$12:$E$67</definedName>
    <definedName name="_xlnm._FilterDatabase" localSheetId="11" hidden="1">'прил12(ведом 20)'!$A$1:$O$750</definedName>
    <definedName name="_xlnm._FilterDatabase" localSheetId="12" hidden="1">'прил13(ведом 21-22)'!$A$1:$O$509</definedName>
    <definedName name="Z_168CADD9_CFDC_4445_BFE6_DAD4B9423C72_.wvu.FilterData" localSheetId="9" hidden="1">'прил 10 (ЦС,ВР 20)'!#REF!</definedName>
    <definedName name="Z_168CADD9_CFDC_4445_BFE6_DAD4B9423C72_.wvu.FilterData" localSheetId="10" hidden="1">'прил 11 (ЦС,ВР 21-22)'!#REF!</definedName>
    <definedName name="Z_1F25B6A1_C9F7_11D8_A2FD_006098EF8B30_.wvu.FilterData" localSheetId="9" hidden="1">'прил 10 (ЦС,ВР 20)'!#REF!</definedName>
    <definedName name="Z_1F25B6A1_C9F7_11D8_A2FD_006098EF8B30_.wvu.FilterData" localSheetId="10" hidden="1">'прил 11 (ЦС,ВР 21-22)'!#REF!</definedName>
    <definedName name="Z_29D950F2_21ED_48E6_BFC6_87DD89E0125A_.wvu.FilterData" localSheetId="9" hidden="1">'прил 10 (ЦС,ВР 20)'!#REF!</definedName>
    <definedName name="Z_29D950F2_21ED_48E6_BFC6_87DD89E0125A_.wvu.FilterData" localSheetId="10" hidden="1">'прил 11 (ЦС,ВР 21-22)'!#REF!</definedName>
    <definedName name="Z_2CA7FCD5_27A5_4474_9D49_7A7E23BD2FF9_.wvu.FilterData" localSheetId="9" hidden="1">'прил 10 (ЦС,ВР 20)'!#REF!</definedName>
    <definedName name="Z_2CA7FCD5_27A5_4474_9D49_7A7E23BD2FF9_.wvu.FilterData" localSheetId="10" hidden="1">'прил 11 (ЦС,ВР 21-22)'!#REF!</definedName>
    <definedName name="Z_48E28AC5_4E0A_4FBA_AE6D_340F9E8D4B3C_.wvu.FilterData" localSheetId="9" hidden="1">'прил 10 (ЦС,ВР 20)'!#REF!</definedName>
    <definedName name="Z_48E28AC5_4E0A_4FBA_AE6D_340F9E8D4B3C_.wvu.FilterData" localSheetId="10" hidden="1">'прил 11 (ЦС,ВР 21-22)'!#REF!</definedName>
    <definedName name="Z_6398E0F2_3205_40F4_BF0A_C9F4D0DA9A75_.wvu.FilterData" localSheetId="9" hidden="1">'прил 10 (ЦС,ВР 20)'!#REF!</definedName>
    <definedName name="Z_6398E0F2_3205_40F4_BF0A_C9F4D0DA9A75_.wvu.FilterData" localSheetId="10" hidden="1">'прил 11 (ЦС,ВР 21-22)'!#REF!</definedName>
    <definedName name="Z_64DF1B77_0EDD_4B56_A91C_5E003BE599EF_.wvu.FilterData" localSheetId="9" hidden="1">'прил 10 (ЦС,ВР 20)'!#REF!</definedName>
    <definedName name="Z_64DF1B77_0EDD_4B56_A91C_5E003BE599EF_.wvu.FilterData" localSheetId="10" hidden="1">'прил 11 (ЦС,ВР 21-22)'!#REF!</definedName>
    <definedName name="Z_6786C020_BCF1_463A_B3E9_7DE69D46EAB3_.wvu.FilterData" localSheetId="9" hidden="1">'прил 10 (ЦС,ВР 20)'!#REF!</definedName>
    <definedName name="Z_6786C020_BCF1_463A_B3E9_7DE69D46EAB3_.wvu.FilterData" localSheetId="10" hidden="1">'прил 11 (ЦС,ВР 21-22)'!#REF!</definedName>
    <definedName name="Z_8E2E7D81_C767_11D8_A2FD_006098EF8B30_.wvu.FilterData" localSheetId="9" hidden="1">'прил 10 (ЦС,ВР 20)'!#REF!</definedName>
    <definedName name="Z_8E2E7D81_C767_11D8_A2FD_006098EF8B30_.wvu.FilterData" localSheetId="10" hidden="1">'прил 11 (ЦС,ВР 21-22)'!#REF!</definedName>
    <definedName name="Z_97D0CDFA_8A34_4B3C_BA32_D4F0E3218B75_.wvu.FilterData" localSheetId="9" hidden="1">'прил 10 (ЦС,ВР 20)'!#REF!</definedName>
    <definedName name="Z_97D0CDFA_8A34_4B3C_BA32_D4F0E3218B75_.wvu.FilterData" localSheetId="10" hidden="1">'прил 11 (ЦС,ВР 21-22)'!#REF!</definedName>
    <definedName name="Z_B246FE0E_E986_4211_B02A_04E4565C0FED_.wvu.Cols" localSheetId="9" hidden="1">'прил 10 (ЦС,ВР 20)'!$A:$A,'прил 10 (ЦС,ВР 20)'!#REF!</definedName>
    <definedName name="Z_B246FE0E_E986_4211_B02A_04E4565C0FED_.wvu.Cols" localSheetId="10" hidden="1">'прил 11 (ЦС,ВР 21-22)'!$A:$A,'прил 11 (ЦС,ВР 21-22)'!#REF!</definedName>
    <definedName name="Z_B246FE0E_E986_4211_B02A_04E4565C0FED_.wvu.FilterData" localSheetId="9" hidden="1">'прил 10 (ЦС,ВР 20)'!#REF!</definedName>
    <definedName name="Z_B246FE0E_E986_4211_B02A_04E4565C0FED_.wvu.FilterData" localSheetId="10" hidden="1">'прил 11 (ЦС,ВР 21-22)'!#REF!</definedName>
    <definedName name="Z_B246FE0E_E986_4211_B02A_04E4565C0FED_.wvu.PrintArea" localSheetId="9" hidden="1">'прил 10 (ЦС,ВР 20)'!#REF!</definedName>
    <definedName name="Z_B246FE0E_E986_4211_B02A_04E4565C0FED_.wvu.PrintArea" localSheetId="10" hidden="1">'прил 11 (ЦС,ВР 21-22)'!#REF!</definedName>
    <definedName name="Z_B246FE0E_E986_4211_B02A_04E4565C0FED_.wvu.PrintTitles" localSheetId="9" hidden="1">'прил 10 (ЦС,ВР 20)'!#REF!</definedName>
    <definedName name="Z_B246FE0E_E986_4211_B02A_04E4565C0FED_.wvu.PrintTitles" localSheetId="10" hidden="1">'прил 11 (ЦС,ВР 21-22)'!#REF!</definedName>
    <definedName name="Z_C54CDF8B_FA5C_4A02_B343_3FEFD9721392_.wvu.FilterData" localSheetId="9" hidden="1">'прил 10 (ЦС,ВР 20)'!#REF!</definedName>
    <definedName name="Z_C54CDF8B_FA5C_4A02_B343_3FEFD9721392_.wvu.FilterData" localSheetId="10" hidden="1">'прил 11 (ЦС,ВР 21-22)'!#REF!</definedName>
    <definedName name="Z_D7174C22_B878_4584_A218_37ED88979064_.wvu.FilterData" localSheetId="9" hidden="1">'прил 10 (ЦС,ВР 20)'!#REF!</definedName>
    <definedName name="Z_D7174C22_B878_4584_A218_37ED88979064_.wvu.FilterData" localSheetId="10" hidden="1">'прил 11 (ЦС,ВР 21-22)'!#REF!</definedName>
    <definedName name="Z_DD7538FB_7299_4DEE_90D5_2739132A1616_.wvu.FilterData" localSheetId="9" hidden="1">'прил 10 (ЦС,ВР 20)'!#REF!</definedName>
    <definedName name="Z_DD7538FB_7299_4DEE_90D5_2739132A1616_.wvu.FilterData" localSheetId="10" hidden="1">'прил 11 (ЦС,ВР 21-22)'!#REF!</definedName>
    <definedName name="Z_E4B436A8_4A5B_422F_8C0E_9267F763D19D_.wvu.FilterData" localSheetId="9" hidden="1">'прил 10 (ЦС,ВР 20)'!#REF!</definedName>
    <definedName name="Z_E4B436A8_4A5B_422F_8C0E_9267F763D19D_.wvu.FilterData" localSheetId="10" hidden="1">'прил 11 (ЦС,ВР 21-22)'!#REF!</definedName>
    <definedName name="Z_E6BB4361_1D58_11D9_A2FD_006098EF8B30_.wvu.FilterData" localSheetId="9" hidden="1">'прил 10 (ЦС,ВР 20)'!#REF!</definedName>
    <definedName name="Z_E6BB4361_1D58_11D9_A2FD_006098EF8B30_.wvu.FilterData" localSheetId="10" hidden="1">'прил 11 (ЦС,ВР 21-22)'!#REF!</definedName>
    <definedName name="Z_EF486DA3_1DF3_11D9_A2FD_006098EF8B30_.wvu.FilterData" localSheetId="9" hidden="1">'прил 10 (ЦС,ВР 20)'!#REF!</definedName>
    <definedName name="Z_EF486DA3_1DF3_11D9_A2FD_006098EF8B30_.wvu.FilterData" localSheetId="10" hidden="1">'прил 11 (ЦС,ВР 21-22)'!#REF!</definedName>
    <definedName name="Z_EF486DA8_1DF3_11D9_A2FD_006098EF8B30_.wvu.FilterData" localSheetId="9" hidden="1">'прил 10 (ЦС,ВР 20)'!#REF!</definedName>
    <definedName name="Z_EF486DA8_1DF3_11D9_A2FD_006098EF8B30_.wvu.FilterData" localSheetId="10" hidden="1">'прил 11 (ЦС,ВР 21-22)'!#REF!</definedName>
    <definedName name="Z_EF486DAA_1DF3_11D9_A2FD_006098EF8B30_.wvu.FilterData" localSheetId="9" hidden="1">'прил 10 (ЦС,ВР 20)'!#REF!</definedName>
    <definedName name="Z_EF486DAA_1DF3_11D9_A2FD_006098EF8B30_.wvu.FilterData" localSheetId="10" hidden="1">'прил 11 (ЦС,ВР 21-22)'!#REF!</definedName>
    <definedName name="Z_EF486DAC_1DF3_11D9_A2FD_006098EF8B30_.wvu.FilterData" localSheetId="9" hidden="1">'прил 10 (ЦС,ВР 20)'!#REF!</definedName>
    <definedName name="Z_EF486DAC_1DF3_11D9_A2FD_006098EF8B30_.wvu.FilterData" localSheetId="10" hidden="1">'прил 11 (ЦС,ВР 21-22)'!#REF!</definedName>
    <definedName name="Z_EF5A4981_C8E4_11D8_A2FC_006098EF8BA8_.wvu.Cols" localSheetId="9" hidden="1">'прил 10 (ЦС,ВР 20)'!$A:$A,'прил 10 (ЦС,ВР 20)'!#REF!,'прил 10 (ЦС,ВР 20)'!#REF!</definedName>
    <definedName name="Z_EF5A4981_C8E4_11D8_A2FC_006098EF8BA8_.wvu.Cols" localSheetId="10" hidden="1">'прил 11 (ЦС,ВР 21-22)'!$A:$A,'прил 11 (ЦС,ВР 21-22)'!#REF!,'прил 11 (ЦС,ВР 21-22)'!#REF!</definedName>
    <definedName name="Z_EF5A4981_C8E4_11D8_A2FC_006098EF8BA8_.wvu.FilterData" localSheetId="9" hidden="1">'прил 10 (ЦС,ВР 20)'!#REF!</definedName>
    <definedName name="Z_EF5A4981_C8E4_11D8_A2FC_006098EF8BA8_.wvu.FilterData" localSheetId="10" hidden="1">'прил 11 (ЦС,ВР 21-22)'!#REF!</definedName>
    <definedName name="Z_EF5A4981_C8E4_11D8_A2FC_006098EF8BA8_.wvu.PrintArea" localSheetId="9" hidden="1">'прил 10 (ЦС,ВР 20)'!#REF!</definedName>
    <definedName name="Z_EF5A4981_C8E4_11D8_A2FC_006098EF8BA8_.wvu.PrintArea" localSheetId="10" hidden="1">'прил 11 (ЦС,ВР 21-22)'!#REF!</definedName>
    <definedName name="Z_EF5A4981_C8E4_11D8_A2FC_006098EF8BA8_.wvu.PrintTitles" localSheetId="9" hidden="1">'прил 10 (ЦС,ВР 20)'!#REF!</definedName>
    <definedName name="Z_EF5A4981_C8E4_11D8_A2FC_006098EF8BA8_.wvu.PrintTitles" localSheetId="10" hidden="1">'прил 11 (ЦС,ВР 21-22)'!#REF!</definedName>
    <definedName name="_xlnm.Print_Titles" localSheetId="9">'прил 10 (ЦС,ВР 20)'!$13:$13</definedName>
    <definedName name="_xlnm.Print_Titles" localSheetId="10">'прил 11 (ЦС,ВР 21-22)'!$13:$13</definedName>
    <definedName name="_xlnm.Print_Titles" localSheetId="7">'прил 8 (Рз,ПР 20)'!$13:$13</definedName>
    <definedName name="_xlnm.Print_Titles" localSheetId="8">'прил 9 (Рз,ПР 21-22)'!$14:$14</definedName>
    <definedName name="_xlnm.Print_Titles" localSheetId="1">'прил. 2 (поступл.20)'!$12:$12</definedName>
    <definedName name="_xlnm.Print_Titles" localSheetId="2">'прил. 3 (поступл. 21-22)'!$13:$13</definedName>
    <definedName name="_xlnm.Print_Titles" localSheetId="0">'прил.1 (админ.)'!$12:$12</definedName>
    <definedName name="_xlnm.Print_Titles" localSheetId="13">'прил.14 (Источники 20)'!$13:$13</definedName>
    <definedName name="_xlnm.Print_Titles" localSheetId="14">'прил.15 (Источники 21-22)'!$13:$13</definedName>
    <definedName name="_xlnm.Print_Titles" localSheetId="19">'прил.20мун.заим.20-22)'!#REF!</definedName>
    <definedName name="_xlnm.Print_Titles" localSheetId="3">'прил.4 (пост.безв.20)'!$12:$12</definedName>
    <definedName name="_xlnm.Print_Titles" localSheetId="4">'прил.5 (пост.безв.21-22)'!$12:$12</definedName>
    <definedName name="_xlnm.Print_Titles" localSheetId="5">'прил.6 (безв.от пос.20) (2)'!$12:$12</definedName>
    <definedName name="_xlnm.Print_Titles" localSheetId="6">'прил.7 (норм.доходов)'!$13:$13</definedName>
    <definedName name="_xlnm.Print_Titles" localSheetId="11">'прил12(ведом 20)'!$13:$13</definedName>
    <definedName name="_xlnm.Print_Titles" localSheetId="12">'прил13(ведом 21-22)'!$14:$14</definedName>
    <definedName name="_xlnm.Print_Area" localSheetId="9">'прил 10 (ЦС,ВР 20)'!$A$1:$H$482</definedName>
    <definedName name="_xlnm.Print_Area" localSheetId="10">'прил 11 (ЦС,ВР 21-22)'!$A$1:$I$339</definedName>
    <definedName name="_xlnm.Print_Area" localSheetId="7">'прил 8 (Рз,ПР 20)'!$A$1:$D$61</definedName>
    <definedName name="_xlnm.Print_Area" localSheetId="8">'прил 9 (Рз,ПР 21-22)'!$A$1:$E$60</definedName>
    <definedName name="_xlnm.Print_Area" localSheetId="1">'прил. 2 (поступл.20)'!$A$4:$C$45</definedName>
    <definedName name="_xlnm.Print_Area" localSheetId="0">'прил.1 (админ.)'!$A$1:$C$212</definedName>
    <definedName name="_xlnm.Print_Area" localSheetId="13">'прил.14 (Источники 20)'!$A$1:$C$28</definedName>
    <definedName name="_xlnm.Print_Area" localSheetId="17">'прил.18(дотация 20)'!$A$1:$F$25</definedName>
    <definedName name="_xlnm.Print_Area" localSheetId="18">'прил.19(дотация 21-22)'!$A$1:$G$26</definedName>
    <definedName name="_xlnm.Print_Area" localSheetId="3">'прил.4 (пост.безв.20)'!$A$1:$C$84</definedName>
    <definedName name="_xlnm.Print_Area" localSheetId="4">'прил.5 (пост.безв.21-22)'!$A$1:$D$72</definedName>
    <definedName name="_xlnm.Print_Area" localSheetId="5">'прил.6 (безв.от пос.20) (2)'!$A$4:$C$56</definedName>
    <definedName name="_xlnm.Print_Area" localSheetId="6">'прил.7 (норм.доходов)'!$A$1:$D$70</definedName>
    <definedName name="_xlnm.Print_Area" localSheetId="11">'прил12(ведом 20)'!$A$1:$M$638</definedName>
    <definedName name="_xlnm.Print_Area" localSheetId="12">'прил13(ведом 21-22)'!$A$1:$N$446</definedName>
  </definedNames>
  <calcPr calcId="124519"/>
</workbook>
</file>

<file path=xl/calcChain.xml><?xml version="1.0" encoding="utf-8"?>
<calcChain xmlns="http://schemas.openxmlformats.org/spreadsheetml/2006/main">
  <c r="M580" i="3"/>
  <c r="C33" i="5" l="1"/>
  <c r="M246" i="3"/>
  <c r="M545"/>
  <c r="M38" l="1"/>
  <c r="M39"/>
  <c r="H410" i="7"/>
  <c r="M40" i="3"/>
  <c r="L40"/>
  <c r="H65" i="7" l="1"/>
  <c r="H66"/>
  <c r="M387" i="3"/>
  <c r="M386" s="1"/>
  <c r="M388"/>
  <c r="L388" s="1"/>
  <c r="L387"/>
  <c r="L386" l="1"/>
  <c r="H64" i="7"/>
  <c r="N431" i="19"/>
  <c r="M431"/>
  <c r="C37" i="5" l="1"/>
  <c r="C14" i="2"/>
  <c r="C77"/>
  <c r="C78"/>
  <c r="M551" i="3" l="1"/>
  <c r="M542"/>
  <c r="M148" l="1"/>
  <c r="M522" l="1"/>
  <c r="M503"/>
  <c r="M504"/>
  <c r="M523"/>
  <c r="M579" l="1"/>
  <c r="M581"/>
  <c r="L581" s="1"/>
  <c r="M183"/>
  <c r="M518"/>
  <c r="M509"/>
  <c r="L509" s="1"/>
  <c r="M265"/>
  <c r="M269"/>
  <c r="M300"/>
  <c r="M583"/>
  <c r="M374"/>
  <c r="M578" l="1"/>
  <c r="H209" i="7"/>
  <c r="H156"/>
  <c r="M178" i="3"/>
  <c r="M229" l="1"/>
  <c r="M363"/>
  <c r="M429"/>
  <c r="M562" l="1"/>
  <c r="H201" i="7" s="1"/>
  <c r="H200" s="1"/>
  <c r="H199" s="1"/>
  <c r="L562" i="3" l="1"/>
  <c r="L561" s="1"/>
  <c r="L560" s="1"/>
  <c r="L559" s="1"/>
  <c r="M561"/>
  <c r="M560" s="1"/>
  <c r="M559" s="1"/>
  <c r="M369"/>
  <c r="M133" l="1"/>
  <c r="D35" i="16" l="1"/>
  <c r="C35"/>
  <c r="D50" l="1"/>
  <c r="C50"/>
  <c r="I87" i="18" l="1"/>
  <c r="I86" s="1"/>
  <c r="I85" s="1"/>
  <c r="N197" i="19"/>
  <c r="M197"/>
  <c r="N281"/>
  <c r="N280" s="1"/>
  <c r="N279" s="1"/>
  <c r="N278" s="1"/>
  <c r="N277" s="1"/>
  <c r="N276" s="1"/>
  <c r="H87" i="18"/>
  <c r="H86" s="1"/>
  <c r="H85" s="1"/>
  <c r="K280" i="19"/>
  <c r="K279" s="1"/>
  <c r="K278" s="1"/>
  <c r="K277" s="1"/>
  <c r="K276" s="1"/>
  <c r="K476" s="1"/>
  <c r="M281"/>
  <c r="M280" s="1"/>
  <c r="M279" s="1"/>
  <c r="M278" s="1"/>
  <c r="M277" s="1"/>
  <c r="M276" s="1"/>
  <c r="L281"/>
  <c r="L280" s="1"/>
  <c r="L279" s="1"/>
  <c r="L278" s="1"/>
  <c r="L277" s="1"/>
  <c r="L276" s="1"/>
  <c r="M431" i="3"/>
  <c r="M430" s="1"/>
  <c r="K430"/>
  <c r="K312"/>
  <c r="K311" s="1"/>
  <c r="K310" s="1"/>
  <c r="K309" s="1"/>
  <c r="K308" s="1"/>
  <c r="K307" s="1"/>
  <c r="M313"/>
  <c r="H295" i="7" s="1"/>
  <c r="H294" s="1"/>
  <c r="H293" s="1"/>
  <c r="L320" i="3"/>
  <c r="H119" i="7" l="1"/>
  <c r="H118" s="1"/>
  <c r="L313" i="3"/>
  <c r="L312" s="1"/>
  <c r="L311" s="1"/>
  <c r="L310" s="1"/>
  <c r="L309" s="1"/>
  <c r="L308" s="1"/>
  <c r="L307" s="1"/>
  <c r="L431"/>
  <c r="L430" s="1"/>
  <c r="M312"/>
  <c r="M311" s="1"/>
  <c r="M310" s="1"/>
  <c r="M309" s="1"/>
  <c r="M308" s="1"/>
  <c r="M307" s="1"/>
  <c r="K677"/>
  <c r="K678" s="1"/>
  <c r="M620"/>
  <c r="H320" i="7" s="1"/>
  <c r="H319" s="1"/>
  <c r="K619" i="3"/>
  <c r="K618" s="1"/>
  <c r="L677" l="1"/>
  <c r="L678" s="1"/>
  <c r="M677"/>
  <c r="D43" i="6" s="1"/>
  <c r="D42" s="1"/>
  <c r="L620" i="3"/>
  <c r="L619" s="1"/>
  <c r="L618" s="1"/>
  <c r="M619"/>
  <c r="M618" s="1"/>
  <c r="M372"/>
  <c r="M366"/>
  <c r="H89" i="7"/>
  <c r="H88" s="1"/>
  <c r="M678" i="3" l="1"/>
  <c r="M448"/>
  <c r="M446"/>
  <c r="M443"/>
  <c r="M442"/>
  <c r="M364"/>
  <c r="M362"/>
  <c r="K268"/>
  <c r="M268"/>
  <c r="M243"/>
  <c r="K171"/>
  <c r="K170" s="1"/>
  <c r="M172"/>
  <c r="L172" s="1"/>
  <c r="L171" s="1"/>
  <c r="L170" s="1"/>
  <c r="M169"/>
  <c r="H468" i="7" s="1"/>
  <c r="H467" s="1"/>
  <c r="H466" s="1"/>
  <c r="K168" i="3"/>
  <c r="K167" s="1"/>
  <c r="M63"/>
  <c r="M231"/>
  <c r="M230"/>
  <c r="M390"/>
  <c r="H68" i="7" s="1"/>
  <c r="H67" s="1"/>
  <c r="K389" i="3"/>
  <c r="L390" l="1"/>
  <c r="L389" s="1"/>
  <c r="M389"/>
  <c r="H298" i="7"/>
  <c r="L269" i="3"/>
  <c r="M171"/>
  <c r="M170" s="1"/>
  <c r="H471" i="7"/>
  <c r="H470" s="1"/>
  <c r="H469" s="1"/>
  <c r="H465" s="1"/>
  <c r="H464" s="1"/>
  <c r="L169" i="3"/>
  <c r="L168" s="1"/>
  <c r="L167" s="1"/>
  <c r="L166" s="1"/>
  <c r="L165" s="1"/>
  <c r="L164" s="1"/>
  <c r="L681" s="1"/>
  <c r="M168"/>
  <c r="M167" s="1"/>
  <c r="K166"/>
  <c r="K165" s="1"/>
  <c r="K164" s="1"/>
  <c r="K681" s="1"/>
  <c r="M348"/>
  <c r="L348" s="1"/>
  <c r="L347" s="1"/>
  <c r="M166" l="1"/>
  <c r="M165" s="1"/>
  <c r="M164" s="1"/>
  <c r="M681" s="1"/>
  <c r="D46" i="6" s="1"/>
  <c r="M347" i="3"/>
  <c r="H34" i="7"/>
  <c r="H33" s="1"/>
  <c r="C22" i="2"/>
  <c r="M106" i="3" l="1"/>
  <c r="C38" i="5" l="1"/>
  <c r="L366" i="3" l="1"/>
  <c r="M541"/>
  <c r="H44" i="7" l="1"/>
  <c r="M447" i="3"/>
  <c r="M413"/>
  <c r="M411"/>
  <c r="M277"/>
  <c r="H429" i="7" s="1"/>
  <c r="M276" i="3"/>
  <c r="M274" l="1"/>
  <c r="L277"/>
  <c r="M479"/>
  <c r="M367"/>
  <c r="M365" s="1"/>
  <c r="H117" i="7"/>
  <c r="M494" i="3" l="1"/>
  <c r="M493" s="1"/>
  <c r="M496"/>
  <c r="H135" i="7" l="1"/>
  <c r="H134" s="1"/>
  <c r="L494" i="3"/>
  <c r="L493" s="1"/>
  <c r="M298"/>
  <c r="M512" l="1"/>
  <c r="M510"/>
  <c r="M508" l="1"/>
  <c r="L510"/>
  <c r="L508" s="1"/>
  <c r="M543"/>
  <c r="M329"/>
  <c r="C26" i="16" l="1"/>
  <c r="C26" i="2" l="1"/>
  <c r="M373" i="3" l="1"/>
  <c r="L373" s="1"/>
  <c r="M247"/>
  <c r="H273" i="7" s="1"/>
  <c r="L247" i="3" l="1"/>
  <c r="H51" i="7"/>
  <c r="I98" i="18"/>
  <c r="I97" s="1"/>
  <c r="M323" i="19"/>
  <c r="M322" s="1"/>
  <c r="L323"/>
  <c r="L322" s="1"/>
  <c r="H98" i="18" l="1"/>
  <c r="H97" s="1"/>
  <c r="N322" i="19"/>
  <c r="M111" i="3" l="1"/>
  <c r="M29" l="1"/>
  <c r="M45"/>
  <c r="M115"/>
  <c r="M28"/>
  <c r="M473"/>
  <c r="M245" l="1"/>
  <c r="M500"/>
  <c r="H141" i="7" s="1"/>
  <c r="H140" s="1"/>
  <c r="L500" i="3" l="1"/>
  <c r="L499" s="1"/>
  <c r="M499"/>
  <c r="M340"/>
  <c r="L340" s="1"/>
  <c r="L339" s="1"/>
  <c r="H198" i="7"/>
  <c r="M328" i="3"/>
  <c r="M327" s="1"/>
  <c r="M326" s="1"/>
  <c r="M325" s="1"/>
  <c r="M324" s="1"/>
  <c r="M323" s="1"/>
  <c r="L329"/>
  <c r="L328" s="1"/>
  <c r="L327" s="1"/>
  <c r="L326" s="1"/>
  <c r="L325" s="1"/>
  <c r="L324" s="1"/>
  <c r="L323" s="1"/>
  <c r="M297"/>
  <c r="M339" l="1"/>
  <c r="L298"/>
  <c r="L297" s="1"/>
  <c r="L367"/>
  <c r="L365" s="1"/>
  <c r="H21" i="7"/>
  <c r="H20" s="1"/>
  <c r="H45"/>
  <c r="H43" s="1"/>
  <c r="H25"/>
  <c r="H24" s="1"/>
  <c r="M527" i="3" l="1"/>
  <c r="M470"/>
  <c r="M590"/>
  <c r="M415" l="1"/>
  <c r="M370"/>
  <c r="M342"/>
  <c r="M338"/>
  <c r="M412" l="1"/>
  <c r="M251"/>
  <c r="L439" i="19" l="1"/>
  <c r="L438"/>
  <c r="L436"/>
  <c r="L435"/>
  <c r="L433"/>
  <c r="L432"/>
  <c r="L426"/>
  <c r="L425"/>
  <c r="L423"/>
  <c r="L422"/>
  <c r="L420"/>
  <c r="L419"/>
  <c r="L417"/>
  <c r="L416"/>
  <c r="L409"/>
  <c r="L408" s="1"/>
  <c r="L407" s="1"/>
  <c r="L406" s="1"/>
  <c r="L405" s="1"/>
  <c r="L404" s="1"/>
  <c r="L403" s="1"/>
  <c r="L400"/>
  <c r="L399"/>
  <c r="L398"/>
  <c r="L392"/>
  <c r="L391"/>
  <c r="L390"/>
  <c r="L381"/>
  <c r="L380"/>
  <c r="L379"/>
  <c r="L373"/>
  <c r="L372" s="1"/>
  <c r="L371" s="1"/>
  <c r="L370" s="1"/>
  <c r="L369"/>
  <c r="L368"/>
  <c r="L362"/>
  <c r="L361"/>
  <c r="L359"/>
  <c r="L358"/>
  <c r="L357"/>
  <c r="L353"/>
  <c r="L352" s="1"/>
  <c r="L351" s="1"/>
  <c r="L350" s="1"/>
  <c r="L344"/>
  <c r="L343"/>
  <c r="L342"/>
  <c r="L340"/>
  <c r="L339"/>
  <c r="L338"/>
  <c r="L332"/>
  <c r="L331" s="1"/>
  <c r="L330" s="1"/>
  <c r="L329" s="1"/>
  <c r="L328"/>
  <c r="L327"/>
  <c r="L326"/>
  <c r="L321"/>
  <c r="L320" s="1"/>
  <c r="L319" s="1"/>
  <c r="L314"/>
  <c r="L313" s="1"/>
  <c r="L312" s="1"/>
  <c r="L311" s="1"/>
  <c r="L305"/>
  <c r="L304"/>
  <c r="L297"/>
  <c r="L296"/>
  <c r="L294"/>
  <c r="L293"/>
  <c r="L292"/>
  <c r="L289"/>
  <c r="L288"/>
  <c r="L287"/>
  <c r="L272"/>
  <c r="L271" s="1"/>
  <c r="L270"/>
  <c r="L269" s="1"/>
  <c r="L268"/>
  <c r="L267" s="1"/>
  <c r="L257"/>
  <c r="L256"/>
  <c r="L251"/>
  <c r="L250"/>
  <c r="L246"/>
  <c r="L245" s="1"/>
  <c r="L244" s="1"/>
  <c r="L243"/>
  <c r="L242" s="1"/>
  <c r="L241" s="1"/>
  <c r="L238"/>
  <c r="L237"/>
  <c r="L235"/>
  <c r="L234"/>
  <c r="L233"/>
  <c r="L231"/>
  <c r="L230"/>
  <c r="L229"/>
  <c r="L227"/>
  <c r="L224"/>
  <c r="L218"/>
  <c r="L217" s="1"/>
  <c r="L216" s="1"/>
  <c r="L215" s="1"/>
  <c r="L214" s="1"/>
  <c r="L210"/>
  <c r="L209" s="1"/>
  <c r="L208"/>
  <c r="L207" s="1"/>
  <c r="L197"/>
  <c r="L196" s="1"/>
  <c r="L195"/>
  <c r="L194" s="1"/>
  <c r="L188"/>
  <c r="L187" s="1"/>
  <c r="L186" s="1"/>
  <c r="L185" s="1"/>
  <c r="L184" s="1"/>
  <c r="L183" s="1"/>
  <c r="L181"/>
  <c r="L180"/>
  <c r="L175"/>
  <c r="L174"/>
  <c r="L173"/>
  <c r="L171"/>
  <c r="L170"/>
  <c r="L169"/>
  <c r="L165"/>
  <c r="L164" s="1"/>
  <c r="L163" s="1"/>
  <c r="L162" s="1"/>
  <c r="L156"/>
  <c r="L155"/>
  <c r="L154"/>
  <c r="L151"/>
  <c r="L150" s="1"/>
  <c r="L149" s="1"/>
  <c r="L142"/>
  <c r="L141" s="1"/>
  <c r="L140" s="1"/>
  <c r="L139" s="1"/>
  <c r="L138" s="1"/>
  <c r="L137" s="1"/>
  <c r="L135"/>
  <c r="L134"/>
  <c r="L133"/>
  <c r="L117"/>
  <c r="L116" s="1"/>
  <c r="L115" s="1"/>
  <c r="L114" s="1"/>
  <c r="L113" s="1"/>
  <c r="L112" s="1"/>
  <c r="L109"/>
  <c r="L99"/>
  <c r="L98" s="1"/>
  <c r="L97" s="1"/>
  <c r="L96" s="1"/>
  <c r="L95" s="1"/>
  <c r="L93"/>
  <c r="L92" s="1"/>
  <c r="L91" s="1"/>
  <c r="L90" s="1"/>
  <c r="L89" s="1"/>
  <c r="L88" s="1"/>
  <c r="L463" s="1"/>
  <c r="L87"/>
  <c r="L86" s="1"/>
  <c r="L85" s="1"/>
  <c r="L84"/>
  <c r="L83" s="1"/>
  <c r="L82" s="1"/>
  <c r="L77"/>
  <c r="L75"/>
  <c r="L69"/>
  <c r="L68" s="1"/>
  <c r="L67"/>
  <c r="L66" s="1"/>
  <c r="L65"/>
  <c r="L64" s="1"/>
  <c r="L58"/>
  <c r="L57" s="1"/>
  <c r="L56" s="1"/>
  <c r="L55" s="1"/>
  <c r="L54" s="1"/>
  <c r="L53" s="1"/>
  <c r="L454" s="1"/>
  <c r="L52"/>
  <c r="L51" s="1"/>
  <c r="L50" s="1"/>
  <c r="L49" s="1"/>
  <c r="L48" s="1"/>
  <c r="L47" s="1"/>
  <c r="L452" s="1"/>
  <c r="L46"/>
  <c r="L45" s="1"/>
  <c r="L44" s="1"/>
  <c r="L43"/>
  <c r="L42" s="1"/>
  <c r="L41"/>
  <c r="L40" s="1"/>
  <c r="L39"/>
  <c r="L38"/>
  <c r="L36"/>
  <c r="L35" s="1"/>
  <c r="L34"/>
  <c r="L33" s="1"/>
  <c r="L32"/>
  <c r="L31"/>
  <c r="L30"/>
  <c r="L24"/>
  <c r="L23" s="1"/>
  <c r="L22" s="1"/>
  <c r="L21" s="1"/>
  <c r="L20" s="1"/>
  <c r="L19" s="1"/>
  <c r="L450" s="1"/>
  <c r="L440"/>
  <c r="L500" s="1"/>
  <c r="K491"/>
  <c r="K463"/>
  <c r="K459"/>
  <c r="K454"/>
  <c r="K452"/>
  <c r="L633" i="3"/>
  <c r="L632"/>
  <c r="L630"/>
  <c r="L629"/>
  <c r="L627"/>
  <c r="L626"/>
  <c r="L617"/>
  <c r="L616"/>
  <c r="L614"/>
  <c r="L613"/>
  <c r="L611"/>
  <c r="L610"/>
  <c r="L608"/>
  <c r="L607"/>
  <c r="L600"/>
  <c r="L591"/>
  <c r="L590"/>
  <c r="L589"/>
  <c r="L583"/>
  <c r="L580"/>
  <c r="L579"/>
  <c r="L570"/>
  <c r="L569"/>
  <c r="L568"/>
  <c r="L558"/>
  <c r="L557"/>
  <c r="L551"/>
  <c r="L547"/>
  <c r="L545"/>
  <c r="L537"/>
  <c r="L528"/>
  <c r="L527"/>
  <c r="L526"/>
  <c r="L524"/>
  <c r="L523"/>
  <c r="L522"/>
  <c r="L518"/>
  <c r="L512"/>
  <c r="L505"/>
  <c r="L504"/>
  <c r="L503"/>
  <c r="L498"/>
  <c r="L492"/>
  <c r="L485"/>
  <c r="L484" s="1"/>
  <c r="L483" s="1"/>
  <c r="L482" s="1"/>
  <c r="L481" s="1"/>
  <c r="L480" s="1"/>
  <c r="L459"/>
  <c r="L458"/>
  <c r="L451"/>
  <c r="L450"/>
  <c r="L447"/>
  <c r="L437"/>
  <c r="L429"/>
  <c r="L428"/>
  <c r="L422"/>
  <c r="L420"/>
  <c r="L418"/>
  <c r="L416"/>
  <c r="L415"/>
  <c r="L403"/>
  <c r="L385"/>
  <c r="L384"/>
  <c r="L382"/>
  <c r="L381"/>
  <c r="L380"/>
  <c r="L378"/>
  <c r="L377"/>
  <c r="L376"/>
  <c r="L361"/>
  <c r="L355"/>
  <c r="L346"/>
  <c r="L344"/>
  <c r="L322"/>
  <c r="L306"/>
  <c r="L300"/>
  <c r="L291"/>
  <c r="L284"/>
  <c r="L276"/>
  <c r="L275"/>
  <c r="L270"/>
  <c r="L268" s="1"/>
  <c r="L262"/>
  <c r="L259"/>
  <c r="L257"/>
  <c r="L255"/>
  <c r="L253"/>
  <c r="L252"/>
  <c r="L251"/>
  <c r="L246"/>
  <c r="L245" s="1"/>
  <c r="L234"/>
  <c r="L231"/>
  <c r="L230"/>
  <c r="L229"/>
  <c r="L226"/>
  <c r="L217"/>
  <c r="L210"/>
  <c r="L204"/>
  <c r="L201"/>
  <c r="L200"/>
  <c r="L199"/>
  <c r="L431" i="19" l="1"/>
  <c r="L578" i="3"/>
  <c r="L274"/>
  <c r="L434" i="19"/>
  <c r="L132"/>
  <c r="L131" s="1"/>
  <c r="L130" s="1"/>
  <c r="L129" s="1"/>
  <c r="L128" s="1"/>
  <c r="L127" s="1"/>
  <c r="K480"/>
  <c r="L286"/>
  <c r="L367"/>
  <c r="L366" s="1"/>
  <c r="L365" s="1"/>
  <c r="L364" s="1"/>
  <c r="L363" s="1"/>
  <c r="L490" s="1"/>
  <c r="L418"/>
  <c r="L424"/>
  <c r="L232"/>
  <c r="L310"/>
  <c r="L309" s="1"/>
  <c r="L308" s="1"/>
  <c r="L37"/>
  <c r="L179"/>
  <c r="L178" s="1"/>
  <c r="L177" s="1"/>
  <c r="L176" s="1"/>
  <c r="L153"/>
  <c r="L152" s="1"/>
  <c r="L148" s="1"/>
  <c r="L147" s="1"/>
  <c r="L146" s="1"/>
  <c r="L145" s="1"/>
  <c r="L144" s="1"/>
  <c r="L168"/>
  <c r="L255"/>
  <c r="L254" s="1"/>
  <c r="L253" s="1"/>
  <c r="L252" s="1"/>
  <c r="L295"/>
  <c r="L337"/>
  <c r="L360"/>
  <c r="L29"/>
  <c r="L172"/>
  <c r="L193"/>
  <c r="L192" s="1"/>
  <c r="L191" s="1"/>
  <c r="L190" s="1"/>
  <c r="L189" s="1"/>
  <c r="L228"/>
  <c r="L236"/>
  <c r="L249"/>
  <c r="L248" s="1"/>
  <c r="L247" s="1"/>
  <c r="L303"/>
  <c r="L302" s="1"/>
  <c r="L301" s="1"/>
  <c r="L300" s="1"/>
  <c r="L299" s="1"/>
  <c r="L298" s="1"/>
  <c r="L325"/>
  <c r="L324" s="1"/>
  <c r="L341"/>
  <c r="L356"/>
  <c r="L378"/>
  <c r="L377" s="1"/>
  <c r="L376" s="1"/>
  <c r="L375" s="1"/>
  <c r="L374" s="1"/>
  <c r="L491" s="1"/>
  <c r="L389"/>
  <c r="L388" s="1"/>
  <c r="L387" s="1"/>
  <c r="L386" s="1"/>
  <c r="L385" s="1"/>
  <c r="L476" s="1"/>
  <c r="L397"/>
  <c r="L396" s="1"/>
  <c r="L395" s="1"/>
  <c r="L394" s="1"/>
  <c r="L393" s="1"/>
  <c r="L415"/>
  <c r="L421"/>
  <c r="L437"/>
  <c r="L81"/>
  <c r="L80" s="1"/>
  <c r="L79" s="1"/>
  <c r="L462" s="1"/>
  <c r="L111"/>
  <c r="L484"/>
  <c r="L63"/>
  <c r="L62" s="1"/>
  <c r="L61" s="1"/>
  <c r="L60" s="1"/>
  <c r="L136"/>
  <c r="L497"/>
  <c r="L498" s="1"/>
  <c r="L468"/>
  <c r="L470" s="1"/>
  <c r="L182"/>
  <c r="K451"/>
  <c r="K486"/>
  <c r="K472"/>
  <c r="K481"/>
  <c r="K490"/>
  <c r="K494"/>
  <c r="K495" s="1"/>
  <c r="K450"/>
  <c r="K464"/>
  <c r="K484"/>
  <c r="K497"/>
  <c r="K498" s="1"/>
  <c r="K468"/>
  <c r="K470" s="1"/>
  <c r="K473"/>
  <c r="K448"/>
  <c r="K500"/>
  <c r="K477"/>
  <c r="L178" i="3"/>
  <c r="L163"/>
  <c r="L156"/>
  <c r="L155"/>
  <c r="L148"/>
  <c r="L143"/>
  <c r="L139"/>
  <c r="L133"/>
  <c r="L127"/>
  <c r="L124"/>
  <c r="L117"/>
  <c r="L115"/>
  <c r="L111"/>
  <c r="L108"/>
  <c r="L106"/>
  <c r="L100"/>
  <c r="L98"/>
  <c r="L96"/>
  <c r="L94"/>
  <c r="L87"/>
  <c r="L84"/>
  <c r="L82"/>
  <c r="L79"/>
  <c r="L63"/>
  <c r="L57"/>
  <c r="L51"/>
  <c r="L45"/>
  <c r="L42"/>
  <c r="L37"/>
  <c r="L36"/>
  <c r="L34"/>
  <c r="L32"/>
  <c r="L30"/>
  <c r="L28"/>
  <c r="M69"/>
  <c r="L69" s="1"/>
  <c r="L318" i="19" l="1"/>
  <c r="L317" s="1"/>
  <c r="L316" s="1"/>
  <c r="L480" s="1"/>
  <c r="L355"/>
  <c r="L354" s="1"/>
  <c r="L349" s="1"/>
  <c r="L348" s="1"/>
  <c r="L489" s="1"/>
  <c r="L492" s="1"/>
  <c r="L336"/>
  <c r="L335" s="1"/>
  <c r="L334" s="1"/>
  <c r="L333" s="1"/>
  <c r="L481" s="1"/>
  <c r="L453"/>
  <c r="L384"/>
  <c r="L383" s="1"/>
  <c r="L28"/>
  <c r="L27" s="1"/>
  <c r="L26" s="1"/>
  <c r="L25" s="1"/>
  <c r="L451" s="1"/>
  <c r="K453"/>
  <c r="K482"/>
  <c r="L167"/>
  <c r="L166" s="1"/>
  <c r="L161" s="1"/>
  <c r="L160" s="1"/>
  <c r="L159" s="1"/>
  <c r="L158" s="1"/>
  <c r="L126"/>
  <c r="L430"/>
  <c r="L429" s="1"/>
  <c r="L428" s="1"/>
  <c r="L427" s="1"/>
  <c r="L486" s="1"/>
  <c r="L414"/>
  <c r="L413" s="1"/>
  <c r="L412" s="1"/>
  <c r="L411" s="1"/>
  <c r="L485" s="1"/>
  <c r="L458"/>
  <c r="K489"/>
  <c r="K492" s="1"/>
  <c r="K458"/>
  <c r="K460" s="1"/>
  <c r="K474"/>
  <c r="K478" s="1"/>
  <c r="K485"/>
  <c r="K487" s="1"/>
  <c r="K455"/>
  <c r="K462"/>
  <c r="K465" s="1"/>
  <c r="L646" i="3"/>
  <c r="L631"/>
  <c r="L628"/>
  <c r="L625"/>
  <c r="L615"/>
  <c r="L612"/>
  <c r="L609"/>
  <c r="L606"/>
  <c r="L599"/>
  <c r="L598" s="1"/>
  <c r="L597" s="1"/>
  <c r="L596" s="1"/>
  <c r="L595" s="1"/>
  <c r="L594" s="1"/>
  <c r="L588"/>
  <c r="L587" s="1"/>
  <c r="L586" s="1"/>
  <c r="L585" s="1"/>
  <c r="L584" s="1"/>
  <c r="L582"/>
  <c r="L567"/>
  <c r="L566" s="1"/>
  <c r="L565" s="1"/>
  <c r="L564" s="1"/>
  <c r="L563" s="1"/>
  <c r="L688" s="1"/>
  <c r="L556"/>
  <c r="L555" s="1"/>
  <c r="L554" s="1"/>
  <c r="L550"/>
  <c r="L549" s="1"/>
  <c r="L548" s="1"/>
  <c r="L546"/>
  <c r="L544"/>
  <c r="L536"/>
  <c r="L535" s="1"/>
  <c r="L534" s="1"/>
  <c r="L525"/>
  <c r="L521"/>
  <c r="L517"/>
  <c r="L516" s="1"/>
  <c r="L515" s="1"/>
  <c r="L511"/>
  <c r="L502"/>
  <c r="L501" s="1"/>
  <c r="L497"/>
  <c r="L491"/>
  <c r="L457"/>
  <c r="L456" s="1"/>
  <c r="L455" s="1"/>
  <c r="L454" s="1"/>
  <c r="L453" s="1"/>
  <c r="L452" s="1"/>
  <c r="L449"/>
  <c r="L436"/>
  <c r="L435" s="1"/>
  <c r="L434" s="1"/>
  <c r="L427"/>
  <c r="L421"/>
  <c r="L419"/>
  <c r="L417"/>
  <c r="L414"/>
  <c r="L383"/>
  <c r="L379"/>
  <c r="L375"/>
  <c r="L354"/>
  <c r="L353" s="1"/>
  <c r="L352" s="1"/>
  <c r="L351" s="1"/>
  <c r="L345"/>
  <c r="L343"/>
  <c r="L321"/>
  <c r="L319"/>
  <c r="L305"/>
  <c r="L304" s="1"/>
  <c r="L303" s="1"/>
  <c r="L302" s="1"/>
  <c r="L301" s="1"/>
  <c r="L299"/>
  <c r="L290"/>
  <c r="L289" s="1"/>
  <c r="L288" s="1"/>
  <c r="L287" s="1"/>
  <c r="L286" s="1"/>
  <c r="L285" s="1"/>
  <c r="L283"/>
  <c r="L282" s="1"/>
  <c r="L281" s="1"/>
  <c r="L280" s="1"/>
  <c r="L279" s="1"/>
  <c r="L278" s="1"/>
  <c r="L273"/>
  <c r="L272" s="1"/>
  <c r="L271" s="1"/>
  <c r="L267"/>
  <c r="L266" s="1"/>
  <c r="L261"/>
  <c r="L260" s="1"/>
  <c r="L258"/>
  <c r="L250"/>
  <c r="L244"/>
  <c r="L233"/>
  <c r="L232" s="1"/>
  <c r="L228"/>
  <c r="L227" s="1"/>
  <c r="L225"/>
  <c r="L224" s="1"/>
  <c r="L216"/>
  <c r="L215" s="1"/>
  <c r="L214" s="1"/>
  <c r="L213" s="1"/>
  <c r="L212" s="1"/>
  <c r="L209"/>
  <c r="L208" s="1"/>
  <c r="L207" s="1"/>
  <c r="L206" s="1"/>
  <c r="L205" s="1"/>
  <c r="L203"/>
  <c r="L202" s="1"/>
  <c r="L198"/>
  <c r="L197" s="1"/>
  <c r="L177"/>
  <c r="L176" s="1"/>
  <c r="L175" s="1"/>
  <c r="L174" s="1"/>
  <c r="L162"/>
  <c r="L161" s="1"/>
  <c r="L160" s="1"/>
  <c r="L159" s="1"/>
  <c r="L158" s="1"/>
  <c r="L154"/>
  <c r="L153" s="1"/>
  <c r="L152" s="1"/>
  <c r="L151" s="1"/>
  <c r="L147"/>
  <c r="L142"/>
  <c r="L141" s="1"/>
  <c r="L140" s="1"/>
  <c r="L138"/>
  <c r="L137" s="1"/>
  <c r="L136" s="1"/>
  <c r="L132"/>
  <c r="L131" s="1"/>
  <c r="L130" s="1"/>
  <c r="L129" s="1"/>
  <c r="L128" s="1"/>
  <c r="L656" s="1"/>
  <c r="L126"/>
  <c r="L125" s="1"/>
  <c r="L123"/>
  <c r="L122" s="1"/>
  <c r="L110"/>
  <c r="L109" s="1"/>
  <c r="L107"/>
  <c r="L105"/>
  <c r="L99"/>
  <c r="L97"/>
  <c r="L95"/>
  <c r="L93"/>
  <c r="L86"/>
  <c r="L85" s="1"/>
  <c r="L83"/>
  <c r="L81"/>
  <c r="L78"/>
  <c r="L77" s="1"/>
  <c r="L68"/>
  <c r="L67" s="1"/>
  <c r="L66" s="1"/>
  <c r="L65" s="1"/>
  <c r="L62"/>
  <c r="L61" s="1"/>
  <c r="L60" s="1"/>
  <c r="L59" s="1"/>
  <c r="L58" s="1"/>
  <c r="L647" s="1"/>
  <c r="L56"/>
  <c r="L55" s="1"/>
  <c r="L54" s="1"/>
  <c r="L53" s="1"/>
  <c r="L52" s="1"/>
  <c r="L50"/>
  <c r="L49" s="1"/>
  <c r="L48" s="1"/>
  <c r="L47" s="1"/>
  <c r="L46" s="1"/>
  <c r="L644" s="1"/>
  <c r="L44"/>
  <c r="L43" s="1"/>
  <c r="L41"/>
  <c r="L35"/>
  <c r="L33"/>
  <c r="L31"/>
  <c r="L22"/>
  <c r="L21" s="1"/>
  <c r="L20" s="1"/>
  <c r="L19" s="1"/>
  <c r="L18" s="1"/>
  <c r="L17" s="1"/>
  <c r="K646"/>
  <c r="K688"/>
  <c r="K687"/>
  <c r="L496"/>
  <c r="L495" s="1"/>
  <c r="L470"/>
  <c r="L469" s="1"/>
  <c r="L443"/>
  <c r="L412"/>
  <c r="L411"/>
  <c r="L370"/>
  <c r="L362"/>
  <c r="L342"/>
  <c r="L341" s="1"/>
  <c r="K661"/>
  <c r="K663" s="1"/>
  <c r="K691"/>
  <c r="K692" s="1"/>
  <c r="K656"/>
  <c r="K647"/>
  <c r="K644"/>
  <c r="L29"/>
  <c r="L27" s="1"/>
  <c r="L490" l="1"/>
  <c r="L553"/>
  <c r="L552" s="1"/>
  <c r="L687" s="1"/>
  <c r="L426"/>
  <c r="L425" s="1"/>
  <c r="L424" s="1"/>
  <c r="L423" s="1"/>
  <c r="L482" i="19"/>
  <c r="K456"/>
  <c r="L315"/>
  <c r="L307" s="1"/>
  <c r="L347"/>
  <c r="L346" s="1"/>
  <c r="L18"/>
  <c r="L455"/>
  <c r="L456" s="1"/>
  <c r="L363" i="3"/>
  <c r="L369"/>
  <c r="L368" s="1"/>
  <c r="K643"/>
  <c r="L338"/>
  <c r="L337" s="1"/>
  <c r="K686"/>
  <c r="L296"/>
  <c r="L295" s="1"/>
  <c r="L294" s="1"/>
  <c r="L293" s="1"/>
  <c r="L292" s="1"/>
  <c r="L487" i="19"/>
  <c r="L410"/>
  <c r="L402" s="1"/>
  <c r="L80" i="3"/>
  <c r="L92"/>
  <c r="L91" s="1"/>
  <c r="L90" s="1"/>
  <c r="L89" s="1"/>
  <c r="L651" s="1"/>
  <c r="L104"/>
  <c r="L103" s="1"/>
  <c r="L520"/>
  <c r="L519" s="1"/>
  <c r="L514" s="1"/>
  <c r="L513" s="1"/>
  <c r="L674" s="1"/>
  <c r="K652"/>
  <c r="K669"/>
  <c r="L642"/>
  <c r="L605"/>
  <c r="L624"/>
  <c r="L623" s="1"/>
  <c r="L622" s="1"/>
  <c r="L621" s="1"/>
  <c r="L223"/>
  <c r="L222" s="1"/>
  <c r="L221" s="1"/>
  <c r="L220" s="1"/>
  <c r="L219" s="1"/>
  <c r="L577"/>
  <c r="L576" s="1"/>
  <c r="L575" s="1"/>
  <c r="L574" s="1"/>
  <c r="L121"/>
  <c r="L120" s="1"/>
  <c r="L119" s="1"/>
  <c r="L655" s="1"/>
  <c r="L196"/>
  <c r="L195" s="1"/>
  <c r="L194" s="1"/>
  <c r="L193" s="1"/>
  <c r="L680"/>
  <c r="L318"/>
  <c r="L317" s="1"/>
  <c r="L316" s="1"/>
  <c r="L315" s="1"/>
  <c r="L694"/>
  <c r="L695" s="1"/>
  <c r="L211"/>
  <c r="L661"/>
  <c r="L663" s="1"/>
  <c r="L135"/>
  <c r="K680"/>
  <c r="K674"/>
  <c r="K651"/>
  <c r="K655"/>
  <c r="K642"/>
  <c r="K694"/>
  <c r="K695" s="1"/>
  <c r="L604" l="1"/>
  <c r="L603" s="1"/>
  <c r="L602" s="1"/>
  <c r="K666"/>
  <c r="K665"/>
  <c r="K670"/>
  <c r="K667"/>
  <c r="L645"/>
  <c r="K673"/>
  <c r="K675" s="1"/>
  <c r="L573"/>
  <c r="L572" s="1"/>
  <c r="K689"/>
  <c r="K645"/>
  <c r="K657"/>
  <c r="K658" s="1"/>
  <c r="L314"/>
  <c r="L192"/>
  <c r="K682"/>
  <c r="K683"/>
  <c r="K653"/>
  <c r="L682" l="1"/>
  <c r="L601"/>
  <c r="L593" s="1"/>
  <c r="K671"/>
  <c r="K648"/>
  <c r="K649" s="1"/>
  <c r="K684"/>
  <c r="K696" l="1"/>
  <c r="L543"/>
  <c r="L542"/>
  <c r="I67" i="18" l="1"/>
  <c r="M245" i="19"/>
  <c r="M244" s="1"/>
  <c r="N244"/>
  <c r="N226" l="1"/>
  <c r="M226"/>
  <c r="L226" s="1"/>
  <c r="H48" i="18"/>
  <c r="H47" s="1"/>
  <c r="H46" s="1"/>
  <c r="I45"/>
  <c r="I44" s="1"/>
  <c r="N243" i="19"/>
  <c r="I48" i="18" s="1"/>
  <c r="I47" s="1"/>
  <c r="I46" s="1"/>
  <c r="M242" i="19"/>
  <c r="M241" s="1"/>
  <c r="M240"/>
  <c r="N239"/>
  <c r="M239" l="1"/>
  <c r="L240"/>
  <c r="L239" s="1"/>
  <c r="N242"/>
  <c r="N241" s="1"/>
  <c r="H45" i="18"/>
  <c r="H44" s="1"/>
  <c r="M399" i="3"/>
  <c r="L399" s="1"/>
  <c r="M398"/>
  <c r="M393"/>
  <c r="H71" i="7" s="1"/>
  <c r="H70" s="1"/>
  <c r="M404" i="3"/>
  <c r="L404" s="1"/>
  <c r="L402" s="1"/>
  <c r="L401" s="1"/>
  <c r="L400" s="1"/>
  <c r="M392" l="1"/>
  <c r="L393"/>
  <c r="L392" s="1"/>
  <c r="H76" i="7"/>
  <c r="L398" i="3"/>
  <c r="L397" s="1"/>
  <c r="L396" s="1"/>
  <c r="H77" i="7"/>
  <c r="M397" i="3"/>
  <c r="M396" s="1"/>
  <c r="L541"/>
  <c r="L540" s="1"/>
  <c r="L539" s="1"/>
  <c r="L538" s="1"/>
  <c r="L533" s="1"/>
  <c r="L532" s="1"/>
  <c r="L686" s="1"/>
  <c r="M468"/>
  <c r="L468" s="1"/>
  <c r="L467" s="1"/>
  <c r="L466" s="1"/>
  <c r="H127" i="7"/>
  <c r="H126" s="1"/>
  <c r="M299" i="3"/>
  <c r="H299" i="7"/>
  <c r="M267" i="3"/>
  <c r="M266" s="1"/>
  <c r="L265"/>
  <c r="L264" s="1"/>
  <c r="L263" s="1"/>
  <c r="M256"/>
  <c r="L256" s="1"/>
  <c r="L254" s="1"/>
  <c r="L249" s="1"/>
  <c r="L183"/>
  <c r="L182" s="1"/>
  <c r="L181" s="1"/>
  <c r="L180" s="1"/>
  <c r="L179" s="1"/>
  <c r="L173" s="1"/>
  <c r="L157" s="1"/>
  <c r="M116"/>
  <c r="L116" s="1"/>
  <c r="L114" s="1"/>
  <c r="L113" s="1"/>
  <c r="L112" s="1"/>
  <c r="L102" s="1"/>
  <c r="L101" s="1"/>
  <c r="N441" i="19"/>
  <c r="N104"/>
  <c r="M104"/>
  <c r="L104" s="1"/>
  <c r="L103" s="1"/>
  <c r="L102" s="1"/>
  <c r="L101" s="1"/>
  <c r="L100" s="1"/>
  <c r="H297" i="7" l="1"/>
  <c r="H296" s="1"/>
  <c r="H292" s="1"/>
  <c r="H75"/>
  <c r="H74" s="1"/>
  <c r="L248" i="3"/>
  <c r="L652"/>
  <c r="L653" s="1"/>
  <c r="L88"/>
  <c r="L689"/>
  <c r="L531"/>
  <c r="L530" s="1"/>
  <c r="L683"/>
  <c r="L684" s="1"/>
  <c r="M296"/>
  <c r="M295" s="1"/>
  <c r="M294" s="1"/>
  <c r="M293" s="1"/>
  <c r="M469"/>
  <c r="H438" i="7"/>
  <c r="H437" s="1"/>
  <c r="H436" s="1"/>
  <c r="M86" i="3"/>
  <c r="M85" s="1"/>
  <c r="M76"/>
  <c r="M75" s="1"/>
  <c r="M74"/>
  <c r="L74" s="1"/>
  <c r="L73" s="1"/>
  <c r="M441" i="19"/>
  <c r="N124"/>
  <c r="M124"/>
  <c r="L124" s="1"/>
  <c r="L123" s="1"/>
  <c r="L122" s="1"/>
  <c r="L121" s="1"/>
  <c r="L120" s="1"/>
  <c r="L119" s="1"/>
  <c r="D26" i="16"/>
  <c r="D23"/>
  <c r="C23"/>
  <c r="C23" i="2"/>
  <c r="L494" i="19" l="1"/>
  <c r="L495" s="1"/>
  <c r="L118"/>
  <c r="H414" i="7"/>
  <c r="H413" s="1"/>
  <c r="L76" i="3"/>
  <c r="L75" s="1"/>
  <c r="L72" s="1"/>
  <c r="L71" s="1"/>
  <c r="L70" s="1"/>
  <c r="L64" s="1"/>
  <c r="C20" i="2"/>
  <c r="C30" i="5"/>
  <c r="C25"/>
  <c r="C24"/>
  <c r="C17"/>
  <c r="C15"/>
  <c r="C13" s="1"/>
  <c r="C75" i="2" l="1"/>
  <c r="C29" l="1"/>
  <c r="F21" i="22" l="1"/>
  <c r="N110" i="19" l="1"/>
  <c r="N76"/>
  <c r="M76"/>
  <c r="L76" s="1"/>
  <c r="L74" s="1"/>
  <c r="L73" s="1"/>
  <c r="L72" s="1"/>
  <c r="L71" s="1"/>
  <c r="L70" s="1"/>
  <c r="M110"/>
  <c r="L110" s="1"/>
  <c r="L108" s="1"/>
  <c r="L107" s="1"/>
  <c r="L106" s="1"/>
  <c r="L105" s="1"/>
  <c r="L94" s="1"/>
  <c r="L459" l="1"/>
  <c r="L460" s="1"/>
  <c r="L59"/>
  <c r="L464"/>
  <c r="L465" s="1"/>
  <c r="L78"/>
  <c r="I309" i="18"/>
  <c r="I308" s="1"/>
  <c r="I307" s="1"/>
  <c r="H309"/>
  <c r="H308" s="1"/>
  <c r="H307" s="1"/>
  <c r="N123" i="19"/>
  <c r="N122" s="1"/>
  <c r="N121" s="1"/>
  <c r="N120" s="1"/>
  <c r="N119" s="1"/>
  <c r="N118" s="1"/>
  <c r="M123"/>
  <c r="M122" s="1"/>
  <c r="M121" s="1"/>
  <c r="M120" s="1"/>
  <c r="M119" s="1"/>
  <c r="M118" s="1"/>
  <c r="M190" i="3"/>
  <c r="L190" s="1"/>
  <c r="L189" s="1"/>
  <c r="L188" s="1"/>
  <c r="L187" s="1"/>
  <c r="L186" s="1"/>
  <c r="L185" s="1"/>
  <c r="C41" i="27"/>
  <c r="C31"/>
  <c r="C18"/>
  <c r="L17" i="19" l="1"/>
  <c r="L691" i="3"/>
  <c r="L692" s="1"/>
  <c r="L184"/>
  <c r="C17" i="27"/>
  <c r="C16" s="1"/>
  <c r="C15" s="1"/>
  <c r="C14" s="1"/>
  <c r="C13" s="1"/>
  <c r="M494" i="19"/>
  <c r="D51" i="17" s="1"/>
  <c r="D50" s="1"/>
  <c r="N494" i="19"/>
  <c r="E51" i="17" s="1"/>
  <c r="E50" s="1"/>
  <c r="H352" i="7"/>
  <c r="H351" s="1"/>
  <c r="I21" i="18" l="1"/>
  <c r="I22"/>
  <c r="I24"/>
  <c r="I23" s="1"/>
  <c r="I26"/>
  <c r="I25" s="1"/>
  <c r="I51"/>
  <c r="I50" s="1"/>
  <c r="I49" s="1"/>
  <c r="I29"/>
  <c r="I32"/>
  <c r="I34"/>
  <c r="I35"/>
  <c r="I36"/>
  <c r="I42"/>
  <c r="I43"/>
  <c r="I60"/>
  <c r="I59" s="1"/>
  <c r="I62"/>
  <c r="I61" s="1"/>
  <c r="I64"/>
  <c r="I63" s="1"/>
  <c r="I66"/>
  <c r="I65" s="1"/>
  <c r="I71"/>
  <c r="I72"/>
  <c r="I73"/>
  <c r="I76"/>
  <c r="I77"/>
  <c r="I78"/>
  <c r="I80"/>
  <c r="I81"/>
  <c r="I83"/>
  <c r="I84"/>
  <c r="I96"/>
  <c r="I95" s="1"/>
  <c r="I94" s="1"/>
  <c r="I101"/>
  <c r="I102"/>
  <c r="I103"/>
  <c r="I107"/>
  <c r="I106" s="1"/>
  <c r="I105" s="1"/>
  <c r="I104" s="1"/>
  <c r="I111"/>
  <c r="I112"/>
  <c r="I113"/>
  <c r="I115"/>
  <c r="I117"/>
  <c r="I123"/>
  <c r="I122" s="1"/>
  <c r="I121" s="1"/>
  <c r="I126"/>
  <c r="I127"/>
  <c r="I131"/>
  <c r="I132"/>
  <c r="I133"/>
  <c r="I136"/>
  <c r="I137"/>
  <c r="I138"/>
  <c r="I140"/>
  <c r="I141"/>
  <c r="I145"/>
  <c r="I144" s="1"/>
  <c r="I143" s="1"/>
  <c r="I142" s="1"/>
  <c r="I151"/>
  <c r="I152"/>
  <c r="I156"/>
  <c r="I157"/>
  <c r="I158"/>
  <c r="I164"/>
  <c r="I163" s="1"/>
  <c r="I166"/>
  <c r="I165" s="1"/>
  <c r="I168"/>
  <c r="I167" s="1"/>
  <c r="I177"/>
  <c r="I178"/>
  <c r="I179"/>
  <c r="I185"/>
  <c r="I186"/>
  <c r="I187"/>
  <c r="I190"/>
  <c r="I189" s="1"/>
  <c r="I188" s="1"/>
  <c r="I196"/>
  <c r="I195" s="1"/>
  <c r="I194" s="1"/>
  <c r="I193" s="1"/>
  <c r="I200"/>
  <c r="I201"/>
  <c r="I202"/>
  <c r="I204"/>
  <c r="I205"/>
  <c r="I206"/>
  <c r="I212"/>
  <c r="I213"/>
  <c r="I215"/>
  <c r="I216"/>
  <c r="I218"/>
  <c r="I219"/>
  <c r="I221"/>
  <c r="I222"/>
  <c r="I224"/>
  <c r="I223" s="1"/>
  <c r="I229"/>
  <c r="I228" s="1"/>
  <c r="I227"/>
  <c r="I226" s="1"/>
  <c r="I232"/>
  <c r="I233"/>
  <c r="I235"/>
  <c r="I236"/>
  <c r="I238"/>
  <c r="I239"/>
  <c r="I242"/>
  <c r="I241" s="1"/>
  <c r="I240" s="1"/>
  <c r="I248"/>
  <c r="I247" s="1"/>
  <c r="I246" s="1"/>
  <c r="I245" s="1"/>
  <c r="I244" s="1"/>
  <c r="I254"/>
  <c r="I253" s="1"/>
  <c r="I252" s="1"/>
  <c r="I257"/>
  <c r="I256" s="1"/>
  <c r="I255" s="1"/>
  <c r="I263"/>
  <c r="I262" s="1"/>
  <c r="I261" s="1"/>
  <c r="I260" s="1"/>
  <c r="I259" s="1"/>
  <c r="I269"/>
  <c r="I268" s="1"/>
  <c r="I267" s="1"/>
  <c r="I266" s="1"/>
  <c r="I265" s="1"/>
  <c r="I275"/>
  <c r="I274" s="1"/>
  <c r="I273" s="1"/>
  <c r="I272" s="1"/>
  <c r="I271" s="1"/>
  <c r="I281"/>
  <c r="I280" s="1"/>
  <c r="I279" s="1"/>
  <c r="I284"/>
  <c r="I285"/>
  <c r="I286"/>
  <c r="I288"/>
  <c r="I287" s="1"/>
  <c r="I290"/>
  <c r="I289" s="1"/>
  <c r="I292"/>
  <c r="I291" s="1"/>
  <c r="I294"/>
  <c r="I295"/>
  <c r="I297"/>
  <c r="I296" s="1"/>
  <c r="I299"/>
  <c r="I298" s="1"/>
  <c r="I302"/>
  <c r="I301" s="1"/>
  <c r="I300" s="1"/>
  <c r="I305"/>
  <c r="I306"/>
  <c r="I312"/>
  <c r="I313"/>
  <c r="I319"/>
  <c r="I318" s="1"/>
  <c r="I317" s="1"/>
  <c r="I323"/>
  <c r="I324"/>
  <c r="I330"/>
  <c r="I329" s="1"/>
  <c r="I328" s="1"/>
  <c r="I327" s="1"/>
  <c r="I326" s="1"/>
  <c r="H173"/>
  <c r="H172"/>
  <c r="H84"/>
  <c r="H83"/>
  <c r="H81"/>
  <c r="H80"/>
  <c r="H78"/>
  <c r="H77"/>
  <c r="H76"/>
  <c r="H73"/>
  <c r="H72"/>
  <c r="H71"/>
  <c r="H64"/>
  <c r="H63" s="1"/>
  <c r="H62"/>
  <c r="H60"/>
  <c r="H43"/>
  <c r="H42"/>
  <c r="H40"/>
  <c r="H39"/>
  <c r="H38"/>
  <c r="H36"/>
  <c r="H35"/>
  <c r="H34"/>
  <c r="H32"/>
  <c r="H29"/>
  <c r="H26"/>
  <c r="H24"/>
  <c r="H22"/>
  <c r="H21"/>
  <c r="N303" i="19"/>
  <c r="N302" s="1"/>
  <c r="N301" s="1"/>
  <c r="N300" s="1"/>
  <c r="N299" s="1"/>
  <c r="N298" s="1"/>
  <c r="M303"/>
  <c r="M302" s="1"/>
  <c r="M301" s="1"/>
  <c r="M300" s="1"/>
  <c r="M299" s="1"/>
  <c r="M298" s="1"/>
  <c r="N295"/>
  <c r="M295"/>
  <c r="M291"/>
  <c r="N286"/>
  <c r="M286"/>
  <c r="M275"/>
  <c r="L275" s="1"/>
  <c r="L274" s="1"/>
  <c r="L273" s="1"/>
  <c r="N274"/>
  <c r="N273" s="1"/>
  <c r="N271"/>
  <c r="M271"/>
  <c r="N269"/>
  <c r="M269"/>
  <c r="N267"/>
  <c r="M267"/>
  <c r="N266"/>
  <c r="I58" i="18" s="1"/>
  <c r="M266" i="19"/>
  <c r="N265"/>
  <c r="I57" i="18" s="1"/>
  <c r="M265" i="19"/>
  <c r="N264"/>
  <c r="I56" i="18" s="1"/>
  <c r="M264" i="19"/>
  <c r="N263"/>
  <c r="I55" i="18" s="1"/>
  <c r="M263" i="19"/>
  <c r="N257"/>
  <c r="N256"/>
  <c r="I172" i="18" s="1"/>
  <c r="M255" i="19"/>
  <c r="M254" s="1"/>
  <c r="M253" s="1"/>
  <c r="M252" s="1"/>
  <c r="N249"/>
  <c r="N248" s="1"/>
  <c r="N247" s="1"/>
  <c r="M249"/>
  <c r="M248" s="1"/>
  <c r="M247" s="1"/>
  <c r="N236"/>
  <c r="M236"/>
  <c r="N235"/>
  <c r="I40" i="18" s="1"/>
  <c r="N234" i="19"/>
  <c r="I39" i="18" s="1"/>
  <c r="N233" i="19"/>
  <c r="I38" i="18" s="1"/>
  <c r="M232" i="19"/>
  <c r="N228"/>
  <c r="M228"/>
  <c r="I31" i="18"/>
  <c r="N225" i="19"/>
  <c r="I30" i="18" s="1"/>
  <c r="M225" i="19"/>
  <c r="N218"/>
  <c r="N217" s="1"/>
  <c r="N216" s="1"/>
  <c r="N215" s="1"/>
  <c r="N214" s="1"/>
  <c r="M217"/>
  <c r="M216" s="1"/>
  <c r="M215" s="1"/>
  <c r="M214" s="1"/>
  <c r="M213"/>
  <c r="L213" s="1"/>
  <c r="L212" s="1"/>
  <c r="L211" s="1"/>
  <c r="N212"/>
  <c r="N211" s="1"/>
  <c r="N209"/>
  <c r="M209"/>
  <c r="N207"/>
  <c r="M207"/>
  <c r="N206"/>
  <c r="I19" i="18" s="1"/>
  <c r="I18" s="1"/>
  <c r="M206" i="19"/>
  <c r="M205" l="1"/>
  <c r="M204" s="1"/>
  <c r="L206"/>
  <c r="L205" s="1"/>
  <c r="L204" s="1"/>
  <c r="L203" s="1"/>
  <c r="L202" s="1"/>
  <c r="L201" s="1"/>
  <c r="H30" i="18"/>
  <c r="L225" i="19"/>
  <c r="L223" s="1"/>
  <c r="L222" s="1"/>
  <c r="L221" s="1"/>
  <c r="L220" s="1"/>
  <c r="L219" s="1"/>
  <c r="L473" s="1"/>
  <c r="H55" i="18"/>
  <c r="L263" i="19"/>
  <c r="H56" i="18"/>
  <c r="L264" i="19"/>
  <c r="H57" i="18"/>
  <c r="L265" i="19"/>
  <c r="H58" i="18"/>
  <c r="L266" i="19"/>
  <c r="M290"/>
  <c r="M285" s="1"/>
  <c r="M284" s="1"/>
  <c r="M283" s="1"/>
  <c r="M282" s="1"/>
  <c r="L291"/>
  <c r="L290" s="1"/>
  <c r="L285" s="1"/>
  <c r="L284" s="1"/>
  <c r="L283" s="1"/>
  <c r="L282" s="1"/>
  <c r="L477" s="1"/>
  <c r="M212"/>
  <c r="M211" s="1"/>
  <c r="H51" i="18"/>
  <c r="H50" s="1"/>
  <c r="H49" s="1"/>
  <c r="M274" i="19"/>
  <c r="M273" s="1"/>
  <c r="H67" i="18"/>
  <c r="H66" s="1"/>
  <c r="H65" s="1"/>
  <c r="M223" i="19"/>
  <c r="M222" s="1"/>
  <c r="M221" s="1"/>
  <c r="N255"/>
  <c r="N254" s="1"/>
  <c r="N253" s="1"/>
  <c r="N252" s="1"/>
  <c r="H75" i="18"/>
  <c r="H74" s="1"/>
  <c r="H19"/>
  <c r="H31"/>
  <c r="N205" i="19"/>
  <c r="N204" s="1"/>
  <c r="N203" s="1"/>
  <c r="N202" s="1"/>
  <c r="N201" s="1"/>
  <c r="N223"/>
  <c r="I173" i="18"/>
  <c r="I171" s="1"/>
  <c r="I170" s="1"/>
  <c r="I169" s="1"/>
  <c r="I211"/>
  <c r="I125"/>
  <c r="I124" s="1"/>
  <c r="I120" s="1"/>
  <c r="I311"/>
  <c r="I310" s="1"/>
  <c r="I234"/>
  <c r="I214"/>
  <c r="I70"/>
  <c r="I176"/>
  <c r="I175" s="1"/>
  <c r="I174" s="1"/>
  <c r="I304"/>
  <c r="I303" s="1"/>
  <c r="I199"/>
  <c r="I130"/>
  <c r="I129" s="1"/>
  <c r="I184"/>
  <c r="I183" s="1"/>
  <c r="I182" s="1"/>
  <c r="I181" s="1"/>
  <c r="I155"/>
  <c r="I154" s="1"/>
  <c r="I153" s="1"/>
  <c r="I100"/>
  <c r="I99" s="1"/>
  <c r="I79"/>
  <c r="I33"/>
  <c r="I28"/>
  <c r="I20"/>
  <c r="I17" s="1"/>
  <c r="I293"/>
  <c r="I237"/>
  <c r="I231"/>
  <c r="I150"/>
  <c r="I149" s="1"/>
  <c r="I148" s="1"/>
  <c r="I82"/>
  <c r="I41"/>
  <c r="I225"/>
  <c r="I283"/>
  <c r="I203"/>
  <c r="I135"/>
  <c r="I37"/>
  <c r="I217"/>
  <c r="I139"/>
  <c r="I220"/>
  <c r="I110"/>
  <c r="I54"/>
  <c r="I53" s="1"/>
  <c r="I52" s="1"/>
  <c r="I162"/>
  <c r="I161" s="1"/>
  <c r="I251"/>
  <c r="I250" s="1"/>
  <c r="H171"/>
  <c r="H82"/>
  <c r="N232" i="19"/>
  <c r="M262"/>
  <c r="N262"/>
  <c r="N291"/>
  <c r="I75" i="18" s="1"/>
  <c r="I74" s="1"/>
  <c r="M203" i="19" l="1"/>
  <c r="M202" s="1"/>
  <c r="M201" s="1"/>
  <c r="M472" s="1"/>
  <c r="N472"/>
  <c r="L262"/>
  <c r="L261" s="1"/>
  <c r="L260" s="1"/>
  <c r="L259" s="1"/>
  <c r="L258" s="1"/>
  <c r="L474" s="1"/>
  <c r="L472"/>
  <c r="N222"/>
  <c r="N261"/>
  <c r="N260" s="1"/>
  <c r="N259" s="1"/>
  <c r="N258" s="1"/>
  <c r="M261"/>
  <c r="M260" s="1"/>
  <c r="M259" s="1"/>
  <c r="M258" s="1"/>
  <c r="I27" i="18"/>
  <c r="I16" s="1"/>
  <c r="M220" i="19"/>
  <c r="M219" s="1"/>
  <c r="I230" i="18"/>
  <c r="I147"/>
  <c r="I198"/>
  <c r="I197" s="1"/>
  <c r="I192" s="1"/>
  <c r="I69"/>
  <c r="I68" s="1"/>
  <c r="I282"/>
  <c r="I210"/>
  <c r="I134"/>
  <c r="I128" s="1"/>
  <c r="I119" s="1"/>
  <c r="I160"/>
  <c r="N290" i="19"/>
  <c r="N285" s="1"/>
  <c r="N284" s="1"/>
  <c r="N283" s="1"/>
  <c r="N282" s="1"/>
  <c r="M200" l="1"/>
  <c r="M199" s="1"/>
  <c r="L200"/>
  <c r="L199" s="1"/>
  <c r="L15" s="1"/>
  <c r="L478"/>
  <c r="M473"/>
  <c r="N221"/>
  <c r="N220" s="1"/>
  <c r="N219" s="1"/>
  <c r="N200" s="1"/>
  <c r="N199" s="1"/>
  <c r="I278" i="18"/>
  <c r="I277" s="1"/>
  <c r="I209"/>
  <c r="I208" s="1"/>
  <c r="I15"/>
  <c r="H112" i="7"/>
  <c r="H448"/>
  <c r="H116"/>
  <c r="H113"/>
  <c r="H110"/>
  <c r="H109"/>
  <c r="H106"/>
  <c r="H96"/>
  <c r="H93"/>
  <c r="H92" s="1"/>
  <c r="H91"/>
  <c r="H87"/>
  <c r="H86"/>
  <c r="H63"/>
  <c r="H62"/>
  <c r="H60"/>
  <c r="H59"/>
  <c r="H58"/>
  <c r="H56"/>
  <c r="H55"/>
  <c r="H54"/>
  <c r="H39"/>
  <c r="H32"/>
  <c r="H30"/>
  <c r="H28"/>
  <c r="H27"/>
  <c r="M457" i="3"/>
  <c r="M456" s="1"/>
  <c r="M455" s="1"/>
  <c r="M454" s="1"/>
  <c r="M453" s="1"/>
  <c r="M452" s="1"/>
  <c r="M449"/>
  <c r="M445"/>
  <c r="L445" s="1"/>
  <c r="H102" i="7"/>
  <c r="M441" i="3"/>
  <c r="L441" s="1"/>
  <c r="M436"/>
  <c r="M435" s="1"/>
  <c r="M434" s="1"/>
  <c r="M427"/>
  <c r="M421"/>
  <c r="M419"/>
  <c r="M417"/>
  <c r="M414"/>
  <c r="H83" i="7"/>
  <c r="H82"/>
  <c r="M410" i="3"/>
  <c r="M402"/>
  <c r="M401" s="1"/>
  <c r="M400" s="1"/>
  <c r="M395"/>
  <c r="M383"/>
  <c r="M379"/>
  <c r="M375"/>
  <c r="H48" i="7"/>
  <c r="H47"/>
  <c r="H41"/>
  <c r="H40"/>
  <c r="M354" i="3"/>
  <c r="M353" s="1"/>
  <c r="M352" s="1"/>
  <c r="M351" s="1"/>
  <c r="M350"/>
  <c r="M345"/>
  <c r="M343"/>
  <c r="M341"/>
  <c r="M337"/>
  <c r="M426" l="1"/>
  <c r="M425" s="1"/>
  <c r="M424" s="1"/>
  <c r="M423" s="1"/>
  <c r="M371"/>
  <c r="L372"/>
  <c r="H84" i="7"/>
  <c r="L413" i="3"/>
  <c r="H101" i="7"/>
  <c r="L442" i="3"/>
  <c r="L440" s="1"/>
  <c r="H107" i="7"/>
  <c r="L448" i="3"/>
  <c r="M349"/>
  <c r="M336" s="1"/>
  <c r="L350"/>
  <c r="L349" s="1"/>
  <c r="L336" s="1"/>
  <c r="H42" i="7"/>
  <c r="L364" i="3"/>
  <c r="L360" s="1"/>
  <c r="H52" i="7"/>
  <c r="L374" i="3"/>
  <c r="M394"/>
  <c r="M391" s="1"/>
  <c r="L395"/>
  <c r="L394" s="1"/>
  <c r="L391" s="1"/>
  <c r="H81" i="7"/>
  <c r="L410" i="3"/>
  <c r="H105" i="7"/>
  <c r="L446" i="3"/>
  <c r="N473" i="19"/>
  <c r="M444" i="3"/>
  <c r="M440"/>
  <c r="H73" i="7"/>
  <c r="H72" s="1"/>
  <c r="H69" s="1"/>
  <c r="H19"/>
  <c r="H23"/>
  <c r="H50"/>
  <c r="H104"/>
  <c r="H36"/>
  <c r="H35" s="1"/>
  <c r="H100"/>
  <c r="H111"/>
  <c r="H115"/>
  <c r="H114" s="1"/>
  <c r="M360" i="3"/>
  <c r="M409"/>
  <c r="M408" s="1"/>
  <c r="M368"/>
  <c r="L479"/>
  <c r="L478" s="1"/>
  <c r="L477" s="1"/>
  <c r="L476" s="1"/>
  <c r="L475" s="1"/>
  <c r="L474" s="1"/>
  <c r="L669" s="1"/>
  <c r="L473"/>
  <c r="L472" s="1"/>
  <c r="L471" s="1"/>
  <c r="L465" s="1"/>
  <c r="L464" s="1"/>
  <c r="L463" s="1"/>
  <c r="M359" l="1"/>
  <c r="M407"/>
  <c r="M406" s="1"/>
  <c r="M405" s="1"/>
  <c r="L335"/>
  <c r="L334" s="1"/>
  <c r="L333" s="1"/>
  <c r="L665" s="1"/>
  <c r="M335"/>
  <c r="M334" s="1"/>
  <c r="L371"/>
  <c r="L359" s="1"/>
  <c r="L444"/>
  <c r="L439" s="1"/>
  <c r="L438" s="1"/>
  <c r="L433" s="1"/>
  <c r="L432" s="1"/>
  <c r="L670" s="1"/>
  <c r="L462"/>
  <c r="L409"/>
  <c r="L408" s="1"/>
  <c r="M439"/>
  <c r="M438" s="1"/>
  <c r="M433" s="1"/>
  <c r="M432" s="1"/>
  <c r="E35" i="17"/>
  <c r="D35"/>
  <c r="E34"/>
  <c r="D34"/>
  <c r="M646" i="3"/>
  <c r="D21" i="6" s="1"/>
  <c r="M625" i="3"/>
  <c r="H330" i="18"/>
  <c r="H324"/>
  <c r="H323"/>
  <c r="H322"/>
  <c r="H319"/>
  <c r="H313"/>
  <c r="H312"/>
  <c r="H306"/>
  <c r="H305"/>
  <c r="H302"/>
  <c r="H301" s="1"/>
  <c r="H300" s="1"/>
  <c r="H299"/>
  <c r="H297"/>
  <c r="H295"/>
  <c r="H294"/>
  <c r="H292"/>
  <c r="H290"/>
  <c r="H288"/>
  <c r="H286"/>
  <c r="H285"/>
  <c r="H284"/>
  <c r="H281"/>
  <c r="H275"/>
  <c r="H274" s="1"/>
  <c r="H273" s="1"/>
  <c r="H272" s="1"/>
  <c r="H271" s="1"/>
  <c r="H269"/>
  <c r="H268" s="1"/>
  <c r="H267" s="1"/>
  <c r="H266" s="1"/>
  <c r="H265" s="1"/>
  <c r="H263"/>
  <c r="H257"/>
  <c r="H254"/>
  <c r="H248"/>
  <c r="H247" s="1"/>
  <c r="H246" s="1"/>
  <c r="H245" s="1"/>
  <c r="H244" s="1"/>
  <c r="H242"/>
  <c r="H241" s="1"/>
  <c r="H240" s="1"/>
  <c r="H239"/>
  <c r="H238"/>
  <c r="H236"/>
  <c r="H235"/>
  <c r="H233"/>
  <c r="H232"/>
  <c r="H227"/>
  <c r="H229"/>
  <c r="H224"/>
  <c r="H222"/>
  <c r="H221"/>
  <c r="H219"/>
  <c r="H218"/>
  <c r="H216"/>
  <c r="H215"/>
  <c r="H213"/>
  <c r="H212"/>
  <c r="H206"/>
  <c r="H205"/>
  <c r="H204"/>
  <c r="H202"/>
  <c r="H201"/>
  <c r="H200"/>
  <c r="H196"/>
  <c r="H195" s="1"/>
  <c r="H194" s="1"/>
  <c r="H193" s="1"/>
  <c r="L407" i="3" l="1"/>
  <c r="L406" s="1"/>
  <c r="L405" s="1"/>
  <c r="L667" s="1"/>
  <c r="M333"/>
  <c r="M665" s="1"/>
  <c r="D34" i="6" s="1"/>
  <c r="L358" i="3"/>
  <c r="L357" s="1"/>
  <c r="L356" s="1"/>
  <c r="M358"/>
  <c r="M357" s="1"/>
  <c r="M356" s="1"/>
  <c r="H321" i="18"/>
  <c r="H283"/>
  <c r="H199"/>
  <c r="H190"/>
  <c r="H187"/>
  <c r="H186"/>
  <c r="H185"/>
  <c r="H179"/>
  <c r="H178"/>
  <c r="H177"/>
  <c r="H168"/>
  <c r="H166"/>
  <c r="H165" s="1"/>
  <c r="H164"/>
  <c r="H163" s="1"/>
  <c r="H158"/>
  <c r="H157"/>
  <c r="H156"/>
  <c r="H152"/>
  <c r="H151"/>
  <c r="H145"/>
  <c r="H144" s="1"/>
  <c r="H143" s="1"/>
  <c r="H142" s="1"/>
  <c r="H141"/>
  <c r="H140"/>
  <c r="H138"/>
  <c r="H137"/>
  <c r="H136"/>
  <c r="H133"/>
  <c r="H132"/>
  <c r="H131"/>
  <c r="H127"/>
  <c r="H126"/>
  <c r="H123"/>
  <c r="H122" s="1"/>
  <c r="H121" s="1"/>
  <c r="H117"/>
  <c r="H116"/>
  <c r="H115"/>
  <c r="H113"/>
  <c r="H112"/>
  <c r="H111"/>
  <c r="H107"/>
  <c r="H106" s="1"/>
  <c r="H105" s="1"/>
  <c r="H104" s="1"/>
  <c r="H103"/>
  <c r="H102"/>
  <c r="H101"/>
  <c r="H96"/>
  <c r="H93"/>
  <c r="M332" i="3" l="1"/>
  <c r="M331" s="1"/>
  <c r="L666"/>
  <c r="L671" s="1"/>
  <c r="L332"/>
  <c r="L331" s="1"/>
  <c r="H176" i="18"/>
  <c r="H139"/>
  <c r="H125"/>
  <c r="H124" s="1"/>
  <c r="H120" s="1"/>
  <c r="H114"/>
  <c r="H100"/>
  <c r="H110"/>
  <c r="D31" i="15"/>
  <c r="D14" s="1"/>
  <c r="C31"/>
  <c r="C14"/>
  <c r="H477" i="7" l="1"/>
  <c r="H462"/>
  <c r="H459"/>
  <c r="H458"/>
  <c r="H457"/>
  <c r="H454"/>
  <c r="H442"/>
  <c r="H441"/>
  <c r="H435"/>
  <c r="H432"/>
  <c r="H431" s="1"/>
  <c r="H430" s="1"/>
  <c r="H428"/>
  <c r="H427"/>
  <c r="H424"/>
  <c r="H422"/>
  <c r="H419"/>
  <c r="H417"/>
  <c r="H412"/>
  <c r="H407"/>
  <c r="H406"/>
  <c r="H404"/>
  <c r="H402"/>
  <c r="H398"/>
  <c r="H397" s="1"/>
  <c r="H400"/>
  <c r="H396"/>
  <c r="H395"/>
  <c r="H394"/>
  <c r="H391"/>
  <c r="H385"/>
  <c r="H377"/>
  <c r="H371"/>
  <c r="H367"/>
  <c r="H361"/>
  <c r="H355"/>
  <c r="H346"/>
  <c r="H340"/>
  <c r="H339" s="1"/>
  <c r="H338" s="1"/>
  <c r="H337"/>
  <c r="H334"/>
  <c r="H333"/>
  <c r="H331"/>
  <c r="H330"/>
  <c r="H328"/>
  <c r="H327"/>
  <c r="H322"/>
  <c r="H324"/>
  <c r="H317"/>
  <c r="H315"/>
  <c r="H314"/>
  <c r="H312"/>
  <c r="H311"/>
  <c r="H309"/>
  <c r="H308"/>
  <c r="H306"/>
  <c r="H305"/>
  <c r="H291"/>
  <c r="H288"/>
  <c r="H285"/>
  <c r="H283"/>
  <c r="H282"/>
  <c r="H281"/>
  <c r="H279"/>
  <c r="H278"/>
  <c r="H277"/>
  <c r="H272"/>
  <c r="H271" s="1"/>
  <c r="H269"/>
  <c r="H261"/>
  <c r="H258"/>
  <c r="H255"/>
  <c r="H252"/>
  <c r="H251"/>
  <c r="H250"/>
  <c r="H244"/>
  <c r="H242"/>
  <c r="H238"/>
  <c r="H235"/>
  <c r="H233"/>
  <c r="H229"/>
  <c r="H227"/>
  <c r="H225"/>
  <c r="H223"/>
  <c r="H217"/>
  <c r="H216"/>
  <c r="H215"/>
  <c r="H211"/>
  <c r="H210" s="1"/>
  <c r="H208"/>
  <c r="H207"/>
  <c r="H194"/>
  <c r="H193" s="1"/>
  <c r="H192"/>
  <c r="H190"/>
  <c r="H189"/>
  <c r="H188"/>
  <c r="H185"/>
  <c r="H184"/>
  <c r="H183"/>
  <c r="H179"/>
  <c r="H178"/>
  <c r="H175"/>
  <c r="H169"/>
  <c r="H168"/>
  <c r="H167"/>
  <c r="H164"/>
  <c r="H165"/>
  <c r="H163"/>
  <c r="H159"/>
  <c r="H158" s="1"/>
  <c r="H152"/>
  <c r="H151" s="1"/>
  <c r="H150" s="1"/>
  <c r="H149"/>
  <c r="H148" s="1"/>
  <c r="H147" s="1"/>
  <c r="H146"/>
  <c r="H145"/>
  <c r="H144"/>
  <c r="H139"/>
  <c r="H133"/>
  <c r="H130"/>
  <c r="H125"/>
  <c r="H206" l="1"/>
  <c r="H426"/>
  <c r="G21" i="22"/>
  <c r="F20" i="11"/>
  <c r="C16" i="21"/>
  <c r="B16"/>
  <c r="C15"/>
  <c r="B15"/>
  <c r="B15" i="9"/>
  <c r="B14"/>
  <c r="D17" i="20" l="1"/>
  <c r="D16" s="1"/>
  <c r="D15" s="1"/>
  <c r="D20" i="16"/>
  <c r="D19" s="1"/>
  <c r="C20"/>
  <c r="C19" s="1"/>
  <c r="D25"/>
  <c r="N314" i="19"/>
  <c r="I93" i="18" s="1"/>
  <c r="I92" s="1"/>
  <c r="I91" s="1"/>
  <c r="I90" s="1"/>
  <c r="O314" i="19"/>
  <c r="D16" i="16"/>
  <c r="D15" s="1"/>
  <c r="D46"/>
  <c r="D53"/>
  <c r="D59"/>
  <c r="D58" s="1"/>
  <c r="D62"/>
  <c r="D64"/>
  <c r="D66"/>
  <c r="C66"/>
  <c r="C64"/>
  <c r="C62"/>
  <c r="C59"/>
  <c r="C58" s="1"/>
  <c r="C53"/>
  <c r="C46"/>
  <c r="C25"/>
  <c r="C16"/>
  <c r="C15" s="1"/>
  <c r="C73" i="2"/>
  <c r="C71"/>
  <c r="C28"/>
  <c r="C25"/>
  <c r="C19"/>
  <c r="D18" i="16" l="1"/>
  <c r="D36" i="15" s="1"/>
  <c r="C18" i="16"/>
  <c r="C36" i="15"/>
  <c r="C18" i="2"/>
  <c r="C35" i="5" s="1"/>
  <c r="D34" i="16"/>
  <c r="D33" s="1"/>
  <c r="D37" i="15" s="1"/>
  <c r="C34" i="16"/>
  <c r="C33" s="1"/>
  <c r="C37" i="15" s="1"/>
  <c r="C69" i="2"/>
  <c r="C66"/>
  <c r="C65" s="1"/>
  <c r="C51"/>
  <c r="C58"/>
  <c r="C16"/>
  <c r="C15" s="1"/>
  <c r="C34" i="5" s="1"/>
  <c r="C40" i="2" l="1"/>
  <c r="C39" s="1"/>
  <c r="C38" s="1"/>
  <c r="C36" i="5" s="1"/>
  <c r="C14" i="16"/>
  <c r="C13" s="1"/>
  <c r="L448" i="19" s="1"/>
  <c r="D14" i="16"/>
  <c r="D13" s="1"/>
  <c r="N194" i="19" l="1"/>
  <c r="M194"/>
  <c r="N196"/>
  <c r="M196"/>
  <c r="N187"/>
  <c r="N186" s="1"/>
  <c r="N185" s="1"/>
  <c r="N184" s="1"/>
  <c r="N183" s="1"/>
  <c r="M187"/>
  <c r="M186" s="1"/>
  <c r="M185" s="1"/>
  <c r="M184" s="1"/>
  <c r="M183" s="1"/>
  <c r="N179"/>
  <c r="N178" s="1"/>
  <c r="N177" s="1"/>
  <c r="N176" s="1"/>
  <c r="M179"/>
  <c r="M178" s="1"/>
  <c r="M177" s="1"/>
  <c r="M176" s="1"/>
  <c r="N172"/>
  <c r="M172"/>
  <c r="N168"/>
  <c r="M168"/>
  <c r="N164"/>
  <c r="N163" s="1"/>
  <c r="N162" s="1"/>
  <c r="M164"/>
  <c r="M163" s="1"/>
  <c r="M162" s="1"/>
  <c r="M319" i="3"/>
  <c r="M321"/>
  <c r="M305"/>
  <c r="M304" s="1"/>
  <c r="M303" s="1"/>
  <c r="M302" s="1"/>
  <c r="M301" s="1"/>
  <c r="M290"/>
  <c r="M289" s="1"/>
  <c r="M288" s="1"/>
  <c r="M287" s="1"/>
  <c r="M286" s="1"/>
  <c r="M283"/>
  <c r="M282" s="1"/>
  <c r="M281" s="1"/>
  <c r="M280" s="1"/>
  <c r="M279" s="1"/>
  <c r="M278" s="1"/>
  <c r="M273"/>
  <c r="M272" s="1"/>
  <c r="M271" s="1"/>
  <c r="M264"/>
  <c r="M263" s="1"/>
  <c r="M261"/>
  <c r="M260" s="1"/>
  <c r="M258"/>
  <c r="M254"/>
  <c r="M250"/>
  <c r="M244"/>
  <c r="L243"/>
  <c r="L242" s="1"/>
  <c r="L241" s="1"/>
  <c r="L240" s="1"/>
  <c r="L239" s="1"/>
  <c r="L238" s="1"/>
  <c r="L237" s="1"/>
  <c r="L236" s="1"/>
  <c r="L648" l="1"/>
  <c r="M666"/>
  <c r="D35" i="6" s="1"/>
  <c r="M292" i="3"/>
  <c r="N182" i="19"/>
  <c r="N468"/>
  <c r="E32" i="17" s="1"/>
  <c r="E31" s="1"/>
  <c r="M182" i="19"/>
  <c r="M468"/>
  <c r="D32" i="17" s="1"/>
  <c r="D31" s="1"/>
  <c r="M285" i="3"/>
  <c r="M661"/>
  <c r="M242"/>
  <c r="M241" s="1"/>
  <c r="M240" s="1"/>
  <c r="H267" i="7"/>
  <c r="N167" i="19"/>
  <c r="N166" s="1"/>
  <c r="N161" s="1"/>
  <c r="N160" s="1"/>
  <c r="N193"/>
  <c r="N192" s="1"/>
  <c r="N191" s="1"/>
  <c r="N190" s="1"/>
  <c r="M167"/>
  <c r="M166" s="1"/>
  <c r="M161" s="1"/>
  <c r="M160" s="1"/>
  <c r="M193"/>
  <c r="M192" s="1"/>
  <c r="M191" s="1"/>
  <c r="M190" s="1"/>
  <c r="M318" i="3"/>
  <c r="M317" s="1"/>
  <c r="M316" s="1"/>
  <c r="M315" s="1"/>
  <c r="M249"/>
  <c r="M248" s="1"/>
  <c r="N343" i="19"/>
  <c r="I116" i="18" s="1"/>
  <c r="I114" s="1"/>
  <c r="I109" s="1"/>
  <c r="I108" s="1"/>
  <c r="I89" s="1"/>
  <c r="M341" i="19"/>
  <c r="N337"/>
  <c r="M337"/>
  <c r="N331"/>
  <c r="N330" s="1"/>
  <c r="N329" s="1"/>
  <c r="M331"/>
  <c r="M330" s="1"/>
  <c r="M329" s="1"/>
  <c r="N325"/>
  <c r="N324" s="1"/>
  <c r="M325"/>
  <c r="M324" s="1"/>
  <c r="N320"/>
  <c r="N319" s="1"/>
  <c r="M320"/>
  <c r="M319" s="1"/>
  <c r="N313"/>
  <c r="N312" s="1"/>
  <c r="N311" s="1"/>
  <c r="M313"/>
  <c r="M312" s="1"/>
  <c r="M311" s="1"/>
  <c r="M525" i="3"/>
  <c r="M521"/>
  <c r="M517"/>
  <c r="M516" s="1"/>
  <c r="M515" s="1"/>
  <c r="M511"/>
  <c r="L507"/>
  <c r="L506" s="1"/>
  <c r="M502"/>
  <c r="M501" s="1"/>
  <c r="M497"/>
  <c r="M491"/>
  <c r="M478"/>
  <c r="M477" s="1"/>
  <c r="M476" s="1"/>
  <c r="M475" s="1"/>
  <c r="M474" s="1"/>
  <c r="M472"/>
  <c r="M471" s="1"/>
  <c r="M467"/>
  <c r="M466" s="1"/>
  <c r="L489" l="1"/>
  <c r="L488" s="1"/>
  <c r="L487" s="1"/>
  <c r="M465"/>
  <c r="M464" s="1"/>
  <c r="M463" s="1"/>
  <c r="M667" s="1"/>
  <c r="M239"/>
  <c r="M238" s="1"/>
  <c r="M237" s="1"/>
  <c r="M663"/>
  <c r="D32" i="6"/>
  <c r="N189" i="19"/>
  <c r="M189"/>
  <c r="M159"/>
  <c r="M455"/>
  <c r="D23" i="17" s="1"/>
  <c r="N159" i="19"/>
  <c r="N455"/>
  <c r="E23" i="17" s="1"/>
  <c r="N341" i="19"/>
  <c r="N336" s="1"/>
  <c r="N335" s="1"/>
  <c r="N334" s="1"/>
  <c r="N333" s="1"/>
  <c r="N481" s="1"/>
  <c r="E41" i="17" s="1"/>
  <c r="M314" i="3"/>
  <c r="M495"/>
  <c r="M490" s="1"/>
  <c r="H137" i="7"/>
  <c r="M507" i="3"/>
  <c r="M506" s="1"/>
  <c r="H157" i="7"/>
  <c r="M336" i="19"/>
  <c r="M335" s="1"/>
  <c r="M334" s="1"/>
  <c r="M333" s="1"/>
  <c r="M481" s="1"/>
  <c r="D41" i="17" s="1"/>
  <c r="N318" i="19"/>
  <c r="N317" s="1"/>
  <c r="N316" s="1"/>
  <c r="N480" s="1"/>
  <c r="E40" i="17" s="1"/>
  <c r="M520" i="3"/>
  <c r="M519" s="1"/>
  <c r="M514" s="1"/>
  <c r="M513" s="1"/>
  <c r="M674" s="1"/>
  <c r="D41" i="6" s="1"/>
  <c r="M310" i="19"/>
  <c r="M309" s="1"/>
  <c r="M474" s="1"/>
  <c r="N310"/>
  <c r="N309" s="1"/>
  <c r="N474" s="1"/>
  <c r="M236" i="3" l="1"/>
  <c r="M489"/>
  <c r="M488" s="1"/>
  <c r="M487" s="1"/>
  <c r="M318" i="19"/>
  <c r="M317" s="1"/>
  <c r="M316" s="1"/>
  <c r="L486" i="3"/>
  <c r="L461" s="1"/>
  <c r="L673"/>
  <c r="L675" s="1"/>
  <c r="N158" i="19"/>
  <c r="M158"/>
  <c r="N308"/>
  <c r="E36" i="17"/>
  <c r="M308" i="19"/>
  <c r="D36" i="17"/>
  <c r="M462" i="3"/>
  <c r="D36" i="6"/>
  <c r="N315" i="19"/>
  <c r="N116"/>
  <c r="N115" s="1"/>
  <c r="N114" s="1"/>
  <c r="N113" s="1"/>
  <c r="N112" s="1"/>
  <c r="M116"/>
  <c r="M115" s="1"/>
  <c r="M114" s="1"/>
  <c r="M113" s="1"/>
  <c r="M112" s="1"/>
  <c r="N108"/>
  <c r="N107" s="1"/>
  <c r="N106" s="1"/>
  <c r="N105" s="1"/>
  <c r="M108"/>
  <c r="M107" s="1"/>
  <c r="M106" s="1"/>
  <c r="M105" s="1"/>
  <c r="N103"/>
  <c r="N102" s="1"/>
  <c r="N101" s="1"/>
  <c r="N100" s="1"/>
  <c r="M103"/>
  <c r="M102" s="1"/>
  <c r="M101" s="1"/>
  <c r="M100" s="1"/>
  <c r="N98"/>
  <c r="N97" s="1"/>
  <c r="N96" s="1"/>
  <c r="N95" s="1"/>
  <c r="M98"/>
  <c r="M97" s="1"/>
  <c r="M96" s="1"/>
  <c r="M95" s="1"/>
  <c r="N92"/>
  <c r="N91" s="1"/>
  <c r="N90" s="1"/>
  <c r="N89" s="1"/>
  <c r="N88" s="1"/>
  <c r="N463" s="1"/>
  <c r="E29" i="17" s="1"/>
  <c r="M92" i="19"/>
  <c r="M91" s="1"/>
  <c r="M90" s="1"/>
  <c r="M89" s="1"/>
  <c r="M88" s="1"/>
  <c r="M463" s="1"/>
  <c r="D29" i="17" s="1"/>
  <c r="N86" i="19"/>
  <c r="N85" s="1"/>
  <c r="M86"/>
  <c r="M85" s="1"/>
  <c r="N83"/>
  <c r="N82" s="1"/>
  <c r="M83"/>
  <c r="M82" s="1"/>
  <c r="N74"/>
  <c r="N73" s="1"/>
  <c r="N72" s="1"/>
  <c r="N71" s="1"/>
  <c r="N70" s="1"/>
  <c r="N459" s="1"/>
  <c r="E26" i="17" s="1"/>
  <c r="M74" i="19"/>
  <c r="M73" s="1"/>
  <c r="M72" s="1"/>
  <c r="M71" s="1"/>
  <c r="M70" s="1"/>
  <c r="M459" s="1"/>
  <c r="D26" i="17" s="1"/>
  <c r="N68" i="19"/>
  <c r="M68"/>
  <c r="N66"/>
  <c r="M66"/>
  <c r="N64"/>
  <c r="M64"/>
  <c r="N57"/>
  <c r="N56" s="1"/>
  <c r="N55" s="1"/>
  <c r="N54" s="1"/>
  <c r="N53" s="1"/>
  <c r="N454" s="1"/>
  <c r="E22" i="17" s="1"/>
  <c r="M57" i="19"/>
  <c r="M56" s="1"/>
  <c r="M55" s="1"/>
  <c r="M54" s="1"/>
  <c r="M53" s="1"/>
  <c r="M454" s="1"/>
  <c r="D22" i="17" s="1"/>
  <c r="N51" i="19"/>
  <c r="N50" s="1"/>
  <c r="N49" s="1"/>
  <c r="N48" s="1"/>
  <c r="N47" s="1"/>
  <c r="N452" s="1"/>
  <c r="E20" i="17" s="1"/>
  <c r="M51" i="19"/>
  <c r="M50" s="1"/>
  <c r="M49" s="1"/>
  <c r="M48" s="1"/>
  <c r="M47" s="1"/>
  <c r="M452" s="1"/>
  <c r="D20" i="17" s="1"/>
  <c r="N45" i="19"/>
  <c r="N44" s="1"/>
  <c r="M45"/>
  <c r="M44" s="1"/>
  <c r="N42"/>
  <c r="M42"/>
  <c r="N40"/>
  <c r="M40"/>
  <c r="N37"/>
  <c r="M37"/>
  <c r="N35"/>
  <c r="M35"/>
  <c r="N33"/>
  <c r="M33"/>
  <c r="N29"/>
  <c r="M29"/>
  <c r="N23"/>
  <c r="N22" s="1"/>
  <c r="N21" s="1"/>
  <c r="N20" s="1"/>
  <c r="N19" s="1"/>
  <c r="N450" s="1"/>
  <c r="E18" i="17" s="1"/>
  <c r="M23" i="19"/>
  <c r="M22" s="1"/>
  <c r="M21" s="1"/>
  <c r="M20" s="1"/>
  <c r="M19" s="1"/>
  <c r="M450" s="1"/>
  <c r="D18" i="17" s="1"/>
  <c r="M189" i="3"/>
  <c r="M188" s="1"/>
  <c r="M187" s="1"/>
  <c r="M186" s="1"/>
  <c r="M185" s="1"/>
  <c r="M182"/>
  <c r="M181" s="1"/>
  <c r="M180" s="1"/>
  <c r="M179" s="1"/>
  <c r="M177"/>
  <c r="M176" s="1"/>
  <c r="M175" s="1"/>
  <c r="M174" s="1"/>
  <c r="M162"/>
  <c r="M161" s="1"/>
  <c r="M160" s="1"/>
  <c r="M159" s="1"/>
  <c r="M158" s="1"/>
  <c r="M154"/>
  <c r="M153" s="1"/>
  <c r="M152" s="1"/>
  <c r="M151" s="1"/>
  <c r="M150"/>
  <c r="L150" s="1"/>
  <c r="L149" s="1"/>
  <c r="L146" s="1"/>
  <c r="L145" s="1"/>
  <c r="L144" s="1"/>
  <c r="L134" s="1"/>
  <c r="M147"/>
  <c r="M142"/>
  <c r="M141" s="1"/>
  <c r="M140" s="1"/>
  <c r="M138"/>
  <c r="M137" s="1"/>
  <c r="M136" s="1"/>
  <c r="M132"/>
  <c r="M131" s="1"/>
  <c r="M130" s="1"/>
  <c r="M129" s="1"/>
  <c r="M128" s="1"/>
  <c r="M656" s="1"/>
  <c r="D29" i="6" s="1"/>
  <c r="M126" i="3"/>
  <c r="M125" s="1"/>
  <c r="M123"/>
  <c r="M122" s="1"/>
  <c r="M110"/>
  <c r="M109" s="1"/>
  <c r="M107"/>
  <c r="M105"/>
  <c r="M99"/>
  <c r="M97"/>
  <c r="M95"/>
  <c r="M93"/>
  <c r="M83"/>
  <c r="M81"/>
  <c r="M78"/>
  <c r="M77" s="1"/>
  <c r="M73"/>
  <c r="M72" s="1"/>
  <c r="M68"/>
  <c r="M67" s="1"/>
  <c r="M66" s="1"/>
  <c r="M65" s="1"/>
  <c r="M62"/>
  <c r="M61" s="1"/>
  <c r="M60" s="1"/>
  <c r="M59" s="1"/>
  <c r="M58" s="1"/>
  <c r="M647" s="1"/>
  <c r="D22" i="6" s="1"/>
  <c r="M56" i="3"/>
  <c r="M55" s="1"/>
  <c r="M54" s="1"/>
  <c r="M53" s="1"/>
  <c r="M52" s="1"/>
  <c r="M50"/>
  <c r="M49" s="1"/>
  <c r="M48" s="1"/>
  <c r="M47" s="1"/>
  <c r="M46" s="1"/>
  <c r="M644" s="1"/>
  <c r="D19" i="6" s="1"/>
  <c r="M44" i="3"/>
  <c r="M43" s="1"/>
  <c r="M41"/>
  <c r="M35"/>
  <c r="M33"/>
  <c r="M31"/>
  <c r="M27"/>
  <c r="M21"/>
  <c r="M20" s="1"/>
  <c r="M19" s="1"/>
  <c r="M18" s="1"/>
  <c r="M17" s="1"/>
  <c r="M642" s="1"/>
  <c r="D17" i="6" s="1"/>
  <c r="M680" i="3" l="1"/>
  <c r="D45" i="6" s="1"/>
  <c r="M121" i="3"/>
  <c r="M480" i="19"/>
  <c r="D40" i="17" s="1"/>
  <c r="M315" i="19"/>
  <c r="M307" s="1"/>
  <c r="L657" i="3"/>
  <c r="L658" s="1"/>
  <c r="L118"/>
  <c r="N111" i="19"/>
  <c r="N484"/>
  <c r="E43" i="17" s="1"/>
  <c r="M111" i="19"/>
  <c r="M484"/>
  <c r="D43" i="17" s="1"/>
  <c r="N307" i="19"/>
  <c r="M184" i="3"/>
  <c r="M691"/>
  <c r="M486"/>
  <c r="M461" s="1"/>
  <c r="M673"/>
  <c r="M114"/>
  <c r="M113" s="1"/>
  <c r="M112" s="1"/>
  <c r="H243" i="7"/>
  <c r="M149" i="3"/>
  <c r="M146" s="1"/>
  <c r="M145" s="1"/>
  <c r="M144" s="1"/>
  <c r="H379" i="7"/>
  <c r="N63" i="19"/>
  <c r="N62" s="1"/>
  <c r="N61" s="1"/>
  <c r="N60" s="1"/>
  <c r="M63"/>
  <c r="M62" s="1"/>
  <c r="M61" s="1"/>
  <c r="M60" s="1"/>
  <c r="M94"/>
  <c r="M464" s="1"/>
  <c r="D30" i="17" s="1"/>
  <c r="M81" i="19"/>
  <c r="M80" s="1"/>
  <c r="M79" s="1"/>
  <c r="M462" s="1"/>
  <c r="D28" i="17" s="1"/>
  <c r="N28" i="19"/>
  <c r="N27" s="1"/>
  <c r="N26" s="1"/>
  <c r="N25" s="1"/>
  <c r="M28"/>
  <c r="M27" s="1"/>
  <c r="M26" s="1"/>
  <c r="M25" s="1"/>
  <c r="N81"/>
  <c r="N80" s="1"/>
  <c r="N79" s="1"/>
  <c r="N462" s="1"/>
  <c r="E28" i="17" s="1"/>
  <c r="N94" i="19"/>
  <c r="N464" s="1"/>
  <c r="E30" i="17" s="1"/>
  <c r="M80" i="3"/>
  <c r="M92"/>
  <c r="M91" s="1"/>
  <c r="M90" s="1"/>
  <c r="M89" s="1"/>
  <c r="M651" s="1"/>
  <c r="D25" i="6" s="1"/>
  <c r="M120" i="3"/>
  <c r="M119" s="1"/>
  <c r="M655" s="1"/>
  <c r="D28" i="6" s="1"/>
  <c r="M104" i="3"/>
  <c r="M103" s="1"/>
  <c r="M135"/>
  <c r="M173"/>
  <c r="M157" s="1"/>
  <c r="M71" l="1"/>
  <c r="M70" s="1"/>
  <c r="M64" s="1"/>
  <c r="M692"/>
  <c r="D54" i="6"/>
  <c r="M675" i="3"/>
  <c r="D40" i="6"/>
  <c r="M59" i="19"/>
  <c r="M458"/>
  <c r="D25" i="17" s="1"/>
  <c r="N59" i="19"/>
  <c r="N458"/>
  <c r="E25" i="17" s="1"/>
  <c r="N18" i="19"/>
  <c r="N451"/>
  <c r="E19" i="17" s="1"/>
  <c r="M18" i="19"/>
  <c r="M451"/>
  <c r="D19" i="17" s="1"/>
  <c r="M102" i="3"/>
  <c r="M101" s="1"/>
  <c r="M78" i="19"/>
  <c r="N78"/>
  <c r="M134" i="3"/>
  <c r="M17" i="19" l="1"/>
  <c r="N17"/>
  <c r="M118" i="3"/>
  <c r="M657"/>
  <c r="M88"/>
  <c r="M652"/>
  <c r="N141" i="19"/>
  <c r="N140" s="1"/>
  <c r="N139" s="1"/>
  <c r="N138" s="1"/>
  <c r="N137" s="1"/>
  <c r="M141"/>
  <c r="M140" s="1"/>
  <c r="M139" s="1"/>
  <c r="M138" s="1"/>
  <c r="M137" s="1"/>
  <c r="N132"/>
  <c r="N131" s="1"/>
  <c r="N130" s="1"/>
  <c r="N129" s="1"/>
  <c r="N128" s="1"/>
  <c r="N127" s="1"/>
  <c r="M132"/>
  <c r="M131" s="1"/>
  <c r="M130" s="1"/>
  <c r="M658" i="3" l="1"/>
  <c r="D30" i="6"/>
  <c r="M653" i="3"/>
  <c r="D26" i="6"/>
  <c r="N136" i="19"/>
  <c r="N497"/>
  <c r="E53" i="17" s="1"/>
  <c r="M136" i="19"/>
  <c r="M497"/>
  <c r="D53" i="17" s="1"/>
  <c r="M129" i="19"/>
  <c r="M128" s="1"/>
  <c r="N154"/>
  <c r="I322" i="18" s="1"/>
  <c r="I321" s="1"/>
  <c r="I320" s="1"/>
  <c r="I316" s="1"/>
  <c r="I315" s="1"/>
  <c r="M153" i="19"/>
  <c r="M152" s="1"/>
  <c r="N150"/>
  <c r="N149" s="1"/>
  <c r="M150"/>
  <c r="M149" s="1"/>
  <c r="M127" l="1"/>
  <c r="M126" s="1"/>
  <c r="N126"/>
  <c r="N153"/>
  <c r="N152" s="1"/>
  <c r="N148" s="1"/>
  <c r="N147" s="1"/>
  <c r="N146" s="1"/>
  <c r="N145" s="1"/>
  <c r="N144" s="1"/>
  <c r="M148"/>
  <c r="M147" s="1"/>
  <c r="M146" s="1"/>
  <c r="M145" s="1"/>
  <c r="M144" s="1"/>
  <c r="N378"/>
  <c r="N377" s="1"/>
  <c r="N376" s="1"/>
  <c r="N375" s="1"/>
  <c r="N374" s="1"/>
  <c r="N491" s="1"/>
  <c r="E49" i="17" s="1"/>
  <c r="M378" i="19"/>
  <c r="M377" s="1"/>
  <c r="M376" s="1"/>
  <c r="M375" s="1"/>
  <c r="M374" s="1"/>
  <c r="M491" s="1"/>
  <c r="D49" i="17" s="1"/>
  <c r="N372" i="19"/>
  <c r="N371" s="1"/>
  <c r="N370" s="1"/>
  <c r="M372"/>
  <c r="M371" s="1"/>
  <c r="M370" s="1"/>
  <c r="N367"/>
  <c r="N366" s="1"/>
  <c r="N365" s="1"/>
  <c r="M367"/>
  <c r="M366" s="1"/>
  <c r="M365" s="1"/>
  <c r="N360"/>
  <c r="M360"/>
  <c r="N356"/>
  <c r="M356"/>
  <c r="N352"/>
  <c r="N351" s="1"/>
  <c r="N350" s="1"/>
  <c r="M352"/>
  <c r="M351" s="1"/>
  <c r="M350" s="1"/>
  <c r="N453" l="1"/>
  <c r="E21" i="17" s="1"/>
  <c r="M453" i="19"/>
  <c r="D21" i="17" s="1"/>
  <c r="M355" i="19"/>
  <c r="M354" s="1"/>
  <c r="M349" s="1"/>
  <c r="M348" s="1"/>
  <c r="M489" s="1"/>
  <c r="D47" i="17" s="1"/>
  <c r="N355" i="19"/>
  <c r="N354" s="1"/>
  <c r="N349" s="1"/>
  <c r="N348" s="1"/>
  <c r="N489" s="1"/>
  <c r="E47" i="17" s="1"/>
  <c r="M364" i="19"/>
  <c r="M363" s="1"/>
  <c r="M490" s="1"/>
  <c r="D48" i="17" s="1"/>
  <c r="N364" i="19"/>
  <c r="N363" s="1"/>
  <c r="N490" s="1"/>
  <c r="E48" i="17" s="1"/>
  <c r="M347" i="19" l="1"/>
  <c r="M346" s="1"/>
  <c r="N347"/>
  <c r="N346" s="1"/>
  <c r="N397"/>
  <c r="N396" s="1"/>
  <c r="N395" s="1"/>
  <c r="N394" s="1"/>
  <c r="N393" s="1"/>
  <c r="M397"/>
  <c r="M396" s="1"/>
  <c r="M395" s="1"/>
  <c r="M394" s="1"/>
  <c r="M393" s="1"/>
  <c r="N389"/>
  <c r="N388" s="1"/>
  <c r="N387" s="1"/>
  <c r="N386" s="1"/>
  <c r="N385" s="1"/>
  <c r="M389"/>
  <c r="M388" s="1"/>
  <c r="M387" s="1"/>
  <c r="M386" s="1"/>
  <c r="M385" s="1"/>
  <c r="M477" l="1"/>
  <c r="D38" i="17" s="1"/>
  <c r="N477" i="19"/>
  <c r="E38" i="17" s="1"/>
  <c r="N384" i="19"/>
  <c r="N383" s="1"/>
  <c r="M384"/>
  <c r="M383" s="1"/>
  <c r="N437"/>
  <c r="M437"/>
  <c r="N434"/>
  <c r="M434"/>
  <c r="N424"/>
  <c r="M424"/>
  <c r="N421"/>
  <c r="M421"/>
  <c r="N418"/>
  <c r="M418"/>
  <c r="N415"/>
  <c r="M415"/>
  <c r="N408"/>
  <c r="N407" s="1"/>
  <c r="N406" s="1"/>
  <c r="N405" s="1"/>
  <c r="N404" s="1"/>
  <c r="N403" s="1"/>
  <c r="M408"/>
  <c r="M407" s="1"/>
  <c r="M406" s="1"/>
  <c r="M405" s="1"/>
  <c r="M404" s="1"/>
  <c r="M403" s="1"/>
  <c r="N476" l="1"/>
  <c r="E37" i="17" s="1"/>
  <c r="M476" i="19"/>
  <c r="D37" i="17" s="1"/>
  <c r="N414" i="19"/>
  <c r="N413" s="1"/>
  <c r="N412" s="1"/>
  <c r="N411" s="1"/>
  <c r="M414"/>
  <c r="M413" s="1"/>
  <c r="M412" s="1"/>
  <c r="M411" s="1"/>
  <c r="M430"/>
  <c r="M429" s="1"/>
  <c r="M428" s="1"/>
  <c r="M427" s="1"/>
  <c r="M486" s="1"/>
  <c r="D45" i="17" s="1"/>
  <c r="N430" i="19"/>
  <c r="N429" s="1"/>
  <c r="N428" s="1"/>
  <c r="N427" s="1"/>
  <c r="N486" s="1"/>
  <c r="E45" i="17" s="1"/>
  <c r="M485" i="19" l="1"/>
  <c r="D44" i="17" s="1"/>
  <c r="D42" s="1"/>
  <c r="N485" i="19"/>
  <c r="E44" i="17" s="1"/>
  <c r="E42" s="1"/>
  <c r="N410" i="19"/>
  <c r="N402" s="1"/>
  <c r="M410"/>
  <c r="M402" s="1"/>
  <c r="M631" i="3"/>
  <c r="M628"/>
  <c r="M615"/>
  <c r="M612"/>
  <c r="M609"/>
  <c r="M606"/>
  <c r="M599"/>
  <c r="M598" s="1"/>
  <c r="M597" s="1"/>
  <c r="M596" s="1"/>
  <c r="M595" s="1"/>
  <c r="M594" s="1"/>
  <c r="M624" l="1"/>
  <c r="M623" s="1"/>
  <c r="M622" s="1"/>
  <c r="M621" s="1"/>
  <c r="M683" s="1"/>
  <c r="D48" i="6" s="1"/>
  <c r="M605" i="3"/>
  <c r="M604" l="1"/>
  <c r="M603" s="1"/>
  <c r="M602" s="1"/>
  <c r="M588"/>
  <c r="M587" s="1"/>
  <c r="M586" s="1"/>
  <c r="M585" s="1"/>
  <c r="M584" s="1"/>
  <c r="M582"/>
  <c r="M567"/>
  <c r="M566" s="1"/>
  <c r="M565" s="1"/>
  <c r="M564" s="1"/>
  <c r="M563" s="1"/>
  <c r="M688" s="1"/>
  <c r="D52" i="6" s="1"/>
  <c r="M556" i="3"/>
  <c r="M555" s="1"/>
  <c r="M554" s="1"/>
  <c r="M550"/>
  <c r="M549" s="1"/>
  <c r="M548" s="1"/>
  <c r="M546"/>
  <c r="M544"/>
  <c r="M540"/>
  <c r="M536"/>
  <c r="M535" s="1"/>
  <c r="M534" s="1"/>
  <c r="M553" l="1"/>
  <c r="M552" s="1"/>
  <c r="M687" s="1"/>
  <c r="D51" i="6" s="1"/>
  <c r="M682" i="3"/>
  <c r="D47" i="6" s="1"/>
  <c r="M601" i="3"/>
  <c r="M593" s="1"/>
  <c r="M670"/>
  <c r="D38" i="6" s="1"/>
  <c r="M539" i="3"/>
  <c r="M538" s="1"/>
  <c r="M533" s="1"/>
  <c r="M532" s="1"/>
  <c r="M686" s="1"/>
  <c r="M577"/>
  <c r="M576" s="1"/>
  <c r="M575" s="1"/>
  <c r="M684" l="1"/>
  <c r="M689"/>
  <c r="D50" i="6"/>
  <c r="M574" i="3"/>
  <c r="M669" s="1"/>
  <c r="M531"/>
  <c r="M530" s="1"/>
  <c r="M233"/>
  <c r="M232" s="1"/>
  <c r="M228"/>
  <c r="M227" s="1"/>
  <c r="M225"/>
  <c r="M224" s="1"/>
  <c r="M216"/>
  <c r="M215" s="1"/>
  <c r="M214" s="1"/>
  <c r="M213" s="1"/>
  <c r="M212" s="1"/>
  <c r="M209"/>
  <c r="M208" s="1"/>
  <c r="M207" s="1"/>
  <c r="M206" s="1"/>
  <c r="M205" s="1"/>
  <c r="M648" s="1"/>
  <c r="D23" i="6" s="1"/>
  <c r="M203" i="3"/>
  <c r="M202" s="1"/>
  <c r="M198"/>
  <c r="M197" s="1"/>
  <c r="M573" l="1"/>
  <c r="M572" s="1"/>
  <c r="M211"/>
  <c r="M694"/>
  <c r="M196"/>
  <c r="M195" s="1"/>
  <c r="M194" s="1"/>
  <c r="M223"/>
  <c r="M222" s="1"/>
  <c r="M221" s="1"/>
  <c r="M220" s="1"/>
  <c r="M219" s="1"/>
  <c r="M695" l="1"/>
  <c r="D56" i="6"/>
  <c r="M671" i="3"/>
  <c r="D37" i="6"/>
  <c r="M193" i="3"/>
  <c r="M192" s="1"/>
  <c r="M645"/>
  <c r="H170" i="18"/>
  <c r="H169" s="1"/>
  <c r="H167"/>
  <c r="H162" s="1"/>
  <c r="H59"/>
  <c r="H434" i="7"/>
  <c r="H433" s="1"/>
  <c r="H447"/>
  <c r="H446" s="1"/>
  <c r="H445" s="1"/>
  <c r="H444" s="1"/>
  <c r="D20" i="6" l="1"/>
  <c r="H311" i="18"/>
  <c r="H310" s="1"/>
  <c r="H232" i="7"/>
  <c r="H191"/>
  <c r="H345"/>
  <c r="H344" s="1"/>
  <c r="D53" i="6" l="1"/>
  <c r="D27" i="12" l="1"/>
  <c r="C27"/>
  <c r="D16"/>
  <c r="H316" i="7" l="1"/>
  <c r="H378" l="1"/>
  <c r="C17" i="20" l="1"/>
  <c r="H197" i="7" l="1"/>
  <c r="H196" s="1"/>
  <c r="H195" s="1"/>
  <c r="H287" i="18" l="1"/>
  <c r="H399" i="7" l="1"/>
  <c r="C16" i="20" l="1"/>
  <c r="C15" s="1"/>
  <c r="H22" i="7" l="1"/>
  <c r="H85" l="1"/>
  <c r="H440" l="1"/>
  <c r="H439" s="1"/>
  <c r="H418"/>
  <c r="C14" i="21" l="1"/>
  <c r="B14" l="1"/>
  <c r="H79" i="18" l="1"/>
  <c r="H298"/>
  <c r="H321" i="7" l="1"/>
  <c r="H323"/>
  <c r="H95"/>
  <c r="H94" s="1"/>
  <c r="H318" l="1"/>
  <c r="H143"/>
  <c r="H142" s="1"/>
  <c r="D35" i="15" l="1"/>
  <c r="D34" s="1"/>
  <c r="D33" s="1"/>
  <c r="C35"/>
  <c r="C34" s="1"/>
  <c r="H411" i="7" l="1"/>
  <c r="H290" l="1"/>
  <c r="H289" s="1"/>
  <c r="H260" l="1"/>
  <c r="H259" s="1"/>
  <c r="N495" i="19" l="1"/>
  <c r="M495"/>
  <c r="H108" i="7" l="1"/>
  <c r="H268" l="1"/>
  <c r="H284"/>
  <c r="H343" l="1"/>
  <c r="H342" s="1"/>
  <c r="I333" i="18" l="1"/>
  <c r="I332" s="1"/>
  <c r="I351" s="1"/>
  <c r="H333"/>
  <c r="H332" s="1"/>
  <c r="H351" s="1"/>
  <c r="H304"/>
  <c r="H293"/>
  <c r="H226"/>
  <c r="H228"/>
  <c r="H203"/>
  <c r="H184"/>
  <c r="H225" l="1"/>
  <c r="H130"/>
  <c r="H99"/>
  <c r="H150" l="1"/>
  <c r="H149" s="1"/>
  <c r="H61"/>
  <c r="H41"/>
  <c r="H33"/>
  <c r="H25"/>
  <c r="H23"/>
  <c r="H18"/>
  <c r="H329"/>
  <c r="H328" s="1"/>
  <c r="H327" s="1"/>
  <c r="H326" s="1"/>
  <c r="H320"/>
  <c r="H318"/>
  <c r="H317" s="1"/>
  <c r="H303"/>
  <c r="H296"/>
  <c r="H291"/>
  <c r="H289"/>
  <c r="H280"/>
  <c r="H279" s="1"/>
  <c r="H262"/>
  <c r="H261" s="1"/>
  <c r="H260" s="1"/>
  <c r="H259" s="1"/>
  <c r="H256"/>
  <c r="H255" s="1"/>
  <c r="H253"/>
  <c r="H252" s="1"/>
  <c r="H237"/>
  <c r="H234"/>
  <c r="H231"/>
  <c r="H223"/>
  <c r="H220"/>
  <c r="H217"/>
  <c r="H214"/>
  <c r="H211"/>
  <c r="H189"/>
  <c r="H188" s="1"/>
  <c r="H183"/>
  <c r="H175"/>
  <c r="H174" s="1"/>
  <c r="H155"/>
  <c r="H154" s="1"/>
  <c r="H153" s="1"/>
  <c r="H135"/>
  <c r="H134" s="1"/>
  <c r="H129"/>
  <c r="H95"/>
  <c r="H94" s="1"/>
  <c r="H92"/>
  <c r="H91" s="1"/>
  <c r="H161" l="1"/>
  <c r="H160" s="1"/>
  <c r="H282"/>
  <c r="H278" s="1"/>
  <c r="H210"/>
  <c r="H90"/>
  <c r="H54"/>
  <c r="H53" s="1"/>
  <c r="H52" s="1"/>
  <c r="H28"/>
  <c r="I348"/>
  <c r="H316"/>
  <c r="H315" s="1"/>
  <c r="H348" s="1"/>
  <c r="H109"/>
  <c r="H108" s="1"/>
  <c r="H148"/>
  <c r="H147" s="1"/>
  <c r="H182"/>
  <c r="H37"/>
  <c r="H70"/>
  <c r="H20"/>
  <c r="H17" s="1"/>
  <c r="H251"/>
  <c r="H250" s="1"/>
  <c r="H198"/>
  <c r="H197" s="1"/>
  <c r="H192" s="1"/>
  <c r="H230"/>
  <c r="H128"/>
  <c r="H119" s="1"/>
  <c r="H27" l="1"/>
  <c r="H16" s="1"/>
  <c r="H209"/>
  <c r="H208" s="1"/>
  <c r="H89"/>
  <c r="H181"/>
  <c r="H69"/>
  <c r="H68" s="1"/>
  <c r="H277"/>
  <c r="H15" l="1"/>
  <c r="H14" s="1"/>
  <c r="I14"/>
  <c r="H344" l="1"/>
  <c r="H353" s="1"/>
  <c r="I344"/>
  <c r="I353" s="1"/>
  <c r="H257" i="7"/>
  <c r="H256" s="1"/>
  <c r="I346" i="18" l="1"/>
  <c r="I352"/>
  <c r="I349"/>
  <c r="H352"/>
  <c r="H349"/>
  <c r="H346"/>
  <c r="B13" i="9" l="1"/>
  <c r="N440" i="19" l="1"/>
  <c r="N15" s="1"/>
  <c r="L14" i="18" s="1"/>
  <c r="M440" i="19"/>
  <c r="M15" s="1"/>
  <c r="K14" i="18" s="1"/>
  <c r="M500" i="19" l="1"/>
  <c r="D55" i="17" s="1"/>
  <c r="D54" s="1"/>
  <c r="C27" i="20"/>
  <c r="N500" i="19"/>
  <c r="E55" i="17" s="1"/>
  <c r="E54" s="1"/>
  <c r="D27" i="20"/>
  <c r="E52" i="17" l="1"/>
  <c r="N487" i="19" l="1"/>
  <c r="E27" i="17"/>
  <c r="N498" i="19"/>
  <c r="N460"/>
  <c r="E33" i="17"/>
  <c r="N470" i="19"/>
  <c r="N465" l="1"/>
  <c r="N482"/>
  <c r="N478"/>
  <c r="N492"/>
  <c r="E46" i="17"/>
  <c r="N456" i="19"/>
  <c r="E17" i="17"/>
  <c r="E39" l="1"/>
  <c r="D52"/>
  <c r="M498" i="19"/>
  <c r="E24" i="17" l="1"/>
  <c r="M470" i="19"/>
  <c r="D24" i="17"/>
  <c r="M460" i="19"/>
  <c r="M478"/>
  <c r="D33" i="17"/>
  <c r="D39"/>
  <c r="M482" i="19"/>
  <c r="D46" i="17"/>
  <c r="M492" i="19"/>
  <c r="M487"/>
  <c r="M456"/>
  <c r="D17" i="17"/>
  <c r="E15" l="1"/>
  <c r="H15" s="1"/>
  <c r="D27"/>
  <c r="M465" i="19"/>
  <c r="D15" i="17" l="1"/>
  <c r="G15" s="1"/>
  <c r="D26" i="20"/>
  <c r="D25" s="1"/>
  <c r="D24" s="1"/>
  <c r="C26" l="1"/>
  <c r="C25" s="1"/>
  <c r="C24" s="1"/>
  <c r="D38" i="15" l="1"/>
  <c r="D23" i="20" l="1"/>
  <c r="D22" s="1"/>
  <c r="D21" s="1"/>
  <c r="D20" s="1"/>
  <c r="D19" s="1"/>
  <c r="D14" s="1"/>
  <c r="H476" i="7" l="1"/>
  <c r="H475" s="1"/>
  <c r="H287" l="1"/>
  <c r="H286" s="1"/>
  <c r="H18" l="1"/>
  <c r="H38" l="1"/>
  <c r="H270" l="1"/>
  <c r="H350" l="1"/>
  <c r="H226"/>
  <c r="H234"/>
  <c r="H231" s="1"/>
  <c r="H228"/>
  <c r="H474" l="1"/>
  <c r="H473" s="1"/>
  <c r="H423" l="1"/>
  <c r="H421"/>
  <c r="H416"/>
  <c r="H415" s="1"/>
  <c r="H405"/>
  <c r="H401"/>
  <c r="H420" l="1"/>
  <c r="H461"/>
  <c r="H460" s="1"/>
  <c r="H336"/>
  <c r="H335" s="1"/>
  <c r="H384" l="1"/>
  <c r="H383" s="1"/>
  <c r="H382" s="1"/>
  <c r="H381" s="1"/>
  <c r="H376"/>
  <c r="H375" s="1"/>
  <c r="H370"/>
  <c r="H369" s="1"/>
  <c r="H368" s="1"/>
  <c r="H366"/>
  <c r="H360"/>
  <c r="H359" s="1"/>
  <c r="H354"/>
  <c r="H313"/>
  <c r="H310"/>
  <c r="H307"/>
  <c r="H304"/>
  <c r="H303" l="1"/>
  <c r="H374"/>
  <c r="H373" s="1"/>
  <c r="H358"/>
  <c r="H329"/>
  <c r="H332"/>
  <c r="H326"/>
  <c r="H365"/>
  <c r="H364" s="1"/>
  <c r="H266"/>
  <c r="H265" s="1"/>
  <c r="H237"/>
  <c r="H177"/>
  <c r="H174"/>
  <c r="H264" l="1"/>
  <c r="H182"/>
  <c r="H181" s="1"/>
  <c r="H166"/>
  <c r="H214"/>
  <c r="H213" s="1"/>
  <c r="H212" s="1"/>
  <c r="H241"/>
  <c r="H240" s="1"/>
  <c r="H239" s="1"/>
  <c r="H162"/>
  <c r="H325"/>
  <c r="H302" s="1"/>
  <c r="H249"/>
  <c r="H248" s="1"/>
  <c r="H138"/>
  <c r="H136"/>
  <c r="H129"/>
  <c r="H128" s="1"/>
  <c r="H124"/>
  <c r="H123" s="1"/>
  <c r="H90"/>
  <c r="H80"/>
  <c r="H61"/>
  <c r="H53"/>
  <c r="H46"/>
  <c r="H31"/>
  <c r="H29"/>
  <c r="H222"/>
  <c r="H79" l="1"/>
  <c r="H78" s="1"/>
  <c r="H161"/>
  <c r="H160" s="1"/>
  <c r="H155"/>
  <c r="H154" s="1"/>
  <c r="H132"/>
  <c r="H131" s="1"/>
  <c r="H26"/>
  <c r="H17" s="1"/>
  <c r="H99"/>
  <c r="H122" l="1"/>
  <c r="H153"/>
  <c r="H425" l="1"/>
  <c r="H276"/>
  <c r="H280"/>
  <c r="H275" l="1"/>
  <c r="H274" s="1"/>
  <c r="H263" s="1"/>
  <c r="H187"/>
  <c r="H186" s="1"/>
  <c r="D55" i="6" l="1"/>
  <c r="H180" i="7"/>
  <c r="D31" i="6" l="1"/>
  <c r="H49" i="7"/>
  <c r="H57"/>
  <c r="H37" l="1"/>
  <c r="H16" s="1"/>
  <c r="H103"/>
  <c r="H98" s="1"/>
  <c r="H97" s="1"/>
  <c r="D49" i="6" l="1"/>
  <c r="H403" i="7"/>
  <c r="H224"/>
  <c r="H221" s="1"/>
  <c r="H393"/>
  <c r="D33" i="6" l="1"/>
  <c r="H453" i="7"/>
  <c r="H452" s="1"/>
  <c r="D27" i="6" l="1"/>
  <c r="D44"/>
  <c r="H456" i="7"/>
  <c r="H455" s="1"/>
  <c r="H451" l="1"/>
  <c r="H450" s="1"/>
  <c r="H491" s="1"/>
  <c r="D24" i="6"/>
  <c r="H363" i="7"/>
  <c r="H357"/>
  <c r="H353"/>
  <c r="H349" s="1"/>
  <c r="H348" s="1"/>
  <c r="H254"/>
  <c r="H253" s="1"/>
  <c r="H236"/>
  <c r="H205"/>
  <c r="H204" s="1"/>
  <c r="H176"/>
  <c r="H173"/>
  <c r="H15" l="1"/>
  <c r="H301"/>
  <c r="H220"/>
  <c r="H230"/>
  <c r="H172"/>
  <c r="H171" s="1"/>
  <c r="H247"/>
  <c r="H219" l="1"/>
  <c r="H246"/>
  <c r="H121"/>
  <c r="H203" l="1"/>
  <c r="D39" i="6" l="1"/>
  <c r="C33" i="15" l="1"/>
  <c r="C38" s="1"/>
  <c r="C23" i="20" s="1"/>
  <c r="C22" l="1"/>
  <c r="C21" s="1"/>
  <c r="C20" s="1"/>
  <c r="H390" i="7"/>
  <c r="H389" s="1"/>
  <c r="C19" i="20" l="1"/>
  <c r="C14" s="1"/>
  <c r="N448" i="19" l="1"/>
  <c r="M448"/>
  <c r="C13" i="2" l="1"/>
  <c r="C32" i="5" l="1"/>
  <c r="C39" s="1"/>
  <c r="C19" i="8" s="1"/>
  <c r="C18" s="1"/>
  <c r="C17" s="1"/>
  <c r="C16" s="1"/>
  <c r="H409" i="7"/>
  <c r="L39" i="3"/>
  <c r="L38" s="1"/>
  <c r="L26" s="1"/>
  <c r="L25" s="1"/>
  <c r="L24" s="1"/>
  <c r="L23" s="1"/>
  <c r="M26"/>
  <c r="M25" s="1"/>
  <c r="M24" s="1"/>
  <c r="M23" s="1"/>
  <c r="H408" i="7" l="1"/>
  <c r="H392" s="1"/>
  <c r="H388" s="1"/>
  <c r="H387" s="1"/>
  <c r="M643" i="3"/>
  <c r="M16"/>
  <c r="M15" s="1"/>
  <c r="M14" s="1"/>
  <c r="C23" i="8" s="1"/>
  <c r="C22" s="1"/>
  <c r="C21" s="1"/>
  <c r="C20" s="1"/>
  <c r="C15" s="1"/>
  <c r="C14" s="1"/>
  <c r="L16" i="3"/>
  <c r="L15" s="1"/>
  <c r="L14" s="1"/>
  <c r="L643"/>
  <c r="L649" s="1"/>
  <c r="L696" s="1"/>
  <c r="H14" i="7" l="1"/>
  <c r="J14" s="1"/>
  <c r="H487"/>
  <c r="D18" i="6"/>
  <c r="D16" s="1"/>
  <c r="D14" s="1"/>
  <c r="M649" i="3"/>
  <c r="M696" s="1"/>
  <c r="H489" i="7" l="1"/>
  <c r="H493"/>
  <c r="H492" s="1"/>
</calcChain>
</file>

<file path=xl/sharedStrings.xml><?xml version="1.0" encoding="utf-8"?>
<sst xmlns="http://schemas.openxmlformats.org/spreadsheetml/2006/main" count="13531" uniqueCount="938">
  <si>
    <t>Апшеронский район от___________№___</t>
  </si>
  <si>
    <t>Код бюджетной классификации Российской Федерации</t>
  </si>
  <si>
    <t>Администрация муниципального образования Апшеронский район</t>
  </si>
  <si>
    <t>Невыясненные поступления, зачисляемые в бюджеты муниципальных районов</t>
  </si>
  <si>
    <t>902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</si>
  <si>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</si>
  <si>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</si>
  <si>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Получение кредитов от кредитных организаций  бюджетами муниципальных районов в валюте Российской Федерации</t>
  </si>
  <si>
    <t>01 02 00 00 05 0000 810</t>
  </si>
  <si>
    <t>Погашение  бюджетами муниципальных районов кредитов от кредитных организаций в валюте Российской Федерации</t>
  </si>
  <si>
    <t>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</si>
  <si>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</si>
  <si>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</si>
  <si>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</si>
  <si>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Финансовое управление администрации муниципального образования Апшеронский район</t>
  </si>
  <si>
    <t>Дотации бюджетам муниципальных районов на поддержку мер по обеспечению сбалансированности бюджетов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</si>
  <si>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</si>
  <si>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</si>
  <si>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</si>
  <si>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</si>
  <si>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</si>
  <si>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Управление имущественных отношений администрации муниципального образования Апшеронский район</t>
  </si>
  <si>
    <t>Доходы от сдачи в аренду имущества, составляющего казну муниципальных районов (за исключением земельных участков)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</si>
  <si>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</si>
  <si>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Прочие субвенции бюджетам муниципальных районов</t>
  </si>
  <si>
    <t>Прочие межбюджетные трансферты, передаваемые бюджетам муниципальных районов</t>
  </si>
  <si>
    <t>Доходы бюджетов муниципальных районов от возврата бюджетными учреждениями остатков субсидий прошлых лет</t>
  </si>
  <si>
    <t>Управление образования администрации муниципального образования Апшеронский район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</si>
  <si>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</si>
  <si>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Отдел культуры администрации муниципального образования Апшеронский район</t>
  </si>
  <si>
    <t>Отдел по физической культуре и спорту администрации муниципального образования Апшеронский район</t>
  </si>
  <si>
    <t>Отдел по делам молодежи администрации муниципального образования Апшеронский район</t>
  </si>
  <si>
    <t>Отдел по вопросам семьи и детства администрации муниципального образования Апшеронский район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</si>
  <si>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</si>
  <si>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Прочие доходы от оказания платных услуг (работ) получателями средств бюджетов муниципальных районов</t>
  </si>
  <si>
    <t>Код</t>
  </si>
  <si>
    <t>Наименование дохода</t>
  </si>
  <si>
    <t>Сумма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</si>
  <si>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</si>
  <si>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</si>
  <si>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</si>
  <si>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</si>
  <si>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</si>
  <si>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Федерации, в том числе: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</si>
  <si>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</si>
  <si>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</si>
  <si>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(тыс. рублей)</t>
  </si>
  <si>
    <t>№ п\п</t>
  </si>
  <si>
    <t>Наименование</t>
  </si>
  <si>
    <t>Вед</t>
  </si>
  <si>
    <t>РЗ</t>
  </si>
  <si>
    <t>ПР</t>
  </si>
  <si>
    <t>ЦСР</t>
  </si>
  <si>
    <t>ВР</t>
  </si>
  <si>
    <t>3</t>
  </si>
  <si>
    <t>4</t>
  </si>
  <si>
    <t>5</t>
  </si>
  <si>
    <t>6</t>
  </si>
  <si>
    <t>7</t>
  </si>
  <si>
    <t>Контрольно-счетная палата муниципального образования Апшеронский район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</si>
  <si>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</si>
  <si>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</si>
  <si>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</si>
  <si>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</si>
  <si>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муниципального образования Апшеронский район "Организация муниципального управления"</t>
  </si>
  <si>
    <t>17</t>
  </si>
  <si>
    <t>0</t>
  </si>
  <si>
    <t>00</t>
  </si>
  <si>
    <t>00000</t>
  </si>
  <si>
    <t>1</t>
  </si>
  <si>
    <t xml:space="preserve">Обеспечение деятельности высшего должностного лица муниципального образования </t>
  </si>
  <si>
    <t>Расходы на обеспечение функций органов местного самоуправления</t>
  </si>
  <si>
    <t>00190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</si>
  <si>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</si>
  <si>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</si>
  <si>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</si>
  <si>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</si>
  <si>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муниципального образования  Апшеронский район "Организация муниципального управления"</t>
  </si>
  <si>
    <t>Обеспечение деятельности администрации муниципального образования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</si>
  <si>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</si>
  <si>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</si>
  <si>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</si>
  <si>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</si>
  <si>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</si>
  <si>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</si>
  <si>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</si>
  <si>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60910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</si>
  <si>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</si>
  <si>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Развитие муниципального управления</t>
  </si>
  <si>
    <t>03</t>
  </si>
  <si>
    <t>Административная реформа</t>
  </si>
  <si>
    <t>05</t>
  </si>
  <si>
    <t>Резервные фонды</t>
  </si>
  <si>
    <t>11</t>
  </si>
  <si>
    <t>Непрограммные направления деятельности органов местного самоуправления</t>
  </si>
  <si>
    <t>99</t>
  </si>
  <si>
    <t>Финансовое обеспечение непредвиденных расходов</t>
  </si>
  <si>
    <t>Резервные фонды местных администраций</t>
  </si>
  <si>
    <t>90010</t>
  </si>
  <si>
    <t>Другие общегосударственные вопросы</t>
  </si>
  <si>
    <t>13</t>
  </si>
  <si>
    <t>Муниципальная программа муниципального образования Апшеронский район "Поддержка социально ориентированных некоммерческих организаций"</t>
  </si>
  <si>
    <t>15</t>
  </si>
  <si>
    <t>Субсидии на поддержку социально ориентированных некоммерческих организаций</t>
  </si>
  <si>
    <t>11600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</si>
  <si>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</si>
  <si>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</si>
  <si>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</si>
  <si>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</si>
  <si>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</si>
  <si>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муниципального образования Апшеронский район "Обеспечение безопасности населения"</t>
  </si>
  <si>
    <t>06</t>
  </si>
  <si>
    <t>Предупреждение и ликвидация чрезвычайных ситуаций, стихийных бедствий и их последствий в муниципальном образовании</t>
  </si>
  <si>
    <t>Обеспечение защиты населения и территории муниципального образования Апшеронский район от чрезвычайных ситуаций природного и техногенного характера</t>
  </si>
  <si>
    <t>Мероприятия по предупреждению и ликвидации чрезвычайных ситуаций, стихийных бедствий и их последствий, выполняемые в рамках специальных решений</t>
  </si>
  <si>
    <t>10600</t>
  </si>
  <si>
    <t>Реализация мероприятий муниципальной программы "Обеспечение безопасности населения"</t>
  </si>
  <si>
    <t>10660</t>
  </si>
  <si>
    <t>Другие вопросы в области национальной безопасности и правоохранительной деятельности</t>
  </si>
  <si>
    <t>14</t>
  </si>
  <si>
    <t>2</t>
  </si>
  <si>
    <t xml:space="preserve">Расходы на обеспечение деятельности (оказание услуг) муниципальных учреждений, в том числе на предоставление муниципальным бюджетным и автономным учреждениям субсидий </t>
  </si>
  <si>
    <t>10610</t>
  </si>
  <si>
    <t>00590</t>
  </si>
  <si>
    <t>Национальная экономика</t>
  </si>
  <si>
    <t>Сельское хозяйство и рыболовство</t>
  </si>
  <si>
    <t xml:space="preserve">Муниципальная программа муниципального образования  Апшеронский район "Развитие сельского хозяйства" </t>
  </si>
  <si>
    <t>Развитие малых форм хозяйствования в АПК в муниципальном образовании Апшеронский район</t>
  </si>
  <si>
    <t>Обеспечение эпизоотического, ветеринарно-санитарного благополучия в муниципальном образовании Апшеронский район</t>
  </si>
  <si>
    <t>61650</t>
  </si>
  <si>
    <t>Дорожное хозяйство (дорожные фонды)</t>
  </si>
  <si>
    <t>Муниципальная программа муниципального образования Апшеронский район "Поддержка дорожного хозяйства"</t>
  </si>
  <si>
    <t>12</t>
  </si>
  <si>
    <t>Создание устойчивого и безопасного функционирования автомобильных дорог общего пользования местного значения муниципального образования Апшеронский район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</si>
  <si>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проектно-изыскательские работы</t>
  </si>
  <si>
    <t>11300</t>
  </si>
  <si>
    <t>10</t>
  </si>
  <si>
    <t>11820</t>
  </si>
  <si>
    <t>Другие вопросы в области национальной экономики</t>
  </si>
  <si>
    <t>Муниципальная программа муниципального образования Апшеронский район "Экономическое развитие муниципального образования"</t>
  </si>
  <si>
    <t>Развитие малого и среднего предпринимательства в муниципальном образовании</t>
  </si>
  <si>
    <t>Финансовая поддержка субъектов малого и среднего предпринимательства</t>
  </si>
  <si>
    <t>Развитие и поддержка малого и среднего предпринимательства</t>
  </si>
  <si>
    <t>11400</t>
  </si>
  <si>
    <t>Инвестиционное развитие муниципального образования</t>
  </si>
  <si>
    <t>Создание условий для инвестиционного развития муниципального образования Апшеронский район</t>
  </si>
  <si>
    <t>Формирование и продвижение экономически и инвестиционно привлекательного образа муниципального образования Апшеронский район за его пределами</t>
  </si>
  <si>
    <t>11410</t>
  </si>
  <si>
    <t>Муниципальная программа муниципального образования Апшеронский район "Развитие санаторно-курортного и туристского комплекса"</t>
  </si>
  <si>
    <t xml:space="preserve">Реализация мероприятий муниципальной программы "Развитие санаторно-курортного и туристского комплекса" </t>
  </si>
  <si>
    <t>11500</t>
  </si>
  <si>
    <t>Социальная политика</t>
  </si>
  <si>
    <t>Социальное обеспечение и иные выплаты населению</t>
  </si>
  <si>
    <t>300</t>
  </si>
  <si>
    <t>Другие  вопросы в области социальной политики</t>
  </si>
  <si>
    <t>Межбюджетные трансферты</t>
  </si>
  <si>
    <t>500</t>
  </si>
  <si>
    <t>Профилактика терроризма и экстремизма в муниципальном образовании</t>
  </si>
  <si>
    <t>Организация физической охраны в здании администрации муниципального образования Апшеронский район</t>
  </si>
  <si>
    <t>Мероприятия по профилактике терроризма и экстремизма</t>
  </si>
  <si>
    <t>Наименование поселений</t>
  </si>
  <si>
    <t>910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</si>
  <si>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</si>
  <si>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Контрольно-счетной палаты муниципального образования</t>
  </si>
  <si>
    <t>51</t>
  </si>
  <si>
    <t>Председатель Контрольно-счетной палаты муниципального образования</t>
  </si>
  <si>
    <t>Непрограммные расходы в рамках обеспечения деятельности Контрольно-счетной палаты муниципального образования</t>
  </si>
  <si>
    <t>Контрольно-счетная палата муниципального образования</t>
  </si>
  <si>
    <t>20010</t>
  </si>
  <si>
    <t>1 00 00000 00 0000 000</t>
  </si>
  <si>
    <t>Налоговые и неналоговые доходы</t>
  </si>
  <si>
    <t>1 01 01000 00 0000 110</t>
  </si>
  <si>
    <t>Налог на прибыль организаций*</t>
  </si>
  <si>
    <t>1 01 02000 01 0000 110</t>
  </si>
  <si>
    <t>Налог на доходы физических лиц*</t>
  </si>
  <si>
    <t>1 03 02230 01 0000 110
1 03 02240 01 0000 110
1 03 02250 01 0000 110
1 03 02260 01 0000 110</t>
  </si>
  <si>
    <t>1 05 02000 02 0000 110</t>
  </si>
  <si>
    <t>1 05 03000 01 0000 110</t>
  </si>
  <si>
    <t>Единый сельскохозяйственный налог*</t>
  </si>
  <si>
    <t>1 05 04000 02 0000 110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</si>
  <si>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</si>
  <si>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</si>
  <si>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пошлина*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</si>
  <si>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</si>
  <si>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 муниципальным районам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</si>
  <si>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</si>
  <si>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участков*</t>
  </si>
  <si>
    <t>1 11 07015 05 0000 120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</si>
  <si>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муниципальными районами</t>
  </si>
  <si>
    <t>1 12 01000 01 0000 120</t>
  </si>
  <si>
    <t>Плата за негативное воздействие на окружающую среду*</t>
  </si>
  <si>
    <t>1 14 00000 00 0000 000</t>
  </si>
  <si>
    <t>Доходы от продажи материальных и нематериальных активов*</t>
  </si>
  <si>
    <t>1 16 00000 00 0000 000</t>
  </si>
  <si>
    <t>Штрафы, санкции, возмещение ущерба*</t>
  </si>
  <si>
    <t>Иные межбюджетные трансферты*</t>
  </si>
  <si>
    <t>Всего доходов</t>
  </si>
  <si>
    <t>Распределение бюджетных ассигнований по разделам и подразделам</t>
  </si>
  <si>
    <t>№ п/п</t>
  </si>
  <si>
    <t>Всего расходов</t>
  </si>
  <si>
    <t>в том числе:</t>
  </si>
  <si>
    <t>0100</t>
  </si>
  <si>
    <t>0102</t>
  </si>
  <si>
    <t xml:space="preserve">Функционирование высшего должностного лица субъекта Российской Федерации и муниципального образования   </t>
  </si>
  <si>
    <t>0104</t>
  </si>
  <si>
    <t>0106</t>
  </si>
  <si>
    <t>0111</t>
  </si>
  <si>
    <t>0113</t>
  </si>
  <si>
    <t>0300</t>
  </si>
  <si>
    <t>0309</t>
  </si>
  <si>
    <t>0314</t>
  </si>
  <si>
    <t>0400</t>
  </si>
  <si>
    <t>0405</t>
  </si>
  <si>
    <t>0409</t>
  </si>
  <si>
    <t>0412</t>
  </si>
  <si>
    <t>0500</t>
  </si>
  <si>
    <t>Жилищно-коммунальное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</si>
  <si>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</si>
  <si>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</si>
  <si>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</si>
  <si>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</si>
  <si>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</si>
  <si>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</si>
  <si>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</si>
  <si>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</si>
  <si>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</si>
  <si>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</si>
  <si>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</si>
  <si>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</si>
  <si>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</si>
  <si>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</si>
  <si>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</si>
  <si>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Охрана семьи и детства</t>
  </si>
  <si>
    <t>Другие вопросы в области социальной политики</t>
  </si>
  <si>
    <t xml:space="preserve">Физическая культура и спорт </t>
  </si>
  <si>
    <t>1102</t>
  </si>
  <si>
    <t>Массовый спорт</t>
  </si>
  <si>
    <t>1105</t>
  </si>
  <si>
    <t>Другие вопросы в области физической культуры и спорта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</si>
  <si>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</si>
  <si>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</si>
  <si>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</si>
  <si>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Капитальные вложения в объекты государственной (муниципальной) собственности</t>
  </si>
  <si>
    <t>400</t>
  </si>
  <si>
    <t>Муниципальная программа муниципального образования Апшеронский район "Развитие образования"</t>
  </si>
  <si>
    <t>Развитие дошкольного и общего образования детей</t>
  </si>
  <si>
    <t>Мероприятия по повышению уровня безопасности  муниципальных образовательных учреждений</t>
  </si>
  <si>
    <t>Реализация мероприятий муниципальной программы "Развитие образования"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</si>
  <si>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</si>
  <si>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Развитие дополнительного образования детей</t>
  </si>
  <si>
    <t>Стипендии главы муниципального образования Апшеронский район для одаренных детей</t>
  </si>
  <si>
    <t>Обеспечение реализации муниципальной программы и прочие мероприятия в области образования</t>
  </si>
  <si>
    <t>Муниципальная программа муниципального образования Апшеронский район "Развитие культуры"</t>
  </si>
  <si>
    <t>Совершенствование деятельности муниципальных учреждений отрасли "Культура и искусство" по предоставлению муниципальных услуг</t>
  </si>
  <si>
    <t>Организация библиотечного обслуживания населения, комплектование библиотечных фондов библиотек поселения</t>
  </si>
  <si>
    <t>Обеспечение реализации муниципальной программы и прочие мероприятия в сфере культуры и искусства</t>
  </si>
  <si>
    <t>Муниципальная программа муниципального образования Апшеронский район "Развитие физической культуры и спорта"</t>
  </si>
  <si>
    <t>Развитие физической культуры и массового спорта</t>
  </si>
  <si>
    <t>Реализация мероприятий муниципальной программы "Развитие физической культуры и спорта"</t>
  </si>
  <si>
    <t>Управление реализацией муниципальной программы</t>
  </si>
  <si>
    <t>Муниципальная программа муниципального образования Апшеронский район "Развитие молодежной политики"</t>
  </si>
  <si>
    <t>Молодежь Апшеронского района</t>
  </si>
  <si>
    <t>Муниципальная программа муниципального образования Апшеронский район "Управление муниципальными финансами"</t>
  </si>
  <si>
    <t>07</t>
  </si>
  <si>
    <t>Муниципальная программа муниципального образования Апшеронский район "Управление муниципальным имуществом"</t>
  </si>
  <si>
    <t>08</t>
  </si>
  <si>
    <t>Повышение эффективности управления муниципальным имуществом и приватизации</t>
  </si>
  <si>
    <t>Оценка недвижимости, признание прав и регулирование отношений по муниципальной собственности</t>
  </si>
  <si>
    <t>Управление реализацией муниципальной программы и прочие мероприятия</t>
  </si>
  <si>
    <t xml:space="preserve">Муниципальная программа муниципального образования Апшеронский район "Социальная поддержка граждан" 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</si>
  <si>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</si>
  <si>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</si>
  <si>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Муниципальная программа муниципального образования Апшеронский район "Доступная среда"</t>
  </si>
  <si>
    <t>20</t>
  </si>
  <si>
    <t>Реализация мероприятий муниципальной программы "Доступная среда"</t>
  </si>
  <si>
    <t>Осуществление внешнего муниципального финансового контроля</t>
  </si>
  <si>
    <t>программы</t>
  </si>
  <si>
    <t>непрограммные</t>
  </si>
  <si>
    <t>(тыс.рублей)</t>
  </si>
  <si>
    <t>000 01 00 00 00 00 0000 000</t>
  </si>
  <si>
    <t>Источники внутреннего финансирования дефицитов бюджетов, всего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</si>
  <si>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</si>
  <si>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</si>
  <si>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</si>
  <si>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</si>
  <si>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</si>
  <si>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</si>
  <si>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</si>
  <si>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</si>
  <si>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</si>
  <si>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</si>
  <si>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</si>
  <si>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</si>
  <si>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</si>
  <si>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</si>
  <si>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</si>
  <si>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 xml:space="preserve"> (тыс.рублей)</t>
  </si>
  <si>
    <t>№                п/п</t>
  </si>
  <si>
    <t>1.</t>
  </si>
  <si>
    <t>Кабардинское сельское поселение</t>
  </si>
  <si>
    <t>Кубанское сельское поселение</t>
  </si>
  <si>
    <t>Куринское сельское поселение</t>
  </si>
  <si>
    <t>Нижегородское сельское поселение</t>
  </si>
  <si>
    <t>Новополянское сельское поселение</t>
  </si>
  <si>
    <t>Отдаленное сельское поселение</t>
  </si>
  <si>
    <t>Тверское сельское поселение</t>
  </si>
  <si>
    <t>Черниговское сельское поселение</t>
  </si>
  <si>
    <t>Объем</t>
  </si>
  <si>
    <t>привлечение</t>
  </si>
  <si>
    <t>погашение основной суммы долга</t>
  </si>
  <si>
    <t>Бюджетные кредиты,  привлеченные в бюджет  муниципального образования  Апшеронский район от других  бюджетов бюджетной системы Российской Федерации, всего</t>
  </si>
  <si>
    <t xml:space="preserve">Программа муниципальных гарантий муниципального образования Апшеронский район  </t>
  </si>
  <si>
    <t>Объем гарантий,  тыс.рублей</t>
  </si>
  <si>
    <t>Условия предоставления гарантий</t>
  </si>
  <si>
    <t>анализ финансового состояния принципала</t>
  </si>
  <si>
    <t>иные условия</t>
  </si>
  <si>
    <t xml:space="preserve"> -</t>
  </si>
  <si>
    <t>Бюджетные ассигнования на исполнение муниципальных гарантий муниципального образования Апшеронский район по возможным гарантийным случаям</t>
  </si>
  <si>
    <t xml:space="preserve">          Объем, тыс.рублей</t>
  </si>
  <si>
    <t>Наименование межбюджетных трансфертов</t>
  </si>
  <si>
    <t>Дотации на выравнивание бюджетной обеспеченности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</si>
  <si>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</si>
  <si>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из них:</t>
  </si>
  <si>
    <t xml:space="preserve">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</t>
  </si>
  <si>
    <t>муниципальные дошкольные образовательные организации</t>
  </si>
  <si>
    <t>муниципальные общеобразовательные организации</t>
  </si>
  <si>
    <t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</si>
  <si>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60070</t>
  </si>
  <si>
    <t>Оказание финансовой поддержки социально ориентированным некоммерческим организациям</t>
  </si>
  <si>
    <t>Содействие развитию дошкольного образования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</si>
  <si>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</si>
  <si>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60820</t>
  </si>
  <si>
    <t>60860</t>
  </si>
  <si>
    <t>Обеспечение мероприятий по противодействию терроризму и экстремизму</t>
  </si>
  <si>
    <t>Содействие развитию общего образования</t>
  </si>
  <si>
    <t>10200</t>
  </si>
  <si>
    <t>10210</t>
  </si>
  <si>
    <t>62370</t>
  </si>
  <si>
    <t>Содействие развитию дополнительного образования детей</t>
  </si>
  <si>
    <t>Выявление и поддержка одаренных детей</t>
  </si>
  <si>
    <t xml:space="preserve">Стипендии главы муниципального образования Апшеронский район для одаренных детей </t>
  </si>
  <si>
    <t>00300</t>
  </si>
  <si>
    <t>12100</t>
  </si>
  <si>
    <t>Создание условий для полноценного и безопасного отдыха детей в каникулярное время</t>
  </si>
  <si>
    <t>Совершенствование управления реализацией Программы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</si>
  <si>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 образовательную программу дошкольного образования</t>
  </si>
  <si>
    <t>60710</t>
  </si>
  <si>
    <t>Совершенствование социальной поддержки семьи и детей</t>
  </si>
  <si>
    <t>Создание условий для формирования доступной среды жизнедеятельности для инвалидов и других маломобильных групп населения</t>
  </si>
  <si>
    <t>934</t>
  </si>
  <si>
    <t>Развитие и реализация потенциала молодежи в интересах Кубани, формирование благоприятной среды, обеспечивающей всестороннее развитие личности</t>
  </si>
  <si>
    <t xml:space="preserve">Реализация мероприятий муниципальной программы "Развитие молодежной политики" </t>
  </si>
  <si>
    <t>10500</t>
  </si>
  <si>
    <t>929</t>
  </si>
  <si>
    <t>Формирование здорового образа жизни и гармоничное воспитание здорового,  физически крепкого поколения</t>
  </si>
  <si>
    <t>10400</t>
  </si>
  <si>
    <t xml:space="preserve">Массовый спорт 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</si>
  <si>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</si>
  <si>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</si>
  <si>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родителю, в том числе:</t>
  </si>
  <si>
    <t>953</t>
  </si>
  <si>
    <t>Муниципальная программа муниципального образования Апшеронский район "Социальная поддержка граждан"</t>
  </si>
  <si>
    <t>60840</t>
  </si>
  <si>
    <t>60670</t>
  </si>
  <si>
    <t>60680</t>
  </si>
  <si>
    <t>60720</t>
  </si>
  <si>
    <t>60730</t>
  </si>
  <si>
    <t>Другие вопросы в области социальной политики</t>
  </si>
  <si>
    <t>60880</t>
  </si>
  <si>
    <t>60900</t>
  </si>
  <si>
    <t>62340</t>
  </si>
  <si>
    <t>Создание условий для эффективного управления и распоряжения муниципальным имуществом Апшеронского района в целях увеличения доходной части бюджета муниципального образования</t>
  </si>
  <si>
    <t>10800</t>
  </si>
  <si>
    <t>Повышение эффективности осуществления закупок товаров, работ, услуг для муниципальных нужд и нужд бюджетных учреждений муниципального образования</t>
  </si>
  <si>
    <t>Государственная поддержка решения жилищной проблемы детей-сирот и детей, оставшихся без попечения родителей, лиц из числа детей-сирот и детей, оставшихся без попечения родителей</t>
  </si>
  <si>
    <t>Создание условий для эффективного управления в сфере развития системы управления муниципальным имуществом, находящимся в муниципальной собственности</t>
  </si>
  <si>
    <t>905</t>
  </si>
  <si>
    <t>Создание условий для эффективного и ответственного управления муниципальными финансами</t>
  </si>
  <si>
    <t xml:space="preserve">Выравнивание финансовых возможностей бюджетов </t>
  </si>
  <si>
    <t>Прочие субсидии</t>
  </si>
  <si>
    <t xml:space="preserve">Прочие субсидии бюджетам муниципальных районов, в том числе: </t>
  </si>
  <si>
    <t>Субсидии бюджетам бюджетной системы Российской Федерации (межбюджетные субсидии)*</t>
  </si>
  <si>
    <t>Создание условий для развития санаторно-курортного и туристского комплекса муниципального образования Апшеронский район</t>
  </si>
  <si>
    <t>01 02 00 00 05 0000 710</t>
  </si>
  <si>
    <t>1 11 05075 05 0000 120</t>
  </si>
  <si>
    <t xml:space="preserve">* В том числе по видам и подвидам доходов.  </t>
  </si>
  <si>
    <t xml:space="preserve">Наименование </t>
  </si>
  <si>
    <t>1 05 01000 00 0000 110</t>
  </si>
  <si>
    <t>Налог, взимаемый в связи с применением упрощенной системы налогообложения*</t>
  </si>
  <si>
    <t>Безвозмездные поступления</t>
  </si>
  <si>
    <t xml:space="preserve">* По видам и подвидам доходов, входящим в соответствующий группировочный код бюджетной классификации, зачисляемым в районный бюджет в соответствии с законодательством Российской Федерации.   </t>
  </si>
  <si>
    <t>Всего</t>
  </si>
  <si>
    <t xml:space="preserve">Апшеронское городское поселение </t>
  </si>
  <si>
    <t xml:space="preserve">Нефтегорское городское поселение </t>
  </si>
  <si>
    <t>Хадыженское городское поселение</t>
  </si>
  <si>
    <t xml:space="preserve">Кабардинское сельское поселение </t>
  </si>
  <si>
    <t xml:space="preserve">Куринское сельское поселение </t>
  </si>
  <si>
    <t>Мезмайское сельское поселение</t>
  </si>
  <si>
    <t xml:space="preserve">                                Приложение № 2 к решению Совета муниципального образования</t>
  </si>
  <si>
    <t>926</t>
  </si>
  <si>
    <t xml:space="preserve">Расходы на обеспечение деятельности (оказание услуг)  муниципальных учреждений, в том числе на предоставление муниципальным бюджетным и автономным учреждениям субсидий </t>
  </si>
  <si>
    <t>Реализация мероприятий муниципальной программы  "Развитие культуры"</t>
  </si>
  <si>
    <t>10300</t>
  </si>
  <si>
    <t>Содействие развитию библиотечного дела</t>
  </si>
  <si>
    <t>Расходы на обеспечение деятельности (оказание услуг)  муниципальных учреждений, в том числе на предоставление муниципальным бюджетным и автономным учреждениям субсидий</t>
  </si>
  <si>
    <t>20020</t>
  </si>
  <si>
    <t>Содействие развитию культурно-досуговых организаций</t>
  </si>
  <si>
    <t>Организация, проведение и участие в конкурсах, фестивалях, концертах, выставках, приемах, конференциях, форумах, акциях, праздниках, семинарах, экспедициях в рамках их организации и поддержки</t>
  </si>
  <si>
    <t xml:space="preserve">Другие вопросы в области культуры, кинематографии </t>
  </si>
  <si>
    <t>Физическая культура и спорт</t>
  </si>
  <si>
    <t>Обеспечение деятельности  муниципального казенного учреждения "Ситуационный центр "Комплексное обеспечение безопасности жизнедеятельности"</t>
  </si>
  <si>
    <t>Осуществление части полномочий по решению вопросов местного значения в соответствии с заключенными соглашениями</t>
  </si>
  <si>
    <t>Рз,Пр</t>
  </si>
  <si>
    <t>000 01 05 02 01 00 0000 510</t>
  </si>
  <si>
    <t>Сохранение и развитие традиционной народной культуры муниципального образования</t>
  </si>
  <si>
    <t xml:space="preserve">Сохранение и развитие традиционной народной культуры муниципального образования </t>
  </si>
  <si>
    <t>Единый налог на вмененный доход для отдельных видов деятельности</t>
  </si>
  <si>
    <t>10670</t>
  </si>
  <si>
    <t>10690</t>
  </si>
  <si>
    <t>10680</t>
  </si>
  <si>
    <t>Реализация полномочий в области строительства, архитектуры и градостроительства</t>
  </si>
  <si>
    <t xml:space="preserve">Муниципальная программа муниципального образования Апшеронский район "Развитие топливно-энергетического комплекса и жилищно-коммунального хозяйства" </t>
  </si>
  <si>
    <t>Коммунальное хозяйство</t>
  </si>
  <si>
    <t>Газификация населенных пунктов поселений муниципального образования Апшеронский район</t>
  </si>
  <si>
    <t>0502</t>
  </si>
  <si>
    <t>10820</t>
  </si>
  <si>
    <t>Выполнение других обязательств муниципального образования</t>
  </si>
  <si>
    <t>Содержание имущества, находящегося в муниципальной казне</t>
  </si>
  <si>
    <t>Основные мероприятия муниципальной программы</t>
  </si>
  <si>
    <t>Иные межбюджетные трансферты на организацию участия аварийно-спасательного отряда в ликвидации чрезвычайных ситуаций и иных происшествий на территории сельских поселений Апшеронского района</t>
  </si>
  <si>
    <t>Иные межбюджетные трансферты на реализацию полномочий по участию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</si>
  <si>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Иные межбюджетные трансферты на реализацию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</si>
  <si>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 xml:space="preserve">                                Приложение № 1 к решению Совета муниципального образования</t>
  </si>
  <si>
    <t xml:space="preserve">                                Приложение № 3 к решению Совета муниципального образования</t>
  </si>
  <si>
    <t xml:space="preserve">Дотации бюджетам бюджетной системы Российской Федерации </t>
  </si>
  <si>
    <t>Субвенции бюджетам бюджетной системы Российской Федерации</t>
  </si>
  <si>
    <t>Субвенции бюджетам бюджетной системы Российской Федерации*</t>
  </si>
  <si>
    <t xml:space="preserve">Дотации бюджетам бюджетной системы Российской Федерации* </t>
  </si>
  <si>
    <t>субвенции на 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</si>
  <si>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</si>
  <si>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62500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</si>
  <si>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</si>
  <si>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01 06 05 02 05 0000 540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</si>
  <si>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</si>
  <si>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</si>
  <si>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</si>
  <si>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</si>
  <si>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0703</t>
  </si>
  <si>
    <t>Дополнительное образование детей</t>
  </si>
  <si>
    <t xml:space="preserve">Молодежная политика </t>
  </si>
  <si>
    <t>Приложение № 17 к решению Совета муниципального образования</t>
  </si>
  <si>
    <t>Приложение № 18 к решению Совета муниципального образования</t>
  </si>
  <si>
    <t>Информатизация деятельности органов местного самоуправления</t>
  </si>
  <si>
    <t>Мероприятия по информатизации администрации муниципального образования, ее отраслевых (функциональных) органов</t>
  </si>
  <si>
    <t>11840</t>
  </si>
  <si>
    <t>Обеспечение информационной открытости и доступности информации о деятельности органов местного самоуправления</t>
  </si>
  <si>
    <t>Пенсионное обеспечение</t>
  </si>
  <si>
    <t>11850</t>
  </si>
  <si>
    <t xml:space="preserve">Выплата пенсии за выслугу лет лицам, замещавшим муниципальные должности и муниципальные должности муниципальной службы в органах местного самоуправления </t>
  </si>
  <si>
    <t>субвенции на 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</si>
  <si>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 xml:space="preserve">субвенции на 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 </t>
  </si>
  <si>
    <t>субвенции на 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</si>
  <si>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субвенции на 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</si>
  <si>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 xml:space="preserve">субвенции на 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 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</si>
  <si>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</si>
  <si>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</si>
  <si>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</si>
  <si>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</si>
  <si>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Физическая культура</t>
  </si>
  <si>
    <t>Содействие развитию спортивных организаций</t>
  </si>
  <si>
    <t>Меры государственной поддержки лиц, замещавших муниципальные должности и муниципальные должности муниципальной службы муниципального образования Апшеронский район</t>
  </si>
  <si>
    <t>Условно утвержденные расходы</t>
  </si>
  <si>
    <t>% УУР</t>
  </si>
  <si>
    <t>УУР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</si>
  <si>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</si>
  <si>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Наименование кода группы, подгруппы, статьи, подвида, аналитической группы вида источников финансирования дефицитов бюджетов</t>
  </si>
  <si>
    <t>Вид заимствований</t>
  </si>
  <si>
    <t xml:space="preserve">  Направление (цель)       гарантирова-ния</t>
  </si>
  <si>
    <t>обеспечение исполнения обязательств принципала перед гарантом</t>
  </si>
  <si>
    <t>аппарат соцсферы</t>
  </si>
  <si>
    <t>соцкультсфера (без аппарата)</t>
  </si>
  <si>
    <t>Система комплексного обеспечения безопасности жизнедеятельности муниципального образования. Построение и развитие АПК "Безопасный город"</t>
  </si>
  <si>
    <t>Субсидии бюджетам бюджетной системы Российской Федерации (межбюджетные субсидии)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</si>
  <si>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</si>
  <si>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</si>
  <si>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</si>
  <si>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10810</t>
  </si>
  <si>
    <t>Мероприятия по землеустройству и землепользованию</t>
  </si>
  <si>
    <t>Обеспечение строительства газопроводов на территории муниципального образования Апшеронский район</t>
  </si>
  <si>
    <t xml:space="preserve">                                Приложение № 5 к решению Совета муниципального образования</t>
  </si>
  <si>
    <t>Поддержка социально ориентированных некоммерческих организаций, осуществляющих свою деятельность в области физической культуры и спорта</t>
  </si>
  <si>
    <t>20030</t>
  </si>
  <si>
    <t>Осуществление части полномочий по исполнению бюджета поселения</t>
  </si>
  <si>
    <t>Прочие обязательства муниципального образования</t>
  </si>
  <si>
    <t>Субсидия бюджетам муниципальных районов на поддержку отрасли культуры</t>
  </si>
  <si>
    <t>62600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</si>
  <si>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</si>
  <si>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Начальник Финансового управления</t>
  </si>
  <si>
    <t xml:space="preserve">администрации муниципального образования </t>
  </si>
  <si>
    <t>Апшеронский район</t>
  </si>
  <si>
    <t>2020 год</t>
  </si>
  <si>
    <t xml:space="preserve">                                Приложение № 6 к решению Совета муниципального образования</t>
  </si>
  <si>
    <t>субвенции на осуществление отдельных государственных полномочий Краснодарского края по организации оздоровления и отдыха детей</t>
  </si>
  <si>
    <t>РУО</t>
  </si>
  <si>
    <t>Осуществление отдельных государственных полномочий Краснодарского края по организации оздоровления и отдыха детей</t>
  </si>
  <si>
    <t xml:space="preserve">Доходы от уплаты акцизов на дизельное топливо, моторные масла для дизельных и (или) карбюраторных (инжекторных) двигателей,  автомобильный бензин, прямогонный бензин, производимые на территории Российской Федерации, подлежащие зачислению в бюджет субъекта Российской Федерации*
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</si>
  <si>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</si>
  <si>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</si>
  <si>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Обеспечение своевременности и полноты исполнения долговых обязательств муниципального образования</t>
  </si>
  <si>
    <t>Процентные платежи по муниципальному долгу</t>
  </si>
  <si>
    <t>11810</t>
  </si>
  <si>
    <t>Обслуживание государственного (муниципального) долга</t>
  </si>
  <si>
    <t>700</t>
  </si>
  <si>
    <t>11880</t>
  </si>
  <si>
    <t>Материально-техническое обеспечение деятельности органов местного самоуправления муниципального образования</t>
  </si>
  <si>
    <t>09020</t>
  </si>
  <si>
    <t>Осуществление муниципальными учреждениями капитального ремонта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</si>
  <si>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</si>
  <si>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</si>
  <si>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</si>
  <si>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</si>
  <si>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</si>
  <si>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</si>
  <si>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</si>
  <si>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1300</t>
  </si>
  <si>
    <t>1301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</si>
  <si>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</si>
  <si>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"Об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крае"</t>
  </si>
  <si>
    <t>Судебная система</t>
  </si>
  <si>
    <t>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</si>
  <si>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</si>
  <si>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</si>
  <si>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1 13 00000 00 0000 000</t>
  </si>
  <si>
    <t xml:space="preserve">                                Приложение № 13 к решению Совета муниципального образования</t>
  </si>
  <si>
    <t>О.В.Чуйко</t>
  </si>
  <si>
    <t>0105</t>
  </si>
  <si>
    <t>S0570</t>
  </si>
  <si>
    <t>Реализация мероприятий государственной программы Краснодарского края "Развитие санаторно-курортного и туристского комплекса"</t>
  </si>
  <si>
    <t>Нормативы распределения доходов между районным бюджетом</t>
  </si>
  <si>
    <t>и бюджетами городских и сельских поселений Апшеронского района</t>
  </si>
  <si>
    <t>Районный бюджет</t>
  </si>
  <si>
    <t>Бюджеты городских поселений</t>
  </si>
  <si>
    <t>Бюджеты сельских поселений</t>
  </si>
  <si>
    <t>Доходы от погашения задолженности и перерасчетов по отмененным налогам, сборам и иным обязательным платежам</t>
  </si>
  <si>
    <t>Налог на рекламу, мобилизуемый на территориях муниципальных районов</t>
  </si>
  <si>
    <t xml:space="preserve">Курортный сбор, мобилизуемый на территориях муниципальных районов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</si>
  <si>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</si>
  <si>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Лицензионный сбор за право торговли спиртными напитками, мобилизуемый на территориях муниципальных районов</t>
  </si>
  <si>
    <t>Прочие местные налоги и сборы, мобилизуемые на территориях муниципальных районов</t>
  </si>
  <si>
    <t>Доходы от использования имущества, находящегося в муниципальной собственности</t>
  </si>
  <si>
    <t>Доходы от размещения временно свободных средств бюджетов муниципальных районов</t>
  </si>
  <si>
    <t>Доходы от размещения временно свободных средств бюджетов городских поселений</t>
  </si>
  <si>
    <t>Доходы от размещения временно свободных средств бюджетов сельских поселений</t>
  </si>
  <si>
    <t>Прочие доходы от оказания платных услуг (работ) получателями средств бюджетов городских поселений</t>
  </si>
  <si>
    <t>Прочие доходы от оказания платных услуг (работ) получателями средств бюджетов сельских поселений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</si>
  <si>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</si>
  <si>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</si>
  <si>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</si>
  <si>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муниципальных районов</t>
  </si>
  <si>
    <t>Прочие доходы от компенсации затрат бюджетов городских поселений</t>
  </si>
  <si>
    <t>Прочие доходы от компенсации затрат бюджетов сельских поселений</t>
  </si>
  <si>
    <t>Административные платежи и сборы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</si>
  <si>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</si>
  <si>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</si>
  <si>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</si>
  <si>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Штрафы, санкции, возмещение ущерба</t>
  </si>
  <si>
    <t>Прочие неналоговые доходы</t>
  </si>
  <si>
    <t>Невыясненные поступления, зачисляемые в бюджеты городских поселений</t>
  </si>
  <si>
    <t>Невыясненные поступления, зачисляемые в бюджеты сельских поселений</t>
  </si>
  <si>
    <t>Прочие неналоговые доходы бюджетов муниципальных районов</t>
  </si>
  <si>
    <t>Прочие неналоговые доходы бюджетов городских поселений</t>
  </si>
  <si>
    <t>Прочие неналоговые доходы бюджетов сельских поселений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</si>
  <si>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поселений (по обязательствам, возникшим до 1 января 2008 года)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</si>
  <si>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</si>
  <si>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Средства самообложения граждан, зачисляемые в бюджеты муниципальных районов</t>
  </si>
  <si>
    <t>Средства самообложения граждан, зачисляемые в бюджеты городских поселений</t>
  </si>
  <si>
    <t>Средства самообложения граждан, зачисляемые в бюджеты сельских поселений</t>
  </si>
  <si>
    <t xml:space="preserve">                                Приложение № 4 к решению Совета муниципального образования</t>
  </si>
  <si>
    <t>60740</t>
  </si>
  <si>
    <t xml:space="preserve">                                Приложение № 8 к решению Совета муниципального образования</t>
  </si>
  <si>
    <t xml:space="preserve">                                Приложение № 10 к решению Совета муниципального образования</t>
  </si>
  <si>
    <t xml:space="preserve">                                Приложение № 9 к решению Совета муниципального образования</t>
  </si>
  <si>
    <t>2 02 29999 05 0000 150</t>
  </si>
  <si>
    <t>2 02 30024 05 0000 150</t>
  </si>
  <si>
    <t>2 02 35120 05 0000 150</t>
  </si>
  <si>
    <t>2 02 15001 05 0000 150</t>
  </si>
  <si>
    <t>2 02 15002 05 0000 150</t>
  </si>
  <si>
    <t>2 02 40014 05 0000 150</t>
  </si>
  <si>
    <t>2 02 35082 05 0000 150</t>
  </si>
  <si>
    <t>2 02 39999 05 0000 150</t>
  </si>
  <si>
    <t>2 02 49999 05 0000 150</t>
  </si>
  <si>
    <t>2 02 30029 05 0000 150</t>
  </si>
  <si>
    <t>2 02 25519 05 0000 150</t>
  </si>
  <si>
    <t>2 02 30027 05 0000 150</t>
  </si>
  <si>
    <t>2021 год</t>
  </si>
  <si>
    <t>2 02 10000 00 0000 150</t>
  </si>
  <si>
    <t>2 02 15001 00 0000 150</t>
  </si>
  <si>
    <t>2 02 20000 00 0000 150</t>
  </si>
  <si>
    <t>2 02 29999 00 0000 150</t>
  </si>
  <si>
    <t>2 02 30000 00 0000 150</t>
  </si>
  <si>
    <t>2 02 30024 00 0000 150</t>
  </si>
  <si>
    <t>2 02 30027 00 0000 150</t>
  </si>
  <si>
    <t>2 02 30029 00 0000 150</t>
  </si>
  <si>
    <t>2 02 35120 00 0000 150</t>
  </si>
  <si>
    <t>2 18 05010 05 0000 150</t>
  </si>
  <si>
    <t>2 19 60010 05 0000 150</t>
  </si>
  <si>
    <t>Доходы от оказания платных услуг и компенсации затрат государства*</t>
  </si>
  <si>
    <t>2 08 05000 05 0000 150</t>
  </si>
  <si>
    <t>(процентов)</t>
  </si>
  <si>
    <t>Доходы от оказания платных услуг и компенсации затрат государства</t>
  </si>
  <si>
    <t xml:space="preserve">                                Приложение № 11 к решению Совета муниципального образования</t>
  </si>
  <si>
    <t xml:space="preserve">                                Приложение № 12 к решению Совета муниципального образования</t>
  </si>
  <si>
    <t xml:space="preserve">                                Приложение № 14 к решению Совета муниципального образования</t>
  </si>
  <si>
    <t xml:space="preserve">                                Приложение № 15 к решению Совета муниципального образования</t>
  </si>
  <si>
    <t xml:space="preserve">                                Приложение № 16 к решению Совета муниципального образования</t>
  </si>
  <si>
    <t>Приложение № 19 к решению Совета муниципального образования</t>
  </si>
  <si>
    <t xml:space="preserve">                                Приложение № 20 к решению Совета муниципального образования</t>
  </si>
  <si>
    <t>Приложение № 21 к решению Совета муниципального образования</t>
  </si>
  <si>
    <t>Приложение № 7 к решению Совета муниципального образования</t>
  </si>
  <si>
    <t xml:space="preserve">За счет источников финансирования дефицита районного бюджета, всего   </t>
  </si>
  <si>
    <t>10700</t>
  </si>
  <si>
    <t>2 02 40000 00 0000 150</t>
  </si>
  <si>
    <t>2022 год</t>
  </si>
  <si>
    <t>Безвозмездные поступления из краевого бюджета в 2020 году</t>
  </si>
  <si>
    <t>субсидии на создание условий для организации досуга и обеспечения жителей поселения, городского округа услугами организаций культуры, либо по созданию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</si>
  <si>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субсидии на организацию библиотечного обслуживания населения, комплектование и обеспечение сохранности библиотечных фондов библиотек поселений, межпоселенческих библиотек и библиотек городского округа</t>
  </si>
  <si>
    <t>субсидии на обеспечение условий для развития физической культуры и массового спорта в части оплаты труда инструкторов по спорту</t>
  </si>
  <si>
    <t>на 2020 год и на плановый период 2021 и 2022 годов</t>
  </si>
  <si>
    <t>классификации расходов бюджетов на 2020 год</t>
  </si>
  <si>
    <t>классификации расходов бюджетов на 2021 и 2022 годы</t>
  </si>
  <si>
    <t>Ведомственная структура расходов районного бюджета на 2020 год</t>
  </si>
  <si>
    <t>Осуществление отдельных государственных полномочий Краснодарского края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</si>
  <si>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Обеспечение проведения выборов и референдумов</t>
  </si>
  <si>
    <t>Проведение выборов</t>
  </si>
  <si>
    <t>Проведение выборов в представительный орган муниципального образования</t>
  </si>
  <si>
    <t>11910</t>
  </si>
  <si>
    <t>Содержание муниципального архива</t>
  </si>
  <si>
    <t>11860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</si>
  <si>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</si>
  <si>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Меры социальной поддержки отдельным категориям работников здравоохранения</t>
  </si>
  <si>
    <t>10130</t>
  </si>
  <si>
    <t>Мероприятия по организации отдыха детей в каникулярное время</t>
  </si>
  <si>
    <t>00400</t>
  </si>
  <si>
    <t>S2820</t>
  </si>
  <si>
    <t>Совершенствование спортивной инфраструктуры и материально-технической базы для занятий физической культурой и массовым спортом</t>
  </si>
  <si>
    <t>16</t>
  </si>
  <si>
    <t>11700</t>
  </si>
  <si>
    <t>Федеральный проект "Культурная среда"</t>
  </si>
  <si>
    <t>А1</t>
  </si>
  <si>
    <t>Создание условий для организации досуга и обеспечения жителей услугами организаций культуры</t>
  </si>
  <si>
    <t>S0560</t>
  </si>
  <si>
    <t>921</t>
  </si>
  <si>
    <t>Организация газоснабжения населения (поселений)</t>
  </si>
  <si>
    <t>S0620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</si>
  <si>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</si>
  <si>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С0820</t>
  </si>
  <si>
    <t>R0820</t>
  </si>
  <si>
    <t>Организация теплоснабжения населения</t>
  </si>
  <si>
    <t>S1070</t>
  </si>
  <si>
    <t>2 18 60010 05 0000 150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</si>
  <si>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</si>
  <si>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2 02 25169 05 0000 150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</si>
  <si>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</si>
  <si>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</si>
  <si>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</si>
  <si>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</si>
  <si>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2 02 25519 00 0000 150</t>
  </si>
  <si>
    <t>субсидии на защиту населения и территории муниципальных образований от чрезвычайных ситуаций природного характера на объектах туристского показа, находящихся в муниципальной собственности</t>
  </si>
  <si>
    <t>субсидии на организацию предоставления дополнительного образования детей в муниципальных образовательных организациях в части оснащения образовательных организаций в сфере культуры музыкальными инструментами, оборудованием и учебными материалами в рамках реализации регионального проекта "Культурная среда"</t>
  </si>
  <si>
    <t>субвенции на 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</si>
  <si>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>субвенции на осуществление отдельных государственных полномочий Краснодарского края по поддержке сельскохозяйственного производства</t>
  </si>
  <si>
    <t xml:space="preserve">субвенции на осуществление отдельных государственных полномочий Краснодарского края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 </t>
  </si>
  <si>
    <t xml:space="preserve">субвенции на 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 </t>
  </si>
  <si>
    <t>муниципальные дошкольные образовательные организации, общеобразовательные организации, организации дополнительного   образования (в области образования)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</si>
  <si>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</si>
  <si>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</si>
  <si>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государственной итоговой аттестации по образовательным программам основного общего и среднего общего образования, компенсации за работу по подготовке и проведению указанной государственной итоговой аттестации</t>
  </si>
  <si>
    <t>субсидии на организацию газоснабжения населения (поселений) (строительство подводящих газопроводов, 
распределительных газопроводов)</t>
  </si>
  <si>
    <t>Субсидия бюджетам на поддержку отрасли культуры</t>
  </si>
  <si>
    <t xml:space="preserve">субсидии на участие в профилактике терроризма в части обеспечения инженерно-технической защищенности муниципальных образовательных организаций
</t>
  </si>
  <si>
    <t>субсидии на участие в осуществлении мероприятий по предупреждению детского дорожно-транспортного травматизма на территории  муниципальных образований Краснодарского края</t>
  </si>
  <si>
    <t>Объем поступлений доходов в районный бюджет по кодам видов (подвидов) доходов на 2020 год</t>
  </si>
  <si>
    <t>Объем поступлений доходов в районный бюджет по кодам видов (подвидов) доходов на 2021 и 2022 годы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</si>
  <si>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на 2020 год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</si>
  <si>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2021 и 2022 годы</t>
  </si>
  <si>
    <t>Источники внутреннего финансирования дефицита районного бюджета,                                                                                                                                                                                                                                                                перечень статей источников финансирования дефицитов бюджетов на 2020 год</t>
  </si>
  <si>
    <t>925</t>
  </si>
  <si>
    <t>Объем межбюджетных трансфертов, предоставляемых другим бюджетам                                                                                                                                                                                                                                                                             бюджетной системы Российской Федерации, на 2021 и 2022 годы</t>
  </si>
  <si>
    <t>Нефтегорское городское поселение</t>
  </si>
  <si>
    <t>1 08 07150 01 0000 110</t>
  </si>
  <si>
    <t xml:space="preserve">Государственная пошлина  за выдачу разрешения на установку рекламной конструкции 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</si>
  <si>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</si>
  <si>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</si>
  <si>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1 13 01995 05 0000 130</t>
  </si>
  <si>
    <t>1 13 02995 05 0000 130</t>
  </si>
  <si>
    <t>Прочие доходы от компенсации затрат бюджетов муниципальных районов*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</si>
  <si>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</si>
  <si>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</si>
  <si>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</si>
  <si>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</si>
  <si>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1 16 09040 05 0000 140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</si>
  <si>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</si>
  <si>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1 16 10031 05 0000 140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</si>
  <si>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</si>
  <si>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1 16 10061 05 0000 140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</si>
  <si>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</si>
  <si>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1 16 10062 05 0000 140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</si>
  <si>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</si>
  <si>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1 16 10081 05 0000 140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</si>
  <si>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</si>
  <si>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1 16 10082 05 0000 140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</si>
  <si>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</si>
  <si>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1 16 10123 01 0000 140</t>
  </si>
  <si>
    <t>1 17 01050 05 0000 180</t>
  </si>
  <si>
    <t>1 17 05050 05 0000 180</t>
  </si>
  <si>
    <t>2 07 05010 05 0000 150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</si>
  <si>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</si>
  <si>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2 07 05020 05 0000 150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</si>
  <si>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</si>
  <si>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2 07 05030 05 0000 150</t>
  </si>
  <si>
    <t>Прочие безвозмездные поступления в бюджеты муниципальных районов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</si>
  <si>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</si>
  <si>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</si>
  <si>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1 16 01157 01 0000 140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</si>
  <si>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</si>
  <si>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</si>
  <si>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</si>
  <si>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1 16 01054 01 0000 140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</si>
  <si>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</si>
  <si>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</si>
  <si>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1 11 02085 05 0000 120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</si>
  <si>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</si>
  <si>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</si>
  <si>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участков*</t>
  </si>
  <si>
    <t>Доходы от перечисления части прибыли, остающейся  после уплаты налогов и иных обязательных платежей муниципальных унитарных предприятий, созданных муниципальными районами</t>
  </si>
  <si>
    <t>1 13 02065 05 0000 130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</si>
  <si>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</si>
  <si>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</si>
  <si>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</si>
  <si>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</si>
  <si>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</si>
  <si>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</si>
  <si>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</si>
  <si>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</si>
  <si>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</si>
  <si>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районов*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</si>
  <si>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</si>
  <si>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</si>
  <si>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</si>
  <si>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</si>
  <si>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1 14 13050 05 0000 410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</si>
  <si>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</si>
  <si>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района*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</si>
  <si>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</si>
  <si>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</si>
  <si>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01 06 01 00 05 0000 630</t>
  </si>
  <si>
    <t>Средства от продажи акций и иных форм участия в капитале, находящихся в собственности муниципальных районов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</si>
  <si>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</si>
  <si>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</si>
  <si>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главного администратора доходов районного бюджета (главного администратора источников финансирования дефицита районного бюджета)</t>
  </si>
  <si>
    <t>доходов районного бюджета (источников финансирования дефицита районного бюджета)</t>
  </si>
  <si>
    <t>1 06 02000 02 0000 110</t>
  </si>
  <si>
    <t>Налог на имущество организаций*</t>
  </si>
  <si>
    <t>Источники внутреннего финансирования дефицита районного бюджета,                                                                                                                                                                                                                                                                перечень статей источников финансирования дефицитов бюджетов на 2021 и 2022 годы</t>
  </si>
  <si>
    <t>образования Апшеронский  район на 2020 год и на плановый период 2021 и 2022 годов</t>
  </si>
  <si>
    <t xml:space="preserve">Программа муниципальных внутренних заимствований муниципального </t>
  </si>
  <si>
    <r>
      <t xml:space="preserve">Раздел 1. </t>
    </r>
    <r>
      <rPr>
        <sz val="14"/>
        <rFont val="Times New Roman"/>
        <family val="1"/>
        <charset val="204"/>
      </rPr>
      <t>Программа муниципальных внутренних заимствований муниципального образования Апшеронский район на 2020 год</t>
    </r>
  </si>
  <si>
    <r>
      <t xml:space="preserve">Раздел 2. </t>
    </r>
    <r>
      <rPr>
        <sz val="14"/>
        <rFont val="Times New Roman"/>
        <family val="1"/>
        <charset val="204"/>
      </rPr>
      <t>Программа муниципальных внутренних заимствований муниципального образования Апшеронский  район на 2021 и 2022 годы</t>
    </r>
  </si>
  <si>
    <t>в валюте Российской Федерации на 2020 год и на плановый период 2021 и 2022 годов</t>
  </si>
  <si>
    <t>Раздел 1. Перечень подлежащих предоставлению муниципальных гарантий муниципального образования Апшеронский район в 2020 году и в плановом периоде 2021 и 2022 годов</t>
  </si>
  <si>
    <t>Раздел 2. Общий объем бюджетных ассигнований, предусмотренных на исполнение муниципальных гарантий муниципального образования Апшеронский район по возможным гарантийным случаям, в 2020 году и в плановом периоде 2021 и 2022 годов</t>
  </si>
  <si>
    <t>Объем межбюджетных трансфертов, предоставляемых другим бюджетам бюджетной системы Российской Федерации, на 2020 год</t>
  </si>
  <si>
    <t>0107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</si>
  <si>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</si>
  <si>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Реализация мероприятий государственной программы Краснодарского края "Развитие образования"</t>
  </si>
  <si>
    <t>S0600</t>
  </si>
  <si>
    <t>Федеральный проект "Современная школа"</t>
  </si>
  <si>
    <t>Е1</t>
  </si>
  <si>
    <t>Осуществление мероприятий по предупреждению детского дорожно-транспортного травматизма</t>
  </si>
  <si>
    <t>S2470</t>
  </si>
  <si>
    <t>Профилактика терроризма</t>
  </si>
  <si>
    <t>S0460</t>
  </si>
  <si>
    <t>субвенции на 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</t>
  </si>
  <si>
    <t>субсидии на организацию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</si>
  <si>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</t>
  </si>
  <si>
    <t>55190</t>
  </si>
  <si>
    <t>Государственная поддержка отрасли культура</t>
  </si>
  <si>
    <t>Иные межбюджетные трансферты бюджетам бюджетной системы Российской Федерации</t>
  </si>
  <si>
    <t>Иные межбюджетные трансферты</t>
  </si>
  <si>
    <t xml:space="preserve">2 02 40014 00 0000 150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</si>
  <si>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</si>
  <si>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субсидии на организацию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рамках реализации мероприятий регионального проекта Краснодарского края "Современная школа"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</si>
  <si>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</si>
  <si>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 xml:space="preserve"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</si>
  <si>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</si>
  <si>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>Безвозмездные поступления                                                                                                                     из бюджетов поселений на осуществление части полномочий                                                                                 по решению вопросов местного значения                                                                                                    в соответствии с заключенными соглашениями в 2020 году</t>
  </si>
  <si>
    <t>Объем дотаций на выравнивание бюджетной обеспеченности поселений и их распределение между поселениями на 2020 год</t>
  </si>
  <si>
    <t>Объем дотаций на выравнивание бюджетной обеспеченности поселений и их распределение между поселениями 
на 2021 и 2022 годы</t>
  </si>
  <si>
    <t>Безвозмездные поступления из краевого бюджета в 2021 и 2022 годах</t>
  </si>
  <si>
    <t>Ведомственная структура расходов районного бюджета на 2021 и 2022 годы</t>
  </si>
  <si>
    <t>Компенсация за наём жилых помещений отдельным категориям работников, являющихся работниками учреждений здравоохранения</t>
  </si>
  <si>
    <t>субсидии на реализацию мероприятий по формированию и содержанию муниципальных архивов</t>
  </si>
  <si>
    <t>субсидии на строительство, реконструкцию (в том числе реконструкцию объектов незавершенного строительства) и техническое перевооружение объектов общественной инфраструктуры муниципального значения, приобретение объектов недвижимости</t>
  </si>
  <si>
    <t>2 02 35469 00 0000 150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</si>
  <si>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</si>
  <si>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</si>
  <si>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Субвенции бюджетам на проведение Всероссийской переписи населения 2020 года</t>
  </si>
  <si>
    <t xml:space="preserve">Департамент потребительской сферы и регулирования рынка алкоголя Краснодарского края 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</si>
  <si>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действующим до 1 января 2020 года</t>
  </si>
  <si>
    <t>Министерство экономики Краснодарского края</t>
  </si>
  <si>
    <t xml:space="preserve">Министерство сельского хозяйства и перерабатывающей промышленности Краснодарского края </t>
  </si>
  <si>
    <t xml:space="preserve">Департамент имущественных отношений Краснодарского края </t>
  </si>
  <si>
    <t>Министерство здравоохранения Краснодарского края</t>
  </si>
  <si>
    <t>Министерство труда и социального развития Краснодарского края</t>
  </si>
  <si>
    <t>Департамент ветеринарии Краснодарского края</t>
  </si>
  <si>
    <t>Департамент по надзору в строительной сфере Краснодарского края</t>
  </si>
  <si>
    <t>Департамент по обеспечению деятельности мировых судей Краснодарского края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</si>
  <si>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</si>
  <si>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</si>
  <si>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</si>
  <si>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</si>
  <si>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</si>
  <si>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</si>
  <si>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</si>
  <si>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</si>
  <si>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</si>
  <si>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</si>
  <si>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</si>
  <si>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</si>
  <si>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</si>
  <si>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</si>
  <si>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</si>
  <si>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</si>
  <si>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</si>
  <si>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</si>
  <si>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</si>
  <si>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</si>
  <si>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</si>
  <si>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</si>
  <si>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</si>
  <si>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</si>
  <si>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</si>
  <si>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</si>
  <si>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</si>
  <si>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</si>
  <si>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</si>
  <si>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</si>
  <si>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</si>
  <si>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</si>
  <si>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Государственная жилищная инспекция Краснодарского края</t>
  </si>
  <si>
    <t>Министерство природных ресурсов Краснодарского края</t>
  </si>
  <si>
    <t xml:space="preserve">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</si>
  <si>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>1 16 10100 05 0000 140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</si>
  <si>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</si>
  <si>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</si>
  <si>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2 02 25169 00 0000 150</t>
  </si>
  <si>
    <t>Мероприятия по формированию и содержанию муниципальных архивов</t>
  </si>
  <si>
    <t>S0610</t>
  </si>
  <si>
    <t>Проведение Всероссийской переписи населения 2020 года</t>
  </si>
  <si>
    <t>54690</t>
  </si>
  <si>
    <t>Формирование официальной статистической информации</t>
  </si>
  <si>
    <t>Муниципальная программа муниципального образования Апшеронский район «Развитие образования»</t>
  </si>
  <si>
    <t>Развитие дошкольного и общего образования</t>
  </si>
  <si>
    <t>Развитие общественной инфраструктуры муниципального значения</t>
  </si>
  <si>
    <t>S0470</t>
  </si>
  <si>
    <t>51690</t>
  </si>
  <si>
    <t>S1690</t>
  </si>
  <si>
    <t>R3</t>
  </si>
  <si>
    <t>Федеральный проект "Безопасность дорожного движения"</t>
  </si>
  <si>
    <t xml:space="preserve">Реализация мероприятий государственной программы Краснодарского края "Развитие образования"
</t>
  </si>
  <si>
    <t>Создание (обновление) материально-технической базы для реализации основных и дополнительных обзеобразовательных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</si>
  <si>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Наименование принципала</t>
  </si>
  <si>
    <t>наличие права регрессного требования гаранта к принципалу</t>
  </si>
  <si>
    <t>Создание (обновление) материально 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</si>
  <si>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Обеспечение условий для развития физической культуры и массового спорта в части оплаты труда инструкторов по спорту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</si>
  <si>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</si>
  <si>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общеобразовательных организациях (проведение капитального ремонта спортивных залов муниципальных общеобразовательных организаций, помещений при них, других помещений физкультурно-спортивного назначения, физкультурно-оздоровительных комплексов)</t>
  </si>
  <si>
    <t xml:space="preserve">субвенции на 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 </t>
  </si>
  <si>
    <t>субсидии на организацию теплоснабжения населения (строительство (реконструкция, техническое перевооружение) объектов теплоснабжения населения (котельных, тепловых сетей, тепловых пунктов)</t>
  </si>
  <si>
    <t>до изменений (скрыть)</t>
  </si>
  <si>
    <t>изменения</t>
  </si>
  <si>
    <t>с учетом изменений</t>
  </si>
  <si>
    <t xml:space="preserve">                                Приложение № 7 к решению Совета муниципального образования</t>
  </si>
  <si>
    <t>8</t>
  </si>
  <si>
    <t>Апшеронский район от 26.12.2019 № 363</t>
  </si>
  <si>
    <t>S2960</t>
  </si>
  <si>
    <t>Организация библиотечного обслуживания населения, комплектование и обеспечение сохранности библиотечных фондов библиотек поселений, межпоселенческих библиотек и библиотек городского округа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</si>
  <si>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действующим до 1 января 2020 года*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</si>
  <si>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</si>
  <si>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</si>
  <si>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Перечень главных администраторов доходов районного бюджета и закрепляемые                                       за ними виды (подвиды) доходов районного бюджета и перечень главных администраторов источников финансирования дефицита районного бюджета</t>
  </si>
  <si>
    <t>Социальное обеспечение населения</t>
  </si>
  <si>
    <t>98</t>
  </si>
  <si>
    <t>Непредвиденные расходы в части исполнения публичных нормативных обязательств</t>
  </si>
  <si>
    <t>Единовременная материальная помощь гражданам, пострадавшим в результате чрезвычайной ситуации</t>
  </si>
  <si>
    <t>11890</t>
  </si>
  <si>
    <t>Оказание финансовой помощи гражданам, пострадавшим в результате чрезвычайной ситуации</t>
  </si>
  <si>
    <t>Единовременная финансовая помощь в связи с утратой имущества первой необходимости за частично утраченное имущество</t>
  </si>
  <si>
    <t>60580</t>
  </si>
  <si>
    <t>Осуществление отдельных государственных полномочий по выплате единовременного пособия детям‑сиротам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</si>
  <si>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60960</t>
  </si>
  <si>
    <t>Здравоохранение</t>
  </si>
  <si>
    <t>Амбулаторная помощь</t>
  </si>
  <si>
    <t>Осуществление переданных государственных полномочий по строительству и реконструкции объектов здравоохранения</t>
  </si>
  <si>
    <t>Осуществление отдельных государственных полномочий по строительству зданий, включая проектно‑изыскательские работы, для размещения фельдшерско‑акушерских пунктов, фельдшерских пунктов, врачебных амбулаторий и офисов врача общей практики, а также строительство иных объектов здравоохранения, начатое до 1 января 2019 го­да, необходимых для организации оказания медицинской помощи в соответствии с территориальной программой госу­дарственных гарантий бесплатного оказания гражданам медицинской помощи в Краснодарском крае</t>
  </si>
  <si>
    <t>0900</t>
  </si>
  <si>
    <t>0902</t>
  </si>
  <si>
    <t>63110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</si>
  <si>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</si>
  <si>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субвенции на 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</si>
  <si>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субвенции на 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</si>
  <si>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</si>
  <si>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</si>
  <si>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</si>
  <si>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</si>
  <si>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</si>
  <si>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</si>
  <si>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</si>
  <si>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</si>
  <si>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</si>
  <si>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</si>
  <si>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1 16 11030 01 0000 140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</si>
  <si>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
</t>
  </si>
  <si>
    <t>новый</t>
  </si>
  <si>
    <t>1 16 11050 01 0000 140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</si>
  <si>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
</t>
  </si>
  <si>
    <t xml:space="preserve">Административные штрафы, 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</si>
  <si>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субвенции на осуществление отдельных государственных полномочий по строительству зданий, включая проектно изыскательские работы, для размещения фельдшерско акушерских пунктов, фельдшерских пунктов, врачебных амбулаторий и офисов врача общей практики, а также строительство иных объектов здравоохранения, начатое до 1 января 2019 года,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организациях, перечень которых утверждается уполномоченным Правительством Российской Федерации федеральным органом исполнительной власти, и медицинской помощи, оказываемой в специализированных кожно венерологических, противотуберкулезных, наркологических, онкологических диспансерах и других специализированных медицинских организациях) в Краснодарском крае
</t>
  </si>
  <si>
    <t>Осуществление отдельных государственных полномочий по строительству зданий, включая проектно‑изыскательские работы, для размещения фельдшерско‑акушерских пунктов, фельдшерских пунктов, врачебных амбулаторий и офисов врача общей практики, а также строительство иных объектов здравоохранения, начатое до 1 января 2019 года,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</si>
  <si>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Дополнительная помощь местным бюджетам для решения социально значимых вопросов местного значения</t>
  </si>
  <si>
    <t>2 02 49999 00 0000 150</t>
  </si>
  <si>
    <t xml:space="preserve"> </t>
  </si>
  <si>
    <t>Прочие межбюджетные трансферты, передаваемые бюджетам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</si>
  <si>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</si>
  <si>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62980</t>
  </si>
  <si>
    <t>Апшеронский район от 26.03.2020г №383</t>
  </si>
  <si>
    <t>Апшеронский район от26.03.2020г №383</t>
  </si>
  <si>
    <t>Апшеронский район от_26.03.2020г №383</t>
  </si>
</sst>
</file>

<file path=xl/styles.xml><?xml version="1.0" encoding="utf-8"?>
<styleSheet xmlns="http://schemas.openxmlformats.org/spreadsheetml/2006/main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0.00000"/>
    <numFmt numFmtId="167" formatCode="0.0_ ;[Red]\-0.0\ "/>
    <numFmt numFmtId="168" formatCode="#,##0.00000"/>
    <numFmt numFmtId="169" formatCode="0.000000"/>
    <numFmt numFmtId="170" formatCode="0.00000_ ;[Red]\-0.00000\ "/>
    <numFmt numFmtId="171" formatCode="_-* #,##0.00000_р_._-;\-* #,##0.00000_р_._-;_-* &quot;-&quot;?????_р_._-;_-@_-"/>
    <numFmt numFmtId="172" formatCode="0.000"/>
    <numFmt numFmtId="173" formatCode="#,##0.0_ ;\-#,##0.0\ "/>
    <numFmt numFmtId="174" formatCode="#,##0.0_ ;[Red]\-#,##0.0\ "/>
  </numFmts>
  <fonts count="45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4"/>
      <name val="Arial Cyr"/>
      <charset val="204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Arial"/>
      <family val="2"/>
      <charset val="204"/>
    </font>
    <font>
      <b/>
      <i/>
      <sz val="14"/>
      <name val="Arial"/>
      <family val="2"/>
    </font>
    <font>
      <b/>
      <sz val="11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1"/>
      <name val="Calibri"/>
      <family val="2"/>
    </font>
    <font>
      <sz val="14"/>
      <color rgb="FFC00000"/>
      <name val="Times New Roman"/>
      <family val="1"/>
    </font>
    <font>
      <i/>
      <sz val="12"/>
      <name val="Times New Roman"/>
      <family val="1"/>
      <charset val="204"/>
    </font>
    <font>
      <b/>
      <i/>
      <sz val="12"/>
      <name val="Times New Roman"/>
      <family val="1"/>
    </font>
    <font>
      <sz val="14"/>
      <color rgb="FFFF0000"/>
      <name val="Times New Roman"/>
      <family val="1"/>
      <charset val="204"/>
    </font>
    <font>
      <i/>
      <sz val="12"/>
      <color rgb="FF0000FF"/>
      <name val="Times New Roman"/>
      <family val="1"/>
      <charset val="204"/>
    </font>
    <font>
      <sz val="12"/>
      <color rgb="FFC00000"/>
      <name val="Times New Roman"/>
      <family val="1"/>
    </font>
    <font>
      <sz val="14"/>
      <color rgb="FF00B050"/>
      <name val="Times New Roman"/>
      <family val="1"/>
    </font>
    <font>
      <b/>
      <sz val="12"/>
      <color rgb="FF00B050"/>
      <name val="Times New Roman"/>
      <family val="1"/>
    </font>
    <font>
      <sz val="14"/>
      <color rgb="FFFF0000"/>
      <name val="Times New Roman"/>
      <family val="1"/>
    </font>
    <font>
      <sz val="12"/>
      <color rgb="FF00B050"/>
      <name val="Times New Roman"/>
      <family val="1"/>
    </font>
    <font>
      <sz val="14"/>
      <color rgb="FF0000FF"/>
      <name val="Times New Roman"/>
      <family val="1"/>
    </font>
    <font>
      <sz val="14"/>
      <color theme="6" tint="-0.499984740745262"/>
      <name val="Times New Roman"/>
      <family val="1"/>
      <charset val="204"/>
    </font>
    <font>
      <sz val="14"/>
      <color theme="6" tint="-0.499984740745262"/>
      <name val="Times New Roman"/>
      <family val="1"/>
    </font>
    <font>
      <sz val="11"/>
      <color rgb="FF0000F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7"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9" fillId="0" borderId="0"/>
    <xf numFmtId="0" fontId="9" fillId="0" borderId="0"/>
    <xf numFmtId="41" fontId="21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</cellStyleXfs>
  <cellXfs count="897">
    <xf numFmtId="0" fontId="0" fillId="0" borderId="0" xfId="0"/>
    <xf numFmtId="0" fontId="3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0" xfId="1" applyFont="1" applyFill="1"/>
    <xf numFmtId="0" fontId="1" fillId="0" borderId="0" xfId="1" applyFont="1" applyFill="1" applyBorder="1" applyAlignment="1">
      <alignment wrapText="1"/>
    </xf>
    <xf numFmtId="0" fontId="1" fillId="0" borderId="0" xfId="7" applyFont="1" applyFill="1" applyAlignment="1">
      <alignment horizontal="right"/>
    </xf>
    <xf numFmtId="0" fontId="1" fillId="0" borderId="0" xfId="7" applyFont="1" applyFill="1" applyAlignment="1">
      <alignment wrapText="1"/>
    </xf>
    <xf numFmtId="0" fontId="1" fillId="0" borderId="0" xfId="1" applyFont="1" applyFill="1" applyAlignment="1">
      <alignment horizontal="center" vertical="center"/>
    </xf>
    <xf numFmtId="168" fontId="1" fillId="0" borderId="0" xfId="1" applyNumberFormat="1" applyFont="1" applyFill="1" applyAlignment="1">
      <alignment horizontal="right"/>
    </xf>
    <xf numFmtId="0" fontId="1" fillId="0" borderId="0" xfId="7" applyFont="1" applyFill="1" applyBorder="1"/>
    <xf numFmtId="168" fontId="1" fillId="0" borderId="0" xfId="1" applyNumberFormat="1" applyFont="1" applyFill="1"/>
    <xf numFmtId="0" fontId="1" fillId="0" borderId="0" xfId="7" applyFont="1" applyFill="1"/>
    <xf numFmtId="3" fontId="1" fillId="0" borderId="0" xfId="1" applyNumberFormat="1" applyFont="1" applyFill="1"/>
    <xf numFmtId="1" fontId="1" fillId="0" borderId="0" xfId="7" applyNumberFormat="1" applyFont="1" applyFill="1"/>
    <xf numFmtId="3" fontId="1" fillId="0" borderId="0" xfId="7" applyNumberFormat="1" applyFont="1" applyFill="1" applyBorder="1"/>
    <xf numFmtId="0" fontId="1" fillId="0" borderId="1" xfId="7" applyFont="1" applyFill="1" applyBorder="1" applyAlignment="1">
      <alignment horizontal="center" vertical="top"/>
    </xf>
    <xf numFmtId="0" fontId="1" fillId="0" borderId="1" xfId="7" applyFont="1" applyFill="1" applyBorder="1" applyAlignment="1">
      <alignment horizontal="center"/>
    </xf>
    <xf numFmtId="0" fontId="12" fillId="0" borderId="0" xfId="1" applyFont="1" applyFill="1"/>
    <xf numFmtId="168" fontId="1" fillId="0" borderId="0" xfId="7" applyNumberFormat="1" applyFont="1" applyFill="1" applyBorder="1"/>
    <xf numFmtId="0" fontId="13" fillId="0" borderId="0" xfId="3" applyFont="1" applyFill="1"/>
    <xf numFmtId="0" fontId="1" fillId="0" borderId="0" xfId="3" applyFont="1" applyFill="1"/>
    <xf numFmtId="166" fontId="13" fillId="0" borderId="0" xfId="3" applyNumberFormat="1" applyFont="1" applyFill="1"/>
    <xf numFmtId="0" fontId="1" fillId="0" borderId="1" xfId="3" applyFont="1" applyFill="1" applyBorder="1" applyAlignment="1">
      <alignment horizontal="center" wrapText="1"/>
    </xf>
    <xf numFmtId="0" fontId="2" fillId="0" borderId="1" xfId="3" applyFont="1" applyFill="1" applyBorder="1" applyAlignment="1"/>
    <xf numFmtId="0" fontId="1" fillId="0" borderId="1" xfId="3" applyFont="1" applyFill="1" applyBorder="1" applyAlignment="1">
      <alignment horizontal="left"/>
    </xf>
    <xf numFmtId="164" fontId="1" fillId="0" borderId="1" xfId="3" applyNumberFormat="1" applyFont="1" applyFill="1" applyBorder="1" applyAlignment="1">
      <alignment horizontal="right" wrapText="1"/>
    </xf>
    <xf numFmtId="0" fontId="2" fillId="0" borderId="1" xfId="3" applyFont="1" applyFill="1" applyBorder="1" applyAlignment="1">
      <alignment wrapText="1"/>
    </xf>
    <xf numFmtId="164" fontId="2" fillId="0" borderId="1" xfId="3" applyNumberFormat="1" applyFont="1" applyFill="1" applyBorder="1" applyAlignment="1">
      <alignment horizontal="right" wrapText="1"/>
    </xf>
    <xf numFmtId="0" fontId="1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164" fontId="3" fillId="0" borderId="1" xfId="3" applyNumberFormat="1" applyFont="1" applyFill="1" applyBorder="1" applyAlignment="1">
      <alignment horizontal="right" wrapText="1"/>
    </xf>
    <xf numFmtId="164" fontId="13" fillId="0" borderId="0" xfId="3" applyNumberFormat="1" applyFont="1" applyFill="1"/>
    <xf numFmtId="0" fontId="14" fillId="0" borderId="0" xfId="3" applyFont="1" applyFill="1"/>
    <xf numFmtId="164" fontId="4" fillId="0" borderId="1" xfId="3" applyNumberFormat="1" applyFont="1" applyFill="1" applyBorder="1" applyAlignment="1">
      <alignment horizontal="right" wrapText="1"/>
    </xf>
    <xf numFmtId="49" fontId="3" fillId="0" borderId="1" xfId="9" applyNumberFormat="1" applyFont="1" applyFill="1" applyBorder="1" applyAlignment="1">
      <alignment wrapText="1"/>
    </xf>
    <xf numFmtId="49" fontId="1" fillId="0" borderId="1" xfId="7" applyNumberFormat="1" applyFont="1" applyFill="1" applyBorder="1" applyAlignment="1">
      <alignment horizontal="left" wrapText="1"/>
    </xf>
    <xf numFmtId="164" fontId="2" fillId="0" borderId="1" xfId="3" applyNumberFormat="1" applyFont="1" applyFill="1" applyBorder="1" applyAlignment="1"/>
    <xf numFmtId="164" fontId="1" fillId="0" borderId="1" xfId="3" applyNumberFormat="1" applyFont="1" applyFill="1" applyBorder="1" applyAlignment="1"/>
    <xf numFmtId="166" fontId="1" fillId="0" borderId="0" xfId="7" applyNumberFormat="1" applyFont="1" applyFill="1" applyAlignment="1">
      <alignment horizontal="right"/>
    </xf>
    <xf numFmtId="0" fontId="8" fillId="0" borderId="0" xfId="7" applyFont="1" applyFill="1"/>
    <xf numFmtId="166" fontId="8" fillId="0" borderId="0" xfId="7" applyNumberFormat="1" applyFont="1" applyFill="1"/>
    <xf numFmtId="49" fontId="15" fillId="0" borderId="0" xfId="7" applyNumberFormat="1" applyFont="1" applyFill="1" applyBorder="1" applyAlignment="1">
      <alignment vertical="top" wrapText="1"/>
    </xf>
    <xf numFmtId="49" fontId="8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/>
    <xf numFmtId="0" fontId="16" fillId="0" borderId="0" xfId="3" applyFont="1" applyFill="1"/>
    <xf numFmtId="0" fontId="8" fillId="0" borderId="0" xfId="3" applyFont="1" applyFill="1"/>
    <xf numFmtId="168" fontId="1" fillId="0" borderId="0" xfId="7" applyNumberFormat="1" applyFont="1" applyFill="1" applyBorder="1" applyAlignment="1">
      <alignment horizontal="right"/>
    </xf>
    <xf numFmtId="166" fontId="16" fillId="0" borderId="0" xfId="3" applyNumberFormat="1" applyFont="1" applyFill="1"/>
    <xf numFmtId="169" fontId="2" fillId="0" borderId="0" xfId="3" applyNumberFormat="1" applyFont="1" applyFill="1"/>
    <xf numFmtId="0" fontId="15" fillId="0" borderId="0" xfId="3" applyFont="1" applyFill="1"/>
    <xf numFmtId="171" fontId="15" fillId="0" borderId="0" xfId="3" applyNumberFormat="1" applyFont="1" applyFill="1"/>
    <xf numFmtId="166" fontId="15" fillId="0" borderId="0" xfId="3" applyNumberFormat="1" applyFont="1" applyFill="1" applyAlignment="1">
      <alignment shrinkToFit="1"/>
    </xf>
    <xf numFmtId="1" fontId="1" fillId="0" borderId="0" xfId="7" applyNumberFormat="1" applyFont="1" applyFill="1" applyAlignment="1">
      <alignment horizontal="right"/>
    </xf>
    <xf numFmtId="0" fontId="3" fillId="0" borderId="0" xfId="3" applyFont="1" applyFill="1" applyAlignment="1">
      <alignment horizontal="right"/>
    </xf>
    <xf numFmtId="0" fontId="1" fillId="0" borderId="1" xfId="1" applyFont="1" applyFill="1" applyBorder="1" applyAlignment="1">
      <alignment horizontal="center" vertical="top"/>
    </xf>
    <xf numFmtId="165" fontId="1" fillId="0" borderId="0" xfId="0" applyNumberFormat="1" applyFont="1" applyFill="1" applyAlignment="1">
      <alignment horizontal="right"/>
    </xf>
    <xf numFmtId="0" fontId="1" fillId="0" borderId="1" xfId="1" applyFont="1" applyFill="1" applyBorder="1" applyAlignment="1">
      <alignment vertical="top"/>
    </xf>
    <xf numFmtId="0" fontId="3" fillId="0" borderId="3" xfId="3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/>
    </xf>
    <xf numFmtId="0" fontId="2" fillId="0" borderId="1" xfId="7" applyFont="1" applyFill="1" applyBorder="1" applyAlignment="1">
      <alignment vertical="top" wrapText="1"/>
    </xf>
    <xf numFmtId="0" fontId="3" fillId="0" borderId="1" xfId="0" applyFont="1" applyFill="1" applyBorder="1"/>
    <xf numFmtId="49" fontId="2" fillId="0" borderId="1" xfId="3" applyNumberFormat="1" applyFont="1" applyFill="1" applyBorder="1" applyAlignment="1">
      <alignment horizontal="center" vertical="top"/>
    </xf>
    <xf numFmtId="49" fontId="1" fillId="0" borderId="1" xfId="3" applyNumberFormat="1" applyFont="1" applyFill="1" applyBorder="1" applyAlignment="1">
      <alignment horizontal="center" vertical="top"/>
    </xf>
    <xf numFmtId="49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horizontal="center" vertical="top" wrapText="1"/>
    </xf>
    <xf numFmtId="0" fontId="1" fillId="0" borderId="1" xfId="3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top"/>
    </xf>
    <xf numFmtId="0" fontId="1" fillId="0" borderId="1" xfId="3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 wrapText="1"/>
    </xf>
    <xf numFmtId="0" fontId="13" fillId="0" borderId="1" xfId="3" applyFont="1" applyFill="1" applyBorder="1" applyAlignment="1">
      <alignment vertical="top"/>
    </xf>
    <xf numFmtId="0" fontId="3" fillId="0" borderId="0" xfId="0" applyFont="1" applyFill="1"/>
    <xf numFmtId="0" fontId="1" fillId="0" borderId="1" xfId="1" applyFont="1" applyFill="1" applyBorder="1" applyAlignment="1">
      <alignment wrapText="1"/>
    </xf>
    <xf numFmtId="165" fontId="1" fillId="0" borderId="0" xfId="1" applyNumberFormat="1" applyFont="1" applyFill="1"/>
    <xf numFmtId="164" fontId="3" fillId="0" borderId="0" xfId="0" applyNumberFormat="1" applyFont="1" applyFill="1" applyAlignment="1">
      <alignment horizontal="right"/>
    </xf>
    <xf numFmtId="0" fontId="1" fillId="0" borderId="0" xfId="3" applyFont="1" applyFill="1" applyAlignment="1">
      <alignment wrapText="1"/>
    </xf>
    <xf numFmtId="1" fontId="1" fillId="0" borderId="1" xfId="7" applyNumberFormat="1" applyFont="1" applyFill="1" applyBorder="1" applyAlignment="1">
      <alignment horizontal="center" vertical="center" wrapText="1"/>
    </xf>
    <xf numFmtId="172" fontId="8" fillId="0" borderId="0" xfId="7" applyNumberFormat="1" applyFont="1" applyFill="1" applyBorder="1" applyAlignment="1">
      <alignment horizontal="center"/>
    </xf>
    <xf numFmtId="2" fontId="8" fillId="0" borderId="0" xfId="7" applyNumberFormat="1" applyFont="1" applyFill="1" applyBorder="1" applyAlignment="1">
      <alignment horizontal="center"/>
    </xf>
    <xf numFmtId="0" fontId="1" fillId="0" borderId="1" xfId="7" applyFont="1" applyFill="1" applyBorder="1"/>
    <xf numFmtId="164" fontId="1" fillId="0" borderId="1" xfId="7" applyNumberFormat="1" applyFont="1" applyFill="1" applyBorder="1" applyAlignment="1">
      <alignment horizontal="right"/>
    </xf>
    <xf numFmtId="164" fontId="10" fillId="0" borderId="0" xfId="7" applyNumberFormat="1" applyFont="1" applyFill="1" applyBorder="1" applyAlignment="1">
      <alignment horizontal="center"/>
    </xf>
    <xf numFmtId="164" fontId="2" fillId="0" borderId="1" xfId="7" applyNumberFormat="1" applyFont="1" applyFill="1" applyBorder="1" applyAlignment="1">
      <alignment horizontal="right"/>
    </xf>
    <xf numFmtId="2" fontId="10" fillId="0" borderId="0" xfId="7" applyNumberFormat="1" applyFont="1" applyFill="1" applyBorder="1" applyAlignment="1">
      <alignment horizontal="center"/>
    </xf>
    <xf numFmtId="1" fontId="2" fillId="0" borderId="0" xfId="7" applyNumberFormat="1" applyFont="1" applyFill="1"/>
    <xf numFmtId="171" fontId="16" fillId="0" borderId="0" xfId="3" applyNumberFormat="1" applyFont="1" applyFill="1"/>
    <xf numFmtId="10" fontId="1" fillId="0" borderId="0" xfId="3" applyNumberFormat="1" applyFont="1" applyFill="1"/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0" xfId="7" applyFont="1" applyFill="1"/>
    <xf numFmtId="168" fontId="1" fillId="0" borderId="1" xfId="1" applyNumberFormat="1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top"/>
    </xf>
    <xf numFmtId="0" fontId="1" fillId="0" borderId="1" xfId="7" applyFont="1" applyFill="1" applyBorder="1" applyAlignment="1">
      <alignment vertical="top" wrapText="1"/>
    </xf>
    <xf numFmtId="173" fontId="4" fillId="0" borderId="11" xfId="13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9" xfId="3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165" fontId="1" fillId="0" borderId="1" xfId="1" applyNumberFormat="1" applyFont="1" applyFill="1" applyBorder="1" applyAlignment="1"/>
    <xf numFmtId="164" fontId="2" fillId="0" borderId="1" xfId="10" applyNumberFormat="1" applyFont="1" applyFill="1" applyBorder="1" applyAlignment="1">
      <alignment horizontal="right" wrapText="1"/>
    </xf>
    <xf numFmtId="165" fontId="2" fillId="0" borderId="1" xfId="1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/>
    </xf>
    <xf numFmtId="0" fontId="23" fillId="0" borderId="0" xfId="0" applyFont="1" applyFill="1"/>
    <xf numFmtId="164" fontId="1" fillId="0" borderId="0" xfId="1" applyNumberFormat="1" applyFont="1" applyFill="1"/>
    <xf numFmtId="0" fontId="4" fillId="0" borderId="5" xfId="3" applyFont="1" applyFill="1" applyBorder="1" applyAlignment="1">
      <alignment horizontal="center" vertical="top"/>
    </xf>
    <xf numFmtId="0" fontId="4" fillId="0" borderId="12" xfId="3" applyFont="1" applyFill="1" applyBorder="1" applyAlignment="1">
      <alignment horizontal="center" vertical="top"/>
    </xf>
    <xf numFmtId="0" fontId="3" fillId="0" borderId="12" xfId="3" applyFont="1" applyFill="1" applyBorder="1" applyAlignment="1">
      <alignment horizontal="center" vertical="top"/>
    </xf>
    <xf numFmtId="0" fontId="1" fillId="0" borderId="1" xfId="3" applyFont="1" applyFill="1" applyBorder="1" applyAlignment="1"/>
    <xf numFmtId="1" fontId="3" fillId="0" borderId="0" xfId="7" applyNumberFormat="1" applyFont="1" applyFill="1" applyBorder="1" applyAlignment="1">
      <alignment horizontal="center"/>
    </xf>
    <xf numFmtId="168" fontId="1" fillId="0" borderId="0" xfId="1" applyNumberFormat="1" applyFont="1" applyFill="1" applyBorder="1" applyAlignment="1">
      <alignment horizontal="center"/>
    </xf>
    <xf numFmtId="166" fontId="3" fillId="0" borderId="0" xfId="3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wrapText="1"/>
    </xf>
    <xf numFmtId="49" fontId="2" fillId="0" borderId="1" xfId="7" applyNumberFormat="1" applyFont="1" applyFill="1" applyBorder="1" applyAlignment="1">
      <alignment horizontal="left" wrapText="1"/>
    </xf>
    <xf numFmtId="0" fontId="3" fillId="0" borderId="13" xfId="3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center" vertical="top"/>
    </xf>
    <xf numFmtId="0" fontId="1" fillId="0" borderId="0" xfId="3" applyFont="1" applyFill="1" applyBorder="1" applyAlignment="1">
      <alignment wrapText="1"/>
    </xf>
    <xf numFmtId="173" fontId="1" fillId="0" borderId="0" xfId="3" applyNumberFormat="1" applyFont="1" applyFill="1" applyBorder="1" applyAlignment="1"/>
    <xf numFmtId="0" fontId="3" fillId="0" borderId="0" xfId="3" applyFont="1" applyFill="1" applyBorder="1" applyAlignment="1">
      <alignment wrapText="1"/>
    </xf>
    <xf numFmtId="173" fontId="4" fillId="0" borderId="12" xfId="13" applyNumberFormat="1" applyFont="1" applyFill="1" applyBorder="1" applyAlignment="1">
      <alignment horizontal="right" vertical="center"/>
    </xf>
    <xf numFmtId="166" fontId="16" fillId="0" borderId="0" xfId="3" applyNumberFormat="1" applyFont="1" applyFill="1" applyBorder="1"/>
    <xf numFmtId="0" fontId="4" fillId="0" borderId="8" xfId="3" applyFont="1" applyFill="1" applyBorder="1" applyAlignment="1">
      <alignment vertical="top" wrapText="1"/>
    </xf>
    <xf numFmtId="0" fontId="4" fillId="0" borderId="11" xfId="3" applyFont="1" applyFill="1" applyBorder="1" applyAlignment="1">
      <alignment wrapText="1"/>
    </xf>
    <xf numFmtId="0" fontId="3" fillId="0" borderId="11" xfId="3" applyFont="1" applyFill="1" applyBorder="1" applyAlignment="1">
      <alignment wrapText="1"/>
    </xf>
    <xf numFmtId="0" fontId="1" fillId="0" borderId="0" xfId="7" applyFont="1" applyFill="1" applyBorder="1" applyAlignment="1">
      <alignment horizontal="left"/>
    </xf>
    <xf numFmtId="0" fontId="1" fillId="0" borderId="0" xfId="7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justify"/>
    </xf>
    <xf numFmtId="0" fontId="1" fillId="0" borderId="0" xfId="3" applyFont="1" applyFill="1" applyBorder="1" applyAlignment="1">
      <alignment horizontal="left" wrapText="1"/>
    </xf>
    <xf numFmtId="0" fontId="1" fillId="0" borderId="0" xfId="3" applyFont="1" applyFill="1" applyBorder="1" applyAlignment="1">
      <alignment horizontal="center"/>
    </xf>
    <xf numFmtId="0" fontId="7" fillId="0" borderId="0" xfId="7" applyFont="1" applyFill="1"/>
    <xf numFmtId="0" fontId="3" fillId="0" borderId="0" xfId="0" applyFont="1" applyFill="1" applyAlignment="1"/>
    <xf numFmtId="0" fontId="4" fillId="0" borderId="1" xfId="0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/>
    <xf numFmtId="2" fontId="1" fillId="0" borderId="0" xfId="3" applyNumberFormat="1" applyFont="1" applyFill="1" applyAlignment="1">
      <alignment horizontal="center"/>
    </xf>
    <xf numFmtId="173" fontId="3" fillId="0" borderId="12" xfId="0" applyNumberFormat="1" applyFont="1" applyFill="1" applyBorder="1"/>
    <xf numFmtId="173" fontId="3" fillId="0" borderId="11" xfId="0" applyNumberFormat="1" applyFont="1" applyFill="1" applyBorder="1"/>
    <xf numFmtId="173" fontId="3" fillId="0" borderId="0" xfId="0" applyNumberFormat="1" applyFont="1" applyFill="1" applyBorder="1"/>
    <xf numFmtId="166" fontId="25" fillId="0" borderId="0" xfId="3" applyNumberFormat="1" applyFont="1" applyFill="1"/>
    <xf numFmtId="169" fontId="26" fillId="0" borderId="0" xfId="3" applyNumberFormat="1" applyFont="1" applyFill="1"/>
    <xf numFmtId="0" fontId="3" fillId="0" borderId="10" xfId="3" applyFont="1" applyFill="1" applyBorder="1" applyAlignment="1">
      <alignment wrapText="1"/>
    </xf>
    <xf numFmtId="173" fontId="3" fillId="0" borderId="10" xfId="0" applyNumberFormat="1" applyFont="1" applyFill="1" applyBorder="1"/>
    <xf numFmtId="0" fontId="1" fillId="0" borderId="0" xfId="3" applyFont="1"/>
    <xf numFmtId="0" fontId="8" fillId="0" borderId="0" xfId="3" applyFont="1"/>
    <xf numFmtId="0" fontId="8" fillId="0" borderId="0" xfId="3" applyFont="1" applyAlignment="1">
      <alignment wrapText="1"/>
    </xf>
    <xf numFmtId="166" fontId="8" fillId="0" borderId="0" xfId="3" applyNumberFormat="1" applyFont="1" applyAlignment="1">
      <alignment horizontal="right"/>
    </xf>
    <xf numFmtId="0" fontId="1" fillId="0" borderId="6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justify" vertical="top" wrapText="1"/>
    </xf>
    <xf numFmtId="0" fontId="1" fillId="0" borderId="8" xfId="3" applyFont="1" applyBorder="1" applyAlignment="1">
      <alignment horizontal="justify" vertical="top" wrapText="1"/>
    </xf>
    <xf numFmtId="0" fontId="1" fillId="0" borderId="0" xfId="3" applyFont="1" applyBorder="1"/>
    <xf numFmtId="0" fontId="1" fillId="0" borderId="15" xfId="3" applyFont="1" applyBorder="1" applyAlignment="1">
      <alignment horizontal="left" wrapText="1"/>
    </xf>
    <xf numFmtId="0" fontId="1" fillId="0" borderId="11" xfId="3" applyFont="1" applyBorder="1" applyAlignment="1">
      <alignment horizontal="left" wrapText="1"/>
    </xf>
    <xf numFmtId="0" fontId="1" fillId="0" borderId="0" xfId="3" applyFont="1" applyBorder="1" applyAlignment="1">
      <alignment horizontal="center" wrapText="1"/>
    </xf>
    <xf numFmtId="0" fontId="1" fillId="0" borderId="14" xfId="3" applyFont="1" applyBorder="1" applyAlignment="1">
      <alignment horizontal="left" wrapText="1"/>
    </xf>
    <xf numFmtId="0" fontId="1" fillId="0" borderId="10" xfId="3" applyFont="1" applyBorder="1" applyAlignment="1">
      <alignment horizontal="left" wrapText="1"/>
    </xf>
    <xf numFmtId="0" fontId="1" fillId="0" borderId="0" xfId="3" applyFont="1" applyAlignment="1">
      <alignment horizontal="center"/>
    </xf>
    <xf numFmtId="0" fontId="1" fillId="0" borderId="5" xfId="3" applyFont="1" applyBorder="1" applyAlignment="1">
      <alignment horizontal="justify" vertical="top" wrapText="1"/>
    </xf>
    <xf numFmtId="0" fontId="1" fillId="0" borderId="12" xfId="3" applyFont="1" applyBorder="1" applyAlignment="1">
      <alignment horizontal="left" wrapText="1"/>
    </xf>
    <xf numFmtId="0" fontId="1" fillId="0" borderId="13" xfId="3" applyFont="1" applyBorder="1" applyAlignment="1">
      <alignment horizontal="left" wrapText="1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4" fillId="0" borderId="11" xfId="3" applyFont="1" applyFill="1" applyBorder="1" applyAlignment="1">
      <alignment vertical="top" wrapText="1"/>
    </xf>
    <xf numFmtId="0" fontId="3" fillId="0" borderId="11" xfId="3" applyFont="1" applyFill="1" applyBorder="1" applyAlignment="1">
      <alignment vertical="top" wrapText="1"/>
    </xf>
    <xf numFmtId="173" fontId="3" fillId="0" borderId="11" xfId="13" applyNumberFormat="1" applyFont="1" applyFill="1" applyBorder="1" applyAlignment="1">
      <alignment horizontal="right" vertical="center"/>
    </xf>
    <xf numFmtId="165" fontId="1" fillId="0" borderId="5" xfId="3" applyNumberFormat="1" applyFont="1" applyFill="1" applyBorder="1" applyAlignment="1">
      <alignment horizontal="center"/>
    </xf>
    <xf numFmtId="165" fontId="1" fillId="0" borderId="12" xfId="3" applyNumberFormat="1" applyFont="1" applyFill="1" applyBorder="1" applyAlignment="1">
      <alignment horizontal="center"/>
    </xf>
    <xf numFmtId="165" fontId="1" fillId="0" borderId="13" xfId="3" applyNumberFormat="1" applyFont="1" applyFill="1" applyBorder="1" applyAlignment="1">
      <alignment horizontal="center"/>
    </xf>
    <xf numFmtId="0" fontId="19" fillId="2" borderId="0" xfId="0" applyFont="1" applyFill="1"/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 vertical="top" wrapText="1"/>
    </xf>
    <xf numFmtId="49" fontId="8" fillId="2" borderId="0" xfId="0" applyNumberFormat="1" applyFont="1" applyFill="1" applyBorder="1" applyAlignment="1">
      <alignment horizontal="center"/>
    </xf>
    <xf numFmtId="166" fontId="19" fillId="2" borderId="0" xfId="0" applyNumberFormat="1" applyFont="1" applyFill="1" applyBorder="1" applyAlignment="1"/>
    <xf numFmtId="166" fontId="8" fillId="2" borderId="0" xfId="0" applyNumberFormat="1" applyFont="1" applyFill="1" applyAlignment="1">
      <alignment horizontal="center"/>
    </xf>
    <xf numFmtId="0" fontId="8" fillId="2" borderId="0" xfId="0" applyFont="1" applyFill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vertical="top" wrapText="1"/>
    </xf>
    <xf numFmtId="49" fontId="1" fillId="2" borderId="1" xfId="6" applyNumberFormat="1" applyFont="1" applyFill="1" applyBorder="1" applyAlignment="1">
      <alignment horizontal="center" vertical="top" wrapText="1"/>
    </xf>
    <xf numFmtId="49" fontId="1" fillId="2" borderId="1" xfId="6" applyNumberFormat="1" applyFont="1" applyFill="1" applyBorder="1" applyAlignment="1">
      <alignment horizontal="center" vertical="top"/>
    </xf>
    <xf numFmtId="49" fontId="1" fillId="2" borderId="2" xfId="6" applyNumberFormat="1" applyFont="1" applyFill="1" applyBorder="1" applyAlignment="1">
      <alignment horizontal="center" vertical="top"/>
    </xf>
    <xf numFmtId="49" fontId="1" fillId="2" borderId="9" xfId="6" applyNumberFormat="1" applyFont="1" applyFill="1" applyBorder="1" applyAlignment="1">
      <alignment horizontal="center" vertical="top"/>
    </xf>
    <xf numFmtId="49" fontId="1" fillId="2" borderId="3" xfId="6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49" fontId="1" fillId="2" borderId="3" xfId="4" applyNumberFormat="1" applyFont="1" applyFill="1" applyBorder="1" applyAlignment="1" applyProtection="1">
      <alignment horizontal="left" wrapText="1"/>
      <protection hidden="1"/>
    </xf>
    <xf numFmtId="49" fontId="1" fillId="2" borderId="3" xfId="5" applyNumberFormat="1" applyFont="1" applyFill="1" applyBorder="1" applyAlignment="1">
      <alignment horizontal="left" wrapText="1"/>
    </xf>
    <xf numFmtId="49" fontId="1" fillId="2" borderId="3" xfId="6" applyNumberFormat="1" applyFont="1" applyFill="1" applyBorder="1" applyAlignment="1">
      <alignment horizontal="left" wrapText="1"/>
    </xf>
    <xf numFmtId="49" fontId="1" fillId="2" borderId="3" xfId="0" applyNumberFormat="1" applyFont="1" applyFill="1" applyBorder="1" applyAlignment="1">
      <alignment horizontal="left" wrapText="1"/>
    </xf>
    <xf numFmtId="49" fontId="1" fillId="2" borderId="3" xfId="5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1" xfId="5" applyNumberFormat="1" applyFont="1" applyFill="1" applyBorder="1" applyAlignment="1">
      <alignment horizontal="center"/>
    </xf>
    <xf numFmtId="49" fontId="1" fillId="2" borderId="9" xfId="5" applyNumberFormat="1" applyFont="1" applyFill="1" applyBorder="1" applyAlignment="1">
      <alignment horizontal="center"/>
    </xf>
    <xf numFmtId="49" fontId="1" fillId="2" borderId="3" xfId="5" applyNumberFormat="1" applyFont="1" applyFill="1" applyBorder="1" applyAlignment="1">
      <alignment horizontal="center"/>
    </xf>
    <xf numFmtId="49" fontId="1" fillId="2" borderId="6" xfId="6" applyNumberFormat="1" applyFont="1" applyFill="1" applyBorder="1" applyAlignment="1">
      <alignment horizontal="center"/>
    </xf>
    <xf numFmtId="49" fontId="1" fillId="2" borderId="7" xfId="5" applyNumberFormat="1" applyFont="1" applyFill="1" applyBorder="1" applyAlignment="1">
      <alignment horizontal="center"/>
    </xf>
    <xf numFmtId="49" fontId="1" fillId="2" borderId="8" xfId="5" applyNumberFormat="1" applyFont="1" applyFill="1" applyBorder="1" applyAlignment="1">
      <alignment horizontal="center"/>
    </xf>
    <xf numFmtId="49" fontId="1" fillId="2" borderId="2" xfId="6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64" fontId="19" fillId="2" borderId="0" xfId="0" applyNumberFormat="1" applyFont="1" applyFill="1"/>
    <xf numFmtId="164" fontId="3" fillId="2" borderId="0" xfId="0" applyNumberFormat="1" applyFont="1" applyFill="1" applyBorder="1" applyAlignment="1">
      <alignment horizontal="right"/>
    </xf>
    <xf numFmtId="164" fontId="27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0" fontId="3" fillId="0" borderId="12" xfId="3" applyFont="1" applyFill="1" applyBorder="1" applyAlignment="1">
      <alignment wrapText="1"/>
    </xf>
    <xf numFmtId="0" fontId="1" fillId="0" borderId="0" xfId="3" applyFont="1" applyFill="1" applyBorder="1" applyAlignment="1">
      <alignment horizontal="left" vertical="top" wrapText="1"/>
    </xf>
    <xf numFmtId="49" fontId="1" fillId="0" borderId="0" xfId="3" applyNumberFormat="1" applyFont="1" applyFill="1" applyBorder="1" applyAlignment="1">
      <alignment horizontal="center" vertical="top"/>
    </xf>
    <xf numFmtId="0" fontId="1" fillId="0" borderId="0" xfId="3" applyFont="1" applyFill="1" applyBorder="1" applyAlignment="1">
      <alignment horizontal="center" wrapText="1"/>
    </xf>
    <xf numFmtId="173" fontId="3" fillId="2" borderId="12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0" fontId="3" fillId="0" borderId="1" xfId="3" applyFont="1" applyFill="1" applyBorder="1" applyAlignment="1">
      <alignment horizontal="center" vertical="center" wrapText="1"/>
    </xf>
    <xf numFmtId="0" fontId="1" fillId="0" borderId="0" xfId="3" applyFont="1" applyAlignment="1">
      <alignment wrapText="1"/>
    </xf>
    <xf numFmtId="0" fontId="1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0" xfId="3" applyFont="1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23" fillId="2" borderId="0" xfId="0" applyFont="1" applyFill="1"/>
    <xf numFmtId="0" fontId="4" fillId="0" borderId="5" xfId="3" applyFont="1" applyFill="1" applyBorder="1" applyAlignment="1">
      <alignment vertical="top" wrapText="1"/>
    </xf>
    <xf numFmtId="0" fontId="4" fillId="0" borderId="12" xfId="3" applyFont="1" applyFill="1" applyBorder="1" applyAlignment="1">
      <alignment wrapText="1"/>
    </xf>
    <xf numFmtId="0" fontId="3" fillId="0" borderId="13" xfId="3" applyFont="1" applyFill="1" applyBorder="1" applyAlignment="1">
      <alignment wrapText="1"/>
    </xf>
    <xf numFmtId="173" fontId="3" fillId="2" borderId="13" xfId="0" applyNumberFormat="1" applyFont="1" applyFill="1" applyBorder="1"/>
    <xf numFmtId="164" fontId="3" fillId="0" borderId="0" xfId="0" applyNumberFormat="1" applyFont="1" applyFill="1" applyBorder="1"/>
    <xf numFmtId="11" fontId="1" fillId="2" borderId="3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wrapText="1"/>
    </xf>
    <xf numFmtId="0" fontId="3" fillId="2" borderId="0" xfId="7" applyFont="1" applyFill="1" applyBorder="1" applyAlignment="1">
      <alignment horizontal="left"/>
    </xf>
    <xf numFmtId="49" fontId="10" fillId="2" borderId="0" xfId="7" applyNumberFormat="1" applyFont="1" applyFill="1" applyBorder="1" applyAlignment="1">
      <alignment vertical="top" wrapText="1"/>
    </xf>
    <xf numFmtId="49" fontId="11" fillId="2" borderId="0" xfId="7" applyNumberFormat="1" applyFont="1" applyFill="1" applyBorder="1" applyAlignment="1">
      <alignment horizontal="center"/>
    </xf>
    <xf numFmtId="164" fontId="4" fillId="2" borderId="0" xfId="7" applyNumberFormat="1" applyFont="1" applyFill="1" applyBorder="1" applyAlignment="1"/>
    <xf numFmtId="166" fontId="11" fillId="2" borderId="0" xfId="7" applyNumberFormat="1" applyFont="1" applyFill="1"/>
    <xf numFmtId="0" fontId="11" fillId="2" borderId="0" xfId="7" applyFont="1" applyFill="1"/>
    <xf numFmtId="0" fontId="3" fillId="2" borderId="0" xfId="7" applyFont="1" applyFill="1" applyAlignment="1">
      <alignment horizontal="left"/>
    </xf>
    <xf numFmtId="166" fontId="3" fillId="2" borderId="0" xfId="7" applyNumberFormat="1" applyFont="1" applyFill="1" applyAlignment="1">
      <alignment horizontal="right"/>
    </xf>
    <xf numFmtId="0" fontId="6" fillId="2" borderId="0" xfId="0" applyFont="1" applyFill="1"/>
    <xf numFmtId="164" fontId="4" fillId="2" borderId="0" xfId="0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right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4" fillId="2" borderId="1" xfId="7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top"/>
    </xf>
    <xf numFmtId="0" fontId="3" fillId="2" borderId="0" xfId="1" applyFont="1" applyFill="1"/>
    <xf numFmtId="49" fontId="3" fillId="2" borderId="0" xfId="5" applyNumberFormat="1" applyFont="1" applyFill="1" applyBorder="1" applyAlignment="1">
      <alignment horizontal="center" vertical="top" wrapText="1"/>
    </xf>
    <xf numFmtId="0" fontId="3" fillId="2" borderId="0" xfId="5" applyNumberFormat="1" applyFont="1" applyFill="1" applyBorder="1" applyAlignment="1">
      <alignment horizontal="left" wrapText="1"/>
    </xf>
    <xf numFmtId="164" fontId="3" fillId="2" borderId="0" xfId="5" applyNumberFormat="1" applyFont="1" applyFill="1" applyBorder="1" applyAlignment="1">
      <alignment horizontal="right" wrapText="1"/>
    </xf>
    <xf numFmtId="49" fontId="32" fillId="2" borderId="0" xfId="7" applyNumberFormat="1" applyFont="1" applyFill="1" applyBorder="1" applyAlignment="1">
      <alignment horizontal="center"/>
    </xf>
    <xf numFmtId="164" fontId="3" fillId="2" borderId="0" xfId="0" applyNumberFormat="1" applyFont="1" applyFill="1"/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0" fontId="6" fillId="2" borderId="1" xfId="5" applyFont="1" applyFill="1" applyBorder="1" applyAlignment="1">
      <alignment vertical="top" wrapText="1"/>
    </xf>
    <xf numFmtId="0" fontId="3" fillId="2" borderId="1" xfId="5" applyFont="1" applyFill="1" applyBorder="1" applyAlignment="1">
      <alignment horizontal="left" vertical="top" wrapText="1"/>
    </xf>
    <xf numFmtId="0" fontId="3" fillId="2" borderId="0" xfId="5" applyNumberFormat="1" applyFont="1" applyFill="1" applyBorder="1" applyAlignment="1">
      <alignment horizontal="left" vertical="top" wrapText="1"/>
    </xf>
    <xf numFmtId="0" fontId="3" fillId="2" borderId="0" xfId="7" applyFont="1" applyFill="1" applyBorder="1" applyAlignment="1">
      <alignment horizontal="left" vertical="top"/>
    </xf>
    <xf numFmtId="0" fontId="3" fillId="2" borderId="0" xfId="7" applyFont="1" applyFill="1" applyAlignment="1">
      <alignment horizontal="left" vertical="top"/>
    </xf>
    <xf numFmtId="164" fontId="3" fillId="2" borderId="1" xfId="0" applyNumberFormat="1" applyFont="1" applyFill="1" applyBorder="1" applyAlignment="1">
      <alignment horizontal="right" vertical="top"/>
    </xf>
    <xf numFmtId="164" fontId="6" fillId="2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/>
    </xf>
    <xf numFmtId="164" fontId="6" fillId="2" borderId="1" xfId="1" applyNumberFormat="1" applyFont="1" applyFill="1" applyBorder="1" applyAlignment="1">
      <alignment vertical="top"/>
    </xf>
    <xf numFmtId="164" fontId="3" fillId="2" borderId="1" xfId="1" applyNumberFormat="1" applyFont="1" applyFill="1" applyBorder="1" applyAlignment="1">
      <alignment vertical="top"/>
    </xf>
    <xf numFmtId="0" fontId="28" fillId="2" borderId="0" xfId="0" applyFont="1" applyFill="1" applyAlignment="1">
      <alignment vertical="top"/>
    </xf>
    <xf numFmtId="0" fontId="28" fillId="2" borderId="0" xfId="0" applyFont="1" applyFill="1" applyAlignment="1">
      <alignment horizontal="center" vertical="top"/>
    </xf>
    <xf numFmtId="0" fontId="29" fillId="2" borderId="0" xfId="0" applyFont="1" applyFill="1" applyAlignment="1">
      <alignment horizontal="center" vertical="top"/>
    </xf>
    <xf numFmtId="0" fontId="31" fillId="0" borderId="0" xfId="1" applyFont="1" applyFill="1"/>
    <xf numFmtId="0" fontId="3" fillId="2" borderId="1" xfId="0" applyFont="1" applyFill="1" applyBorder="1" applyAlignment="1">
      <alignment horizontal="justify" vertical="top"/>
    </xf>
    <xf numFmtId="0" fontId="23" fillId="2" borderId="0" xfId="0" applyFont="1" applyFill="1" applyBorder="1"/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1" xfId="5" applyFont="1" applyFill="1" applyBorder="1" applyAlignment="1">
      <alignment horizontal="justify" vertical="top" wrapText="1"/>
    </xf>
    <xf numFmtId="0" fontId="23" fillId="2" borderId="0" xfId="5" applyFont="1" applyFill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165" fontId="4" fillId="2" borderId="1" xfId="0" applyNumberFormat="1" applyFont="1" applyFill="1" applyBorder="1"/>
    <xf numFmtId="165" fontId="3" fillId="2" borderId="1" xfId="0" applyNumberFormat="1" applyFont="1" applyFill="1" applyBorder="1"/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164" fontId="3" fillId="2" borderId="0" xfId="0" applyNumberFormat="1" applyFont="1" applyFill="1" applyAlignment="1">
      <alignment horizontal="left" vertical="top" wrapText="1"/>
    </xf>
    <xf numFmtId="164" fontId="1" fillId="2" borderId="1" xfId="0" applyNumberFormat="1" applyFont="1" applyFill="1" applyBorder="1" applyAlignment="1">
      <alignment wrapText="1"/>
    </xf>
    <xf numFmtId="164" fontId="1" fillId="0" borderId="13" xfId="3" applyNumberFormat="1" applyFont="1" applyBorder="1" applyAlignment="1">
      <alignment horizontal="center"/>
    </xf>
    <xf numFmtId="165" fontId="1" fillId="0" borderId="5" xfId="3" applyNumberFormat="1" applyFont="1" applyBorder="1" applyAlignment="1">
      <alignment horizontal="center"/>
    </xf>
    <xf numFmtId="165" fontId="1" fillId="0" borderId="12" xfId="3" applyNumberFormat="1" applyFont="1" applyBorder="1" applyAlignment="1">
      <alignment horizontal="center"/>
    </xf>
    <xf numFmtId="165" fontId="1" fillId="0" borderId="13" xfId="3" applyNumberFormat="1" applyFont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164" fontId="23" fillId="2" borderId="0" xfId="0" applyNumberFormat="1" applyFont="1" applyFill="1" applyBorder="1"/>
    <xf numFmtId="0" fontId="19" fillId="2" borderId="0" xfId="0" applyFont="1" applyFill="1" applyBorder="1"/>
    <xf numFmtId="164" fontId="3" fillId="2" borderId="0" xfId="0" applyNumberFormat="1" applyFont="1" applyFill="1" applyBorder="1"/>
    <xf numFmtId="164" fontId="19" fillId="2" borderId="0" xfId="0" applyNumberFormat="1" applyFont="1" applyFill="1" applyBorder="1"/>
    <xf numFmtId="0" fontId="8" fillId="2" borderId="0" xfId="7" applyFont="1" applyFill="1" applyAlignment="1">
      <alignment horizontal="center"/>
    </xf>
    <xf numFmtId="49" fontId="8" fillId="2" borderId="0" xfId="7" applyNumberFormat="1" applyFont="1" applyFill="1" applyAlignment="1">
      <alignment vertical="top" wrapText="1"/>
    </xf>
    <xf numFmtId="49" fontId="8" fillId="2" borderId="0" xfId="7" applyNumberFormat="1" applyFont="1" applyFill="1" applyAlignment="1">
      <alignment horizontal="center"/>
    </xf>
    <xf numFmtId="164" fontId="8" fillId="2" borderId="0" xfId="7" applyNumberFormat="1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8" fillId="2" borderId="0" xfId="7" applyFont="1" applyFill="1"/>
    <xf numFmtId="164" fontId="8" fillId="2" borderId="0" xfId="7" applyNumberFormat="1" applyFont="1" applyFill="1"/>
    <xf numFmtId="0" fontId="8" fillId="2" borderId="0" xfId="7" applyFont="1" applyFill="1" applyBorder="1" applyAlignment="1">
      <alignment horizontal="center" vertical="top"/>
    </xf>
    <xf numFmtId="49" fontId="15" fillId="2" borderId="0" xfId="7" applyNumberFormat="1" applyFont="1" applyFill="1" applyBorder="1" applyAlignment="1">
      <alignment vertical="top" wrapText="1"/>
    </xf>
    <xf numFmtId="49" fontId="8" fillId="2" borderId="0" xfId="7" applyNumberFormat="1" applyFont="1" applyFill="1" applyBorder="1" applyAlignment="1">
      <alignment horizontal="center"/>
    </xf>
    <xf numFmtId="164" fontId="1" fillId="2" borderId="4" xfId="7" applyNumberFormat="1" applyFont="1" applyFill="1" applyBorder="1" applyAlignment="1">
      <alignment horizontal="right"/>
    </xf>
    <xf numFmtId="49" fontId="1" fillId="2" borderId="1" xfId="7" applyNumberFormat="1" applyFont="1" applyFill="1" applyBorder="1" applyAlignment="1">
      <alignment horizontal="center" vertical="center" wrapText="1"/>
    </xf>
    <xf numFmtId="49" fontId="1" fillId="2" borderId="1" xfId="7" applyNumberFormat="1" applyFont="1" applyFill="1" applyBorder="1" applyAlignment="1">
      <alignment horizontal="center" vertical="center"/>
    </xf>
    <xf numFmtId="164" fontId="1" fillId="2" borderId="1" xfId="7" applyNumberFormat="1" applyFont="1" applyFill="1" applyBorder="1" applyAlignment="1">
      <alignment horizontal="center" vertical="center"/>
    </xf>
    <xf numFmtId="0" fontId="1" fillId="2" borderId="1" xfId="7" applyFont="1" applyFill="1" applyBorder="1" applyAlignment="1">
      <alignment horizontal="center"/>
    </xf>
    <xf numFmtId="49" fontId="1" fillId="2" borderId="1" xfId="7" applyNumberFormat="1" applyFont="1" applyFill="1" applyBorder="1" applyAlignment="1">
      <alignment horizontal="center" vertical="top" wrapText="1"/>
    </xf>
    <xf numFmtId="49" fontId="1" fillId="2" borderId="1" xfId="7" applyNumberFormat="1" applyFont="1" applyFill="1" applyBorder="1" applyAlignment="1">
      <alignment horizontal="center"/>
    </xf>
    <xf numFmtId="1" fontId="1" fillId="2" borderId="1" xfId="7" applyNumberFormat="1" applyFont="1" applyFill="1" applyBorder="1" applyAlignment="1">
      <alignment horizontal="center"/>
    </xf>
    <xf numFmtId="0" fontId="1" fillId="2" borderId="1" xfId="7" applyFont="1" applyFill="1" applyBorder="1" applyAlignment="1">
      <alignment horizontal="center" vertical="top"/>
    </xf>
    <xf numFmtId="49" fontId="2" fillId="2" borderId="1" xfId="7" applyNumberFormat="1" applyFont="1" applyFill="1" applyBorder="1" applyAlignment="1">
      <alignment horizontal="left" vertical="top" wrapText="1"/>
    </xf>
    <xf numFmtId="49" fontId="1" fillId="2" borderId="9" xfId="7" applyNumberFormat="1" applyFont="1" applyFill="1" applyBorder="1" applyAlignment="1">
      <alignment horizontal="center" vertical="top"/>
    </xf>
    <xf numFmtId="49" fontId="1" fillId="2" borderId="1" xfId="7" applyNumberFormat="1" applyFont="1" applyFill="1" applyBorder="1" applyAlignment="1">
      <alignment horizontal="center" vertical="top"/>
    </xf>
    <xf numFmtId="164" fontId="2" fillId="2" borderId="1" xfId="7" applyNumberFormat="1" applyFont="1" applyFill="1" applyBorder="1" applyAlignment="1">
      <alignment horizontal="right" vertical="top"/>
    </xf>
    <xf numFmtId="174" fontId="33" fillId="2" borderId="0" xfId="7" applyNumberFormat="1" applyFont="1" applyFill="1"/>
    <xf numFmtId="0" fontId="2" fillId="2" borderId="1" xfId="5" applyFont="1" applyFill="1" applyBorder="1" applyAlignment="1">
      <alignment horizontal="center" vertical="top"/>
    </xf>
    <xf numFmtId="49" fontId="2" fillId="2" borderId="1" xfId="7" applyNumberFormat="1" applyFont="1" applyFill="1" applyBorder="1" applyAlignment="1">
      <alignment horizontal="left" wrapText="1"/>
    </xf>
    <xf numFmtId="49" fontId="2" fillId="2" borderId="4" xfId="7" applyNumberFormat="1" applyFont="1" applyFill="1" applyBorder="1" applyAlignment="1">
      <alignment horizontal="center"/>
    </xf>
    <xf numFmtId="49" fontId="2" fillId="2" borderId="10" xfId="7" applyNumberFormat="1" applyFont="1" applyFill="1" applyBorder="1" applyAlignment="1">
      <alignment horizontal="center"/>
    </xf>
    <xf numFmtId="49" fontId="2" fillId="2" borderId="1" xfId="7" applyNumberFormat="1" applyFont="1" applyFill="1" applyBorder="1" applyAlignment="1">
      <alignment horizontal="center"/>
    </xf>
    <xf numFmtId="164" fontId="2" fillId="2" borderId="1" xfId="7" applyNumberFormat="1" applyFont="1" applyFill="1" applyBorder="1" applyAlignment="1">
      <alignment horizontal="right"/>
    </xf>
    <xf numFmtId="0" fontId="15" fillId="2" borderId="0" xfId="7" applyFont="1" applyFill="1"/>
    <xf numFmtId="49" fontId="1" fillId="2" borderId="1" xfId="0" applyNumberFormat="1" applyFont="1" applyFill="1" applyBorder="1" applyAlignment="1">
      <alignment wrapText="1"/>
    </xf>
    <xf numFmtId="164" fontId="1" fillId="2" borderId="1" xfId="7" applyNumberFormat="1" applyFont="1" applyFill="1" applyBorder="1" applyAlignment="1">
      <alignment horizontal="right"/>
    </xf>
    <xf numFmtId="49" fontId="1" fillId="2" borderId="1" xfId="5" applyNumberFormat="1" applyFont="1" applyFill="1" applyBorder="1" applyAlignment="1">
      <alignment horizontal="left" wrapText="1"/>
    </xf>
    <xf numFmtId="49" fontId="1" fillId="2" borderId="19" xfId="11" applyNumberFormat="1" applyFont="1" applyFill="1" applyBorder="1" applyAlignment="1">
      <alignment wrapText="1"/>
    </xf>
    <xf numFmtId="49" fontId="1" fillId="2" borderId="17" xfId="11" applyNumberFormat="1" applyFont="1" applyFill="1" applyBorder="1" applyAlignment="1">
      <alignment horizontal="center"/>
    </xf>
    <xf numFmtId="49" fontId="1" fillId="2" borderId="18" xfId="16" applyNumberFormat="1" applyFont="1" applyFill="1" applyBorder="1" applyAlignment="1">
      <alignment horizontal="center"/>
    </xf>
    <xf numFmtId="49" fontId="1" fillId="2" borderId="19" xfId="16" applyNumberFormat="1" applyFont="1" applyFill="1" applyBorder="1" applyAlignment="1">
      <alignment horizontal="center"/>
    </xf>
    <xf numFmtId="49" fontId="1" fillId="2" borderId="16" xfId="16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wrapText="1"/>
    </xf>
    <xf numFmtId="49" fontId="1" fillId="2" borderId="1" xfId="7" applyNumberFormat="1" applyFont="1" applyFill="1" applyBorder="1" applyAlignment="1">
      <alignment wrapText="1"/>
    </xf>
    <xf numFmtId="0" fontId="2" fillId="2" borderId="1" xfId="7" applyFont="1" applyFill="1" applyBorder="1" applyAlignment="1">
      <alignment horizontal="center" vertical="top"/>
    </xf>
    <xf numFmtId="49" fontId="2" fillId="2" borderId="9" xfId="7" applyNumberFormat="1" applyFont="1" applyFill="1" applyBorder="1" applyAlignment="1">
      <alignment horizontal="center"/>
    </xf>
    <xf numFmtId="49" fontId="2" fillId="2" borderId="3" xfId="7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wrapText="1"/>
    </xf>
    <xf numFmtId="49" fontId="1" fillId="2" borderId="1" xfId="4" applyNumberFormat="1" applyFont="1" applyFill="1" applyBorder="1" applyAlignment="1" applyProtection="1">
      <alignment horizontal="left" wrapText="1"/>
      <protection hidden="1"/>
    </xf>
    <xf numFmtId="0" fontId="8" fillId="2" borderId="1" xfId="7" applyFont="1" applyFill="1" applyBorder="1" applyAlignment="1">
      <alignment horizontal="center" vertical="top"/>
    </xf>
    <xf numFmtId="164" fontId="1" fillId="2" borderId="1" xfId="7" applyNumberFormat="1" applyFont="1" applyFill="1" applyBorder="1" applyAlignment="1"/>
    <xf numFmtId="49" fontId="1" fillId="2" borderId="9" xfId="6" applyNumberFormat="1" applyFont="1" applyFill="1" applyBorder="1" applyAlignment="1">
      <alignment horizontal="center"/>
    </xf>
    <xf numFmtId="49" fontId="1" fillId="2" borderId="3" xfId="6" applyNumberFormat="1" applyFont="1" applyFill="1" applyBorder="1" applyAlignment="1">
      <alignment horizontal="center"/>
    </xf>
    <xf numFmtId="49" fontId="1" fillId="2" borderId="1" xfId="6" applyNumberFormat="1" applyFont="1" applyFill="1" applyBorder="1" applyAlignment="1">
      <alignment horizontal="center"/>
    </xf>
    <xf numFmtId="49" fontId="1" fillId="2" borderId="4" xfId="7" applyNumberFormat="1" applyFont="1" applyFill="1" applyBorder="1" applyAlignment="1">
      <alignment horizontal="center"/>
    </xf>
    <xf numFmtId="49" fontId="1" fillId="2" borderId="0" xfId="7" applyNumberFormat="1" applyFont="1" applyFill="1" applyBorder="1" applyAlignment="1">
      <alignment horizontal="center"/>
    </xf>
    <xf numFmtId="49" fontId="1" fillId="2" borderId="11" xfId="7" applyNumberFormat="1" applyFont="1" applyFill="1" applyBorder="1" applyAlignment="1">
      <alignment horizontal="center"/>
    </xf>
    <xf numFmtId="49" fontId="2" fillId="2" borderId="1" xfId="7" applyNumberFormat="1" applyFont="1" applyFill="1" applyBorder="1" applyAlignment="1">
      <alignment wrapText="1"/>
    </xf>
    <xf numFmtId="49" fontId="1" fillId="2" borderId="1" xfId="6" applyNumberFormat="1" applyFont="1" applyFill="1" applyBorder="1" applyAlignment="1">
      <alignment horizontal="left" wrapText="1"/>
    </xf>
    <xf numFmtId="0" fontId="1" fillId="2" borderId="1" xfId="5" applyFont="1" applyFill="1" applyBorder="1" applyAlignment="1">
      <alignment horizontal="center" vertical="top"/>
    </xf>
    <xf numFmtId="49" fontId="1" fillId="2" borderId="10" xfId="0" applyNumberFormat="1" applyFont="1" applyFill="1" applyBorder="1" applyAlignment="1">
      <alignment horizontal="center"/>
    </xf>
    <xf numFmtId="49" fontId="2" fillId="2" borderId="1" xfId="5" applyNumberFormat="1" applyFont="1" applyFill="1" applyBorder="1" applyAlignment="1">
      <alignment horizontal="left" wrapText="1"/>
    </xf>
    <xf numFmtId="49" fontId="2" fillId="2" borderId="9" xfId="6" applyNumberFormat="1" applyFont="1" applyFill="1" applyBorder="1" applyAlignment="1">
      <alignment horizontal="center"/>
    </xf>
    <xf numFmtId="166" fontId="2" fillId="2" borderId="1" xfId="7" applyNumberFormat="1" applyFont="1" applyFill="1" applyBorder="1" applyAlignment="1">
      <alignment horizontal="center"/>
    </xf>
    <xf numFmtId="49" fontId="1" fillId="2" borderId="1" xfId="5" applyNumberFormat="1" applyFont="1" applyFill="1" applyBorder="1" applyAlignment="1">
      <alignment wrapText="1"/>
    </xf>
    <xf numFmtId="49" fontId="1" fillId="2" borderId="6" xfId="11" applyNumberFormat="1" applyFont="1" applyFill="1" applyBorder="1" applyAlignment="1">
      <alignment horizontal="center"/>
    </xf>
    <xf numFmtId="166" fontId="1" fillId="2" borderId="1" xfId="7" applyNumberFormat="1" applyFont="1" applyFill="1" applyBorder="1" applyAlignment="1">
      <alignment horizontal="center"/>
    </xf>
    <xf numFmtId="49" fontId="1" fillId="2" borderId="2" xfId="11" applyNumberFormat="1" applyFont="1" applyFill="1" applyBorder="1" applyAlignment="1">
      <alignment horizontal="center"/>
    </xf>
    <xf numFmtId="49" fontId="1" fillId="2" borderId="0" xfId="5" applyNumberFormat="1" applyFont="1" applyFill="1" applyBorder="1" applyAlignment="1">
      <alignment horizontal="center"/>
    </xf>
    <xf numFmtId="49" fontId="1" fillId="2" borderId="21" xfId="14" applyNumberFormat="1" applyFont="1" applyFill="1" applyBorder="1" applyAlignment="1">
      <alignment wrapText="1"/>
    </xf>
    <xf numFmtId="49" fontId="1" fillId="2" borderId="17" xfId="6" applyNumberFormat="1" applyFont="1" applyFill="1" applyBorder="1" applyAlignment="1">
      <alignment horizontal="center"/>
    </xf>
    <xf numFmtId="49" fontId="1" fillId="2" borderId="18" xfId="14" applyNumberFormat="1" applyFont="1" applyFill="1" applyBorder="1" applyAlignment="1">
      <alignment horizontal="center"/>
    </xf>
    <xf numFmtId="49" fontId="1" fillId="2" borderId="19" xfId="14" applyNumberFormat="1" applyFont="1" applyFill="1" applyBorder="1" applyAlignment="1">
      <alignment horizontal="center"/>
    </xf>
    <xf numFmtId="49" fontId="1" fillId="2" borderId="21" xfId="14" applyNumberFormat="1" applyFont="1" applyFill="1" applyBorder="1" applyAlignment="1">
      <alignment horizontal="center"/>
    </xf>
    <xf numFmtId="49" fontId="1" fillId="2" borderId="16" xfId="14" applyNumberFormat="1" applyFont="1" applyFill="1" applyBorder="1" applyAlignment="1">
      <alignment wrapText="1"/>
    </xf>
    <xf numFmtId="49" fontId="1" fillId="2" borderId="16" xfId="14" applyNumberFormat="1" applyFont="1" applyFill="1" applyBorder="1" applyAlignment="1">
      <alignment horizontal="center"/>
    </xf>
    <xf numFmtId="49" fontId="1" fillId="2" borderId="17" xfId="5" applyNumberFormat="1" applyFont="1" applyFill="1" applyBorder="1" applyAlignment="1">
      <alignment wrapText="1"/>
    </xf>
    <xf numFmtId="49" fontId="1" fillId="2" borderId="24" xfId="6" applyNumberFormat="1" applyFont="1" applyFill="1" applyBorder="1" applyAlignment="1">
      <alignment horizontal="center"/>
    </xf>
    <xf numFmtId="49" fontId="1" fillId="2" borderId="20" xfId="6" applyNumberFormat="1" applyFont="1" applyFill="1" applyBorder="1" applyAlignment="1">
      <alignment horizontal="center"/>
    </xf>
    <xf numFmtId="49" fontId="1" fillId="2" borderId="20" xfId="14" applyNumberFormat="1" applyFont="1" applyFill="1" applyBorder="1" applyAlignment="1">
      <alignment horizontal="center"/>
    </xf>
    <xf numFmtId="49" fontId="1" fillId="2" borderId="9" xfId="14" applyNumberFormat="1" applyFont="1" applyFill="1" applyBorder="1" applyAlignment="1">
      <alignment horizontal="center"/>
    </xf>
    <xf numFmtId="49" fontId="1" fillId="2" borderId="3" xfId="14" applyNumberFormat="1" applyFont="1" applyFill="1" applyBorder="1" applyAlignment="1">
      <alignment horizontal="center"/>
    </xf>
    <xf numFmtId="49" fontId="1" fillId="2" borderId="1" xfId="14" applyNumberFormat="1" applyFont="1" applyFill="1" applyBorder="1" applyAlignment="1">
      <alignment horizontal="center"/>
    </xf>
    <xf numFmtId="49" fontId="1" fillId="2" borderId="7" xfId="14" applyNumberFormat="1" applyFont="1" applyFill="1" applyBorder="1" applyAlignment="1">
      <alignment horizontal="center"/>
    </xf>
    <xf numFmtId="49" fontId="1" fillId="2" borderId="8" xfId="14" applyNumberFormat="1" applyFont="1" applyFill="1" applyBorder="1" applyAlignment="1">
      <alignment horizontal="center"/>
    </xf>
    <xf numFmtId="49" fontId="1" fillId="2" borderId="3" xfId="5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wrapText="1"/>
    </xf>
    <xf numFmtId="49" fontId="1" fillId="2" borderId="16" xfId="5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vertical="top" wrapText="1"/>
    </xf>
    <xf numFmtId="49" fontId="1" fillId="2" borderId="19" xfId="5" applyNumberFormat="1" applyFont="1" applyFill="1" applyBorder="1" applyAlignment="1">
      <alignment wrapText="1"/>
    </xf>
    <xf numFmtId="49" fontId="1" fillId="2" borderId="17" xfId="5" applyNumberFormat="1" applyFont="1" applyFill="1" applyBorder="1" applyAlignment="1">
      <alignment horizontal="center"/>
    </xf>
    <xf numFmtId="49" fontId="1" fillId="2" borderId="18" xfId="5" applyNumberFormat="1" applyFont="1" applyFill="1" applyBorder="1" applyAlignment="1">
      <alignment horizontal="center"/>
    </xf>
    <xf numFmtId="49" fontId="1" fillId="2" borderId="19" xfId="5" applyNumberFormat="1" applyFont="1" applyFill="1" applyBorder="1" applyAlignment="1">
      <alignment horizontal="center"/>
    </xf>
    <xf numFmtId="49" fontId="1" fillId="2" borderId="16" xfId="5" applyNumberFormat="1" applyFont="1" applyFill="1" applyBorder="1" applyAlignment="1">
      <alignment horizontal="center"/>
    </xf>
    <xf numFmtId="49" fontId="1" fillId="2" borderId="19" xfId="16" applyNumberFormat="1" applyFont="1" applyFill="1" applyBorder="1" applyAlignment="1">
      <alignment wrapText="1"/>
    </xf>
    <xf numFmtId="49" fontId="1" fillId="2" borderId="19" xfId="16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2" fillId="2" borderId="1" xfId="6" applyNumberFormat="1" applyFont="1" applyFill="1" applyBorder="1" applyAlignment="1">
      <alignment horizontal="center"/>
    </xf>
    <xf numFmtId="49" fontId="2" fillId="2" borderId="1" xfId="4" applyNumberFormat="1" applyFont="1" applyFill="1" applyBorder="1" applyAlignment="1" applyProtection="1">
      <alignment horizontal="left" wrapText="1"/>
      <protection hidden="1"/>
    </xf>
    <xf numFmtId="0" fontId="1" fillId="2" borderId="0" xfId="7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164" fontId="1" fillId="2" borderId="0" xfId="7" applyNumberFormat="1" applyFont="1" applyFill="1" applyBorder="1" applyAlignment="1">
      <alignment horizontal="right"/>
    </xf>
    <xf numFmtId="164" fontId="2" fillId="2" borderId="0" xfId="7" applyNumberFormat="1" applyFont="1" applyFill="1" applyBorder="1" applyAlignment="1"/>
    <xf numFmtId="0" fontId="1" fillId="2" borderId="0" xfId="7" applyFont="1" applyFill="1" applyBorder="1" applyAlignment="1">
      <alignment horizontal="left"/>
    </xf>
    <xf numFmtId="0" fontId="1" fillId="2" borderId="0" xfId="7" applyFont="1" applyFill="1" applyAlignment="1">
      <alignment horizontal="left"/>
    </xf>
    <xf numFmtId="166" fontId="1" fillId="2" borderId="0" xfId="7" applyNumberFormat="1" applyFont="1" applyFill="1" applyAlignment="1">
      <alignment horizontal="right"/>
    </xf>
    <xf numFmtId="164" fontId="2" fillId="2" borderId="1" xfId="0" applyNumberFormat="1" applyFont="1" applyFill="1" applyBorder="1" applyAlignment="1">
      <alignment horizontal="right" vertical="top"/>
    </xf>
    <xf numFmtId="0" fontId="28" fillId="2" borderId="1" xfId="0" applyFont="1" applyFill="1" applyBorder="1" applyAlignment="1">
      <alignment vertical="top" wrapText="1"/>
    </xf>
    <xf numFmtId="0" fontId="20" fillId="0" borderId="0" xfId="1" applyFont="1" applyFill="1" applyAlignment="1">
      <alignment vertical="top" wrapText="1"/>
    </xf>
    <xf numFmtId="0" fontId="20" fillId="0" borderId="0" xfId="1" applyFont="1" applyFill="1" applyAlignment="1">
      <alignment horizontal="right" vertical="top" wrapText="1"/>
    </xf>
    <xf numFmtId="164" fontId="1" fillId="0" borderId="1" xfId="1" applyNumberFormat="1" applyFont="1" applyFill="1" applyBorder="1" applyAlignment="1"/>
    <xf numFmtId="0" fontId="6" fillId="0" borderId="1" xfId="7" applyFont="1" applyFill="1" applyBorder="1" applyAlignment="1">
      <alignment wrapText="1"/>
    </xf>
    <xf numFmtId="164" fontId="6" fillId="0" borderId="1" xfId="1" applyNumberFormat="1" applyFont="1" applyFill="1" applyBorder="1" applyAlignment="1">
      <alignment horizontal="right"/>
    </xf>
    <xf numFmtId="0" fontId="1" fillId="0" borderId="1" xfId="1" applyFont="1" applyFill="1" applyBorder="1"/>
    <xf numFmtId="0" fontId="8" fillId="0" borderId="1" xfId="7" applyFont="1" applyFill="1" applyBorder="1"/>
    <xf numFmtId="0" fontId="1" fillId="0" borderId="0" xfId="1" applyFont="1" applyFill="1" applyBorder="1"/>
    <xf numFmtId="0" fontId="6" fillId="0" borderId="0" xfId="7" applyFont="1" applyFill="1" applyBorder="1" applyAlignment="1">
      <alignment wrapText="1"/>
    </xf>
    <xf numFmtId="164" fontId="6" fillId="0" borderId="0" xfId="1" applyNumberFormat="1" applyFont="1" applyFill="1" applyBorder="1" applyAlignment="1">
      <alignment horizontal="right"/>
    </xf>
    <xf numFmtId="0" fontId="3" fillId="2" borderId="0" xfId="5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right" vertical="top"/>
    </xf>
    <xf numFmtId="1" fontId="2" fillId="2" borderId="0" xfId="2" applyNumberFormat="1" applyFont="1" applyFill="1" applyAlignment="1">
      <alignment horizontal="center" wrapText="1"/>
    </xf>
    <xf numFmtId="49" fontId="1" fillId="2" borderId="2" xfId="7" applyNumberFormat="1" applyFont="1" applyFill="1" applyBorder="1" applyAlignment="1">
      <alignment horizontal="center"/>
    </xf>
    <xf numFmtId="49" fontId="1" fillId="2" borderId="9" xfId="7" applyNumberFormat="1" applyFont="1" applyFill="1" applyBorder="1" applyAlignment="1">
      <alignment horizontal="center"/>
    </xf>
    <xf numFmtId="49" fontId="1" fillId="2" borderId="3" xfId="7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15" fillId="2" borderId="0" xfId="0" applyFont="1" applyFill="1"/>
    <xf numFmtId="0" fontId="15" fillId="2" borderId="1" xfId="0" applyFont="1" applyFill="1" applyBorder="1"/>
    <xf numFmtId="0" fontId="8" fillId="2" borderId="1" xfId="0" applyFont="1" applyFill="1" applyBorder="1"/>
    <xf numFmtId="166" fontId="19" fillId="2" borderId="0" xfId="0" applyNumberFormat="1" applyFont="1" applyFill="1"/>
    <xf numFmtId="166" fontId="3" fillId="2" borderId="0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vertical="top" wrapText="1"/>
    </xf>
    <xf numFmtId="0" fontId="10" fillId="2" borderId="0" xfId="0" applyFont="1" applyFill="1"/>
    <xf numFmtId="0" fontId="11" fillId="2" borderId="0" xfId="0" applyFont="1" applyFill="1"/>
    <xf numFmtId="0" fontId="30" fillId="2" borderId="0" xfId="0" applyFont="1" applyFill="1"/>
    <xf numFmtId="0" fontId="2" fillId="2" borderId="16" xfId="16" applyFont="1" applyFill="1" applyBorder="1" applyAlignment="1">
      <alignment horizontal="center" vertical="top"/>
    </xf>
    <xf numFmtId="49" fontId="2" fillId="2" borderId="19" xfId="16" applyNumberFormat="1" applyFont="1" applyFill="1" applyBorder="1" applyAlignment="1">
      <alignment wrapText="1"/>
    </xf>
    <xf numFmtId="49" fontId="2" fillId="2" borderId="16" xfId="16" applyNumberFormat="1" applyFont="1" applyFill="1" applyBorder="1" applyAlignment="1">
      <alignment horizontal="center" wrapText="1"/>
    </xf>
    <xf numFmtId="49" fontId="2" fillId="2" borderId="16" xfId="16" applyNumberFormat="1" applyFont="1" applyFill="1" applyBorder="1" applyAlignment="1">
      <alignment horizontal="center"/>
    </xf>
    <xf numFmtId="49" fontId="2" fillId="2" borderId="25" xfId="16" applyNumberFormat="1" applyFont="1" applyFill="1" applyBorder="1" applyAlignment="1">
      <alignment horizontal="center"/>
    </xf>
    <xf numFmtId="49" fontId="2" fillId="2" borderId="20" xfId="16" applyNumberFormat="1" applyFont="1" applyFill="1" applyBorder="1" applyAlignment="1">
      <alignment horizontal="center"/>
    </xf>
    <xf numFmtId="49" fontId="2" fillId="2" borderId="26" xfId="16" applyNumberFormat="1" applyFont="1" applyFill="1" applyBorder="1" applyAlignment="1">
      <alignment horizontal="center"/>
    </xf>
    <xf numFmtId="164" fontId="2" fillId="2" borderId="16" xfId="16" applyNumberFormat="1" applyFont="1" applyFill="1" applyBorder="1" applyAlignment="1">
      <alignment horizontal="right"/>
    </xf>
    <xf numFmtId="0" fontId="15" fillId="2" borderId="0" xfId="16" applyFont="1" applyFill="1"/>
    <xf numFmtId="0" fontId="1" fillId="2" borderId="16" xfId="16" applyFont="1" applyFill="1" applyBorder="1" applyAlignment="1">
      <alignment horizontal="center" vertical="top"/>
    </xf>
    <xf numFmtId="49" fontId="1" fillId="2" borderId="16" xfId="11" applyNumberFormat="1" applyFont="1" applyFill="1" applyBorder="1" applyAlignment="1">
      <alignment horizontal="center" wrapText="1"/>
    </xf>
    <xf numFmtId="49" fontId="1" fillId="2" borderId="16" xfId="11" applyNumberFormat="1" applyFont="1" applyFill="1" applyBorder="1" applyAlignment="1">
      <alignment horizontal="center"/>
    </xf>
    <xf numFmtId="49" fontId="1" fillId="2" borderId="17" xfId="16" applyNumberFormat="1" applyFont="1" applyFill="1" applyBorder="1" applyAlignment="1">
      <alignment horizontal="center"/>
    </xf>
    <xf numFmtId="164" fontId="1" fillId="2" borderId="16" xfId="16" applyNumberFormat="1" applyFont="1" applyFill="1" applyBorder="1" applyAlignment="1">
      <alignment horizontal="right"/>
    </xf>
    <xf numFmtId="0" fontId="8" fillId="2" borderId="0" xfId="16" applyFont="1" applyFill="1"/>
    <xf numFmtId="49" fontId="1" fillId="2" borderId="25" xfId="11" applyNumberFormat="1" applyFont="1" applyFill="1" applyBorder="1" applyAlignment="1">
      <alignment horizontal="center"/>
    </xf>
    <xf numFmtId="49" fontId="1" fillId="2" borderId="20" xfId="16" applyNumberFormat="1" applyFont="1" applyFill="1" applyBorder="1" applyAlignment="1">
      <alignment horizontal="center"/>
    </xf>
    <xf numFmtId="49" fontId="1" fillId="2" borderId="26" xfId="16" applyNumberFormat="1" applyFont="1" applyFill="1" applyBorder="1" applyAlignment="1">
      <alignment horizontal="center"/>
    </xf>
    <xf numFmtId="49" fontId="1" fillId="2" borderId="25" xfId="6" applyNumberFormat="1" applyFont="1" applyFill="1" applyBorder="1" applyAlignment="1">
      <alignment horizontal="center"/>
    </xf>
    <xf numFmtId="49" fontId="1" fillId="2" borderId="18" xfId="16" applyNumberFormat="1" applyFont="1" applyFill="1" applyBorder="1" applyAlignment="1">
      <alignment wrapText="1"/>
    </xf>
    <xf numFmtId="49" fontId="1" fillId="2" borderId="18" xfId="6" applyNumberFormat="1" applyFont="1" applyFill="1" applyBorder="1" applyAlignment="1">
      <alignment horizontal="center"/>
    </xf>
    <xf numFmtId="49" fontId="1" fillId="2" borderId="19" xfId="8" applyNumberFormat="1" applyFont="1" applyFill="1" applyBorder="1" applyAlignment="1">
      <alignment wrapText="1"/>
    </xf>
    <xf numFmtId="0" fontId="1" fillId="2" borderId="16" xfId="5" applyFont="1" applyFill="1" applyBorder="1" applyAlignment="1">
      <alignment horizontal="center" vertical="top"/>
    </xf>
    <xf numFmtId="49" fontId="1" fillId="2" borderId="19" xfId="5" applyNumberFormat="1" applyFont="1" applyFill="1" applyBorder="1" applyAlignment="1">
      <alignment horizontal="left" wrapText="1"/>
    </xf>
    <xf numFmtId="49" fontId="1" fillId="2" borderId="16" xfId="5" applyNumberFormat="1" applyFont="1" applyFill="1" applyBorder="1" applyAlignment="1">
      <alignment horizontal="center" wrapText="1"/>
    </xf>
    <xf numFmtId="0" fontId="8" fillId="2" borderId="0" xfId="5" applyFont="1" applyFill="1"/>
    <xf numFmtId="49" fontId="1" fillId="2" borderId="19" xfId="16" applyNumberFormat="1" applyFont="1" applyFill="1" applyBorder="1" applyAlignment="1">
      <alignment horizontal="left" wrapText="1"/>
    </xf>
    <xf numFmtId="0" fontId="15" fillId="2" borderId="0" xfId="5" applyFont="1" applyFill="1"/>
    <xf numFmtId="164" fontId="10" fillId="2" borderId="0" xfId="0" applyNumberFormat="1" applyFont="1" applyFill="1"/>
    <xf numFmtId="164" fontId="11" fillId="2" borderId="0" xfId="0" applyNumberFormat="1" applyFont="1" applyFill="1"/>
    <xf numFmtId="49" fontId="2" fillId="2" borderId="3" xfId="0" applyNumberFormat="1" applyFont="1" applyFill="1" applyBorder="1" applyAlignment="1">
      <alignment horizontal="left" wrapText="1"/>
    </xf>
    <xf numFmtId="49" fontId="1" fillId="2" borderId="1" xfId="6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vertical="top" wrapText="1"/>
    </xf>
    <xf numFmtId="0" fontId="1" fillId="2" borderId="3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166" fontId="8" fillId="2" borderId="0" xfId="7" applyNumberFormat="1" applyFont="1" applyFill="1"/>
    <xf numFmtId="0" fontId="22" fillId="2" borderId="0" xfId="0" applyFont="1" applyFill="1"/>
    <xf numFmtId="166" fontId="22" fillId="2" borderId="0" xfId="0" applyNumberFormat="1" applyFont="1" applyFill="1"/>
    <xf numFmtId="164" fontId="11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left"/>
    </xf>
    <xf numFmtId="166" fontId="3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wrapText="1"/>
    </xf>
    <xf numFmtId="170" fontId="8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0" fontId="1" fillId="2" borderId="5" xfId="0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right"/>
    </xf>
    <xf numFmtId="49" fontId="1" fillId="2" borderId="16" xfId="12" applyNumberFormat="1" applyFont="1" applyFill="1" applyBorder="1" applyAlignment="1">
      <alignment horizontal="center" wrapText="1"/>
    </xf>
    <xf numFmtId="49" fontId="1" fillId="2" borderId="16" xfId="12" applyNumberFormat="1" applyFont="1" applyFill="1" applyBorder="1" applyAlignment="1">
      <alignment horizontal="center"/>
    </xf>
    <xf numFmtId="49" fontId="1" fillId="2" borderId="17" xfId="12" applyNumberFormat="1" applyFont="1" applyFill="1" applyBorder="1" applyAlignment="1">
      <alignment horizontal="center"/>
    </xf>
    <xf numFmtId="49" fontId="1" fillId="2" borderId="18" xfId="12" applyNumberFormat="1" applyFont="1" applyFill="1" applyBorder="1" applyAlignment="1">
      <alignment horizontal="center"/>
    </xf>
    <xf numFmtId="49" fontId="1" fillId="2" borderId="19" xfId="12" applyNumberFormat="1" applyFont="1" applyFill="1" applyBorder="1" applyAlignment="1">
      <alignment horizontal="center"/>
    </xf>
    <xf numFmtId="170" fontId="8" fillId="2" borderId="0" xfId="16" applyNumberFormat="1" applyFont="1" applyFill="1"/>
    <xf numFmtId="49" fontId="1" fillId="2" borderId="0" xfId="16" applyNumberFormat="1" applyFont="1" applyFill="1" applyBorder="1" applyAlignment="1">
      <alignment horizontal="center"/>
    </xf>
    <xf numFmtId="0" fontId="1" fillId="2" borderId="21" xfId="14" applyFont="1" applyFill="1" applyBorder="1" applyAlignment="1">
      <alignment horizontal="center" vertical="top"/>
    </xf>
    <xf numFmtId="49" fontId="1" fillId="2" borderId="22" xfId="14" applyNumberFormat="1" applyFont="1" applyFill="1" applyBorder="1" applyAlignment="1">
      <alignment wrapText="1"/>
    </xf>
    <xf numFmtId="49" fontId="1" fillId="2" borderId="27" xfId="11" applyNumberFormat="1" applyFont="1" applyFill="1" applyBorder="1" applyAlignment="1">
      <alignment horizontal="center" wrapText="1"/>
    </xf>
    <xf numFmtId="49" fontId="1" fillId="2" borderId="27" xfId="11" applyNumberFormat="1" applyFont="1" applyFill="1" applyBorder="1" applyAlignment="1">
      <alignment horizontal="center"/>
    </xf>
    <xf numFmtId="164" fontId="1" fillId="2" borderId="21" xfId="14" applyNumberFormat="1" applyFont="1" applyFill="1" applyBorder="1" applyAlignment="1">
      <alignment horizontal="right"/>
    </xf>
    <xf numFmtId="170" fontId="8" fillId="2" borderId="0" xfId="14" applyNumberFormat="1" applyFont="1" applyFill="1"/>
    <xf numFmtId="0" fontId="8" fillId="2" borderId="0" xfId="14" applyFont="1" applyFill="1"/>
    <xf numFmtId="0" fontId="1" fillId="2" borderId="16" xfId="14" applyFont="1" applyFill="1" applyBorder="1" applyAlignment="1">
      <alignment horizontal="center" vertical="top"/>
    </xf>
    <xf numFmtId="49" fontId="1" fillId="2" borderId="18" xfId="14" applyNumberFormat="1" applyFont="1" applyFill="1" applyBorder="1" applyAlignment="1">
      <alignment wrapText="1"/>
    </xf>
    <xf numFmtId="164" fontId="1" fillId="2" borderId="16" xfId="14" applyNumberFormat="1" applyFont="1" applyFill="1" applyBorder="1" applyAlignment="1">
      <alignment horizontal="right"/>
    </xf>
    <xf numFmtId="49" fontId="1" fillId="2" borderId="20" xfId="16" applyNumberFormat="1" applyFont="1" applyFill="1" applyBorder="1" applyAlignment="1">
      <alignment wrapText="1"/>
    </xf>
    <xf numFmtId="49" fontId="1" fillId="2" borderId="26" xfId="14" applyNumberFormat="1" applyFont="1" applyFill="1" applyBorder="1" applyAlignment="1">
      <alignment horizontal="center"/>
    </xf>
    <xf numFmtId="49" fontId="1" fillId="2" borderId="23" xfId="14" applyNumberFormat="1" applyFont="1" applyFill="1" applyBorder="1" applyAlignment="1">
      <alignment horizontal="center"/>
    </xf>
    <xf numFmtId="164" fontId="1" fillId="2" borderId="23" xfId="14" applyNumberFormat="1" applyFont="1" applyFill="1" applyBorder="1" applyAlignment="1">
      <alignment horizontal="right"/>
    </xf>
    <xf numFmtId="49" fontId="1" fillId="2" borderId="16" xfId="16" applyNumberFormat="1" applyFont="1" applyFill="1" applyBorder="1" applyAlignment="1">
      <alignment wrapText="1"/>
    </xf>
    <xf numFmtId="0" fontId="1" fillId="2" borderId="23" xfId="14" applyFont="1" applyFill="1" applyBorder="1" applyAlignment="1">
      <alignment horizontal="center" vertical="top"/>
    </xf>
    <xf numFmtId="49" fontId="1" fillId="2" borderId="23" xfId="11" applyNumberFormat="1" applyFont="1" applyFill="1" applyBorder="1" applyAlignment="1">
      <alignment horizontal="center" wrapText="1"/>
    </xf>
    <xf numFmtId="49" fontId="1" fillId="2" borderId="19" xfId="6" applyNumberFormat="1" applyFont="1" applyFill="1" applyBorder="1" applyAlignment="1">
      <alignment horizontal="left" wrapText="1"/>
    </xf>
    <xf numFmtId="164" fontId="1" fillId="2" borderId="16" xfId="5" applyNumberFormat="1" applyFont="1" applyFill="1" applyBorder="1" applyAlignment="1">
      <alignment horizontal="right"/>
    </xf>
    <xf numFmtId="167" fontId="10" fillId="2" borderId="0" xfId="0" applyNumberFormat="1" applyFont="1" applyFill="1"/>
    <xf numFmtId="167" fontId="15" fillId="2" borderId="0" xfId="0" applyNumberFormat="1" applyFont="1" applyFill="1"/>
    <xf numFmtId="164" fontId="3" fillId="2" borderId="1" xfId="0" applyNumberFormat="1" applyFont="1" applyFill="1" applyBorder="1" applyAlignment="1">
      <alignment horizontal="right"/>
    </xf>
    <xf numFmtId="4" fontId="1" fillId="2" borderId="3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right"/>
    </xf>
    <xf numFmtId="0" fontId="30" fillId="2" borderId="0" xfId="0" applyFont="1" applyFill="1" applyBorder="1"/>
    <xf numFmtId="164" fontId="11" fillId="2" borderId="0" xfId="0" applyNumberFormat="1" applyFont="1" applyFill="1" applyBorder="1"/>
    <xf numFmtId="164" fontId="10" fillId="2" borderId="0" xfId="0" applyNumberFormat="1" applyFont="1" applyFill="1" applyBorder="1"/>
    <xf numFmtId="164" fontId="1" fillId="2" borderId="1" xfId="7" applyNumberFormat="1" applyFont="1" applyFill="1" applyBorder="1"/>
    <xf numFmtId="166" fontId="1" fillId="2" borderId="0" xfId="7" applyNumberFormat="1" applyFont="1" applyFill="1" applyBorder="1" applyAlignment="1">
      <alignment horizontal="right"/>
    </xf>
    <xf numFmtId="166" fontId="1" fillId="2" borderId="1" xfId="3" applyNumberFormat="1" applyFont="1" applyFill="1" applyBorder="1" applyAlignment="1">
      <alignment horizontal="center" vertical="center"/>
    </xf>
    <xf numFmtId="170" fontId="33" fillId="2" borderId="0" xfId="7" applyNumberFormat="1" applyFont="1" applyFill="1"/>
    <xf numFmtId="49" fontId="2" fillId="2" borderId="19" xfId="8" applyNumberFormat="1" applyFont="1" applyFill="1" applyBorder="1" applyAlignment="1">
      <alignment wrapText="1"/>
    </xf>
    <xf numFmtId="49" fontId="2" fillId="2" borderId="17" xfId="11" applyNumberFormat="1" applyFont="1" applyFill="1" applyBorder="1" applyAlignment="1">
      <alignment horizontal="center"/>
    </xf>
    <xf numFmtId="49" fontId="2" fillId="2" borderId="18" xfId="16" applyNumberFormat="1" applyFont="1" applyFill="1" applyBorder="1" applyAlignment="1">
      <alignment horizontal="center"/>
    </xf>
    <xf numFmtId="49" fontId="2" fillId="2" borderId="19" xfId="16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right" vertical="top"/>
    </xf>
    <xf numFmtId="164" fontId="6" fillId="3" borderId="1" xfId="1" applyNumberFormat="1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horizontal="right"/>
    </xf>
    <xf numFmtId="164" fontId="1" fillId="3" borderId="16" xfId="16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4" fillId="2" borderId="0" xfId="0" applyFont="1" applyFill="1" applyBorder="1"/>
    <xf numFmtId="0" fontId="34" fillId="2" borderId="0" xfId="0" applyFont="1" applyFill="1"/>
    <xf numFmtId="0" fontId="3" fillId="2" borderId="0" xfId="0" applyFont="1" applyFill="1" applyAlignment="1">
      <alignment horizontal="right" vertical="top"/>
    </xf>
    <xf numFmtId="0" fontId="23" fillId="2" borderId="0" xfId="0" applyFont="1" applyFill="1" applyAlignment="1">
      <alignment vertical="top"/>
    </xf>
    <xf numFmtId="49" fontId="11" fillId="2" borderId="0" xfId="7" applyNumberFormat="1" applyFont="1" applyFill="1" applyBorder="1" applyAlignment="1">
      <alignment horizontal="center" vertical="top"/>
    </xf>
    <xf numFmtId="166" fontId="3" fillId="2" borderId="0" xfId="7" applyNumberFormat="1" applyFont="1" applyFill="1" applyAlignment="1">
      <alignment horizontal="right" vertical="top"/>
    </xf>
    <xf numFmtId="0" fontId="2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center" vertical="center"/>
    </xf>
    <xf numFmtId="49" fontId="10" fillId="2" borderId="0" xfId="7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0" xfId="7" applyFont="1" applyFill="1" applyBorder="1" applyAlignment="1">
      <alignment horizontal="left" vertical="center"/>
    </xf>
    <xf numFmtId="0" fontId="3" fillId="2" borderId="0" xfId="7" applyFont="1" applyFill="1" applyAlignment="1">
      <alignment horizontal="left" vertical="center"/>
    </xf>
    <xf numFmtId="168" fontId="1" fillId="2" borderId="0" xfId="1" applyNumberFormat="1" applyFont="1" applyFill="1" applyAlignment="1">
      <alignment horizontal="right"/>
    </xf>
    <xf numFmtId="168" fontId="1" fillId="2" borderId="1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right"/>
    </xf>
    <xf numFmtId="165" fontId="1" fillId="2" borderId="1" xfId="1" applyNumberFormat="1" applyFont="1" applyFill="1" applyBorder="1" applyAlignment="1"/>
    <xf numFmtId="165" fontId="2" fillId="2" borderId="1" xfId="10" applyNumberFormat="1" applyFont="1" applyFill="1" applyBorder="1" applyAlignment="1">
      <alignment vertical="top"/>
    </xf>
    <xf numFmtId="168" fontId="1" fillId="2" borderId="0" xfId="1" applyNumberFormat="1" applyFont="1" applyFill="1"/>
    <xf numFmtId="168" fontId="1" fillId="2" borderId="0" xfId="7" applyNumberFormat="1" applyFont="1" applyFill="1" applyBorder="1"/>
    <xf numFmtId="0" fontId="1" fillId="2" borderId="0" xfId="1" applyFont="1" applyFill="1"/>
    <xf numFmtId="165" fontId="4" fillId="2" borderId="1" xfId="0" applyNumberFormat="1" applyFont="1" applyFill="1" applyBorder="1" applyAlignment="1">
      <alignment vertical="top"/>
    </xf>
    <xf numFmtId="165" fontId="1" fillId="2" borderId="1" xfId="0" applyNumberFormat="1" applyFont="1" applyFill="1" applyBorder="1" applyAlignment="1">
      <alignment vertical="top"/>
    </xf>
    <xf numFmtId="165" fontId="1" fillId="2" borderId="1" xfId="1" applyNumberFormat="1" applyFont="1" applyFill="1" applyBorder="1" applyAlignment="1">
      <alignment horizontal="right" vertical="top"/>
    </xf>
    <xf numFmtId="165" fontId="1" fillId="2" borderId="1" xfId="1" applyNumberFormat="1" applyFont="1" applyFill="1" applyBorder="1" applyAlignment="1">
      <alignment vertical="top"/>
    </xf>
    <xf numFmtId="165" fontId="2" fillId="0" borderId="1" xfId="1" applyNumberFormat="1" applyFont="1" applyFill="1" applyBorder="1" applyAlignment="1">
      <alignment horizontal="right" vertical="top"/>
    </xf>
    <xf numFmtId="165" fontId="1" fillId="0" borderId="1" xfId="1" applyNumberFormat="1" applyFont="1" applyFill="1" applyBorder="1" applyAlignment="1">
      <alignment vertical="top"/>
    </xf>
    <xf numFmtId="49" fontId="35" fillId="2" borderId="0" xfId="7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15" fillId="3" borderId="0" xfId="0" applyFont="1" applyFill="1"/>
    <xf numFmtId="0" fontId="1" fillId="3" borderId="1" xfId="7" applyFont="1" applyFill="1" applyBorder="1" applyAlignment="1">
      <alignment horizontal="center" vertical="top"/>
    </xf>
    <xf numFmtId="164" fontId="1" fillId="3" borderId="1" xfId="7" applyNumberFormat="1" applyFont="1" applyFill="1" applyBorder="1" applyAlignment="1">
      <alignment horizontal="right"/>
    </xf>
    <xf numFmtId="0" fontId="15" fillId="3" borderId="0" xfId="7" applyFont="1" applyFill="1"/>
    <xf numFmtId="0" fontId="31" fillId="2" borderId="1" xfId="0" applyFont="1" applyFill="1" applyBorder="1" applyAlignment="1">
      <alignment horizontal="center" vertical="top"/>
    </xf>
    <xf numFmtId="0" fontId="36" fillId="2" borderId="0" xfId="0" applyFont="1" applyFill="1"/>
    <xf numFmtId="49" fontId="1" fillId="2" borderId="3" xfId="0" applyNumberFormat="1" applyFont="1" applyFill="1" applyBorder="1" applyAlignment="1">
      <alignment horizontal="center"/>
    </xf>
    <xf numFmtId="49" fontId="39" fillId="4" borderId="9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wrapText="1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41" fillId="2" borderId="3" xfId="0" applyNumberFormat="1" applyFont="1" applyFill="1" applyBorder="1" applyAlignment="1">
      <alignment wrapText="1"/>
    </xf>
    <xf numFmtId="49" fontId="41" fillId="2" borderId="3" xfId="0" applyNumberFormat="1" applyFont="1" applyFill="1" applyBorder="1" applyAlignment="1">
      <alignment horizontal="center"/>
    </xf>
    <xf numFmtId="49" fontId="41" fillId="2" borderId="1" xfId="0" applyNumberFormat="1" applyFont="1" applyFill="1" applyBorder="1" applyAlignment="1">
      <alignment horizontal="center"/>
    </xf>
    <xf numFmtId="0" fontId="37" fillId="2" borderId="1" xfId="7" applyFont="1" applyFill="1" applyBorder="1" applyAlignment="1">
      <alignment horizontal="center" vertical="top"/>
    </xf>
    <xf numFmtId="49" fontId="41" fillId="2" borderId="2" xfId="0" applyNumberFormat="1" applyFont="1" applyFill="1" applyBorder="1" applyAlignment="1">
      <alignment horizontal="center"/>
    </xf>
    <xf numFmtId="49" fontId="41" fillId="2" borderId="9" xfId="0" applyNumberFormat="1" applyFont="1" applyFill="1" applyBorder="1" applyAlignment="1">
      <alignment horizontal="center"/>
    </xf>
    <xf numFmtId="0" fontId="40" fillId="2" borderId="0" xfId="7" applyFont="1" applyFill="1"/>
    <xf numFmtId="0" fontId="37" fillId="2" borderId="1" xfId="0" applyFont="1" applyFill="1" applyBorder="1" applyAlignment="1">
      <alignment horizontal="center" vertical="top"/>
    </xf>
    <xf numFmtId="0" fontId="38" fillId="2" borderId="0" xfId="0" applyFont="1" applyFill="1"/>
    <xf numFmtId="0" fontId="42" fillId="2" borderId="0" xfId="0" applyFont="1" applyFill="1" applyAlignment="1">
      <alignment horizontal="right"/>
    </xf>
    <xf numFmtId="172" fontId="23" fillId="2" borderId="0" xfId="0" applyNumberFormat="1" applyFont="1" applyFill="1"/>
    <xf numFmtId="164" fontId="23" fillId="2" borderId="0" xfId="0" applyNumberFormat="1" applyFont="1" applyFill="1"/>
    <xf numFmtId="164" fontId="1" fillId="2" borderId="13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wrapText="1"/>
    </xf>
    <xf numFmtId="1" fontId="2" fillId="2" borderId="0" xfId="2" applyNumberFormat="1" applyFont="1" applyFill="1" applyAlignment="1">
      <alignment horizontal="center" wrapText="1"/>
    </xf>
    <xf numFmtId="166" fontId="1" fillId="0" borderId="13" xfId="0" applyNumberFormat="1" applyFont="1" applyFill="1" applyBorder="1" applyAlignment="1">
      <alignment vertical="center" wrapText="1"/>
    </xf>
    <xf numFmtId="167" fontId="3" fillId="0" borderId="13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/>
    </xf>
    <xf numFmtId="0" fontId="16" fillId="2" borderId="0" xfId="3" applyFont="1" applyFill="1"/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28" fillId="2" borderId="1" xfId="0" applyFont="1" applyFill="1" applyBorder="1" applyAlignment="1">
      <alignment horizontal="left" vertical="top" wrapText="1"/>
    </xf>
    <xf numFmtId="1" fontId="2" fillId="2" borderId="0" xfId="2" applyNumberFormat="1" applyFont="1" applyFill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173" fontId="4" fillId="0" borderId="5" xfId="13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left" vertical="top" wrapText="1"/>
    </xf>
    <xf numFmtId="164" fontId="1" fillId="2" borderId="0" xfId="7" applyNumberFormat="1" applyFont="1" applyFill="1" applyBorder="1"/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 vertical="top"/>
    </xf>
    <xf numFmtId="49" fontId="1" fillId="2" borderId="9" xfId="7" applyNumberFormat="1" applyFont="1" applyFill="1" applyBorder="1" applyAlignment="1">
      <alignment horizontal="center"/>
    </xf>
    <xf numFmtId="49" fontId="1" fillId="2" borderId="3" xfId="7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1" fillId="3" borderId="16" xfId="16" applyFont="1" applyFill="1" applyBorder="1" applyAlignment="1">
      <alignment horizontal="center" vertical="top"/>
    </xf>
    <xf numFmtId="49" fontId="1" fillId="3" borderId="19" xfId="11" applyNumberFormat="1" applyFont="1" applyFill="1" applyBorder="1" applyAlignment="1">
      <alignment wrapText="1"/>
    </xf>
    <xf numFmtId="49" fontId="1" fillId="3" borderId="16" xfId="11" applyNumberFormat="1" applyFont="1" applyFill="1" applyBorder="1" applyAlignment="1">
      <alignment horizontal="center" wrapText="1"/>
    </xf>
    <xf numFmtId="49" fontId="1" fillId="3" borderId="16" xfId="11" applyNumberFormat="1" applyFont="1" applyFill="1" applyBorder="1" applyAlignment="1">
      <alignment horizontal="center"/>
    </xf>
    <xf numFmtId="49" fontId="1" fillId="3" borderId="17" xfId="11" applyNumberFormat="1" applyFont="1" applyFill="1" applyBorder="1" applyAlignment="1">
      <alignment horizontal="center"/>
    </xf>
    <xf numFmtId="49" fontId="1" fillId="3" borderId="18" xfId="16" applyNumberFormat="1" applyFont="1" applyFill="1" applyBorder="1" applyAlignment="1">
      <alignment horizontal="center"/>
    </xf>
    <xf numFmtId="49" fontId="1" fillId="3" borderId="19" xfId="16" applyNumberFormat="1" applyFont="1" applyFill="1" applyBorder="1" applyAlignment="1">
      <alignment horizontal="center" wrapText="1"/>
    </xf>
    <xf numFmtId="49" fontId="1" fillId="3" borderId="16" xfId="16" applyNumberFormat="1" applyFont="1" applyFill="1" applyBorder="1" applyAlignment="1">
      <alignment horizontal="center"/>
    </xf>
    <xf numFmtId="170" fontId="8" fillId="3" borderId="0" xfId="16" applyNumberFormat="1" applyFont="1" applyFill="1"/>
    <xf numFmtId="0" fontId="8" fillId="3" borderId="0" xfId="16" applyFont="1" applyFill="1"/>
    <xf numFmtId="49" fontId="1" fillId="2" borderId="28" xfId="0" applyNumberFormat="1" applyFont="1" applyFill="1" applyBorder="1" applyAlignment="1">
      <alignment horizontal="center"/>
    </xf>
    <xf numFmtId="49" fontId="1" fillId="2" borderId="29" xfId="0" applyNumberFormat="1" applyFont="1" applyFill="1" applyBorder="1" applyAlignment="1">
      <alignment horizontal="center"/>
    </xf>
    <xf numFmtId="0" fontId="4" fillId="2" borderId="1" xfId="7" applyFont="1" applyFill="1" applyBorder="1" applyAlignment="1">
      <alignment horizontal="center" vertical="top"/>
    </xf>
    <xf numFmtId="49" fontId="4" fillId="2" borderId="1" xfId="7" applyNumberFormat="1" applyFont="1" applyFill="1" applyBorder="1" applyAlignment="1">
      <alignment wrapText="1"/>
    </xf>
    <xf numFmtId="49" fontId="4" fillId="2" borderId="9" xfId="7" applyNumberFormat="1" applyFont="1" applyFill="1" applyBorder="1" applyAlignment="1">
      <alignment horizontal="center"/>
    </xf>
    <xf numFmtId="164" fontId="1" fillId="2" borderId="0" xfId="14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14" fontId="10" fillId="2" borderId="0" xfId="0" applyNumberFormat="1" applyFont="1" applyFill="1"/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1" xfId="3" applyFont="1" applyFill="1" applyBorder="1" applyAlignment="1">
      <alignment horizontal="center" vertical="center" wrapText="1"/>
    </xf>
    <xf numFmtId="164" fontId="1" fillId="2" borderId="21" xfId="5" applyNumberFormat="1" applyFont="1" applyFill="1" applyBorder="1" applyAlignment="1">
      <alignment horizontal="right"/>
    </xf>
    <xf numFmtId="164" fontId="1" fillId="2" borderId="17" xfId="16" applyNumberFormat="1" applyFont="1" applyFill="1" applyBorder="1" applyAlignment="1">
      <alignment horizontal="right"/>
    </xf>
    <xf numFmtId="164" fontId="1" fillId="2" borderId="22" xfId="16" applyNumberFormat="1" applyFont="1" applyFill="1" applyBorder="1" applyAlignment="1">
      <alignment horizontal="right"/>
    </xf>
    <xf numFmtId="164" fontId="1" fillId="2" borderId="1" xfId="16" applyNumberFormat="1" applyFont="1" applyFill="1" applyBorder="1" applyAlignment="1">
      <alignment horizontal="right"/>
    </xf>
    <xf numFmtId="164" fontId="1" fillId="2" borderId="23" xfId="16" applyNumberFormat="1" applyFont="1" applyFill="1" applyBorder="1" applyAlignment="1">
      <alignment horizontal="right"/>
    </xf>
    <xf numFmtId="49" fontId="4" fillId="0" borderId="1" xfId="3" applyNumberFormat="1" applyFont="1" applyFill="1" applyBorder="1" applyAlignment="1">
      <alignment horizontal="center" vertical="top"/>
    </xf>
    <xf numFmtId="49" fontId="4" fillId="2" borderId="19" xfId="11" applyNumberFormat="1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3" applyFont="1" applyFill="1" applyBorder="1" applyAlignment="1">
      <alignment horizontal="center" wrapText="1"/>
    </xf>
    <xf numFmtId="0" fontId="2" fillId="2" borderId="1" xfId="3" applyFont="1" applyFill="1" applyBorder="1" applyAlignment="1"/>
    <xf numFmtId="164" fontId="2" fillId="2" borderId="1" xfId="10" applyNumberFormat="1" applyFont="1" applyFill="1" applyBorder="1" applyAlignment="1">
      <alignment horizontal="right" wrapText="1"/>
    </xf>
    <xf numFmtId="0" fontId="1" fillId="2" borderId="1" xfId="3" applyFont="1" applyFill="1" applyBorder="1" applyAlignment="1">
      <alignment horizontal="left" vertical="top" wrapText="1"/>
    </xf>
    <xf numFmtId="0" fontId="1" fillId="2" borderId="1" xfId="3" applyFont="1" applyFill="1" applyBorder="1" applyAlignment="1">
      <alignment horizontal="left"/>
    </xf>
    <xf numFmtId="164" fontId="1" fillId="2" borderId="1" xfId="3" applyNumberFormat="1" applyFont="1" applyFill="1" applyBorder="1" applyAlignment="1">
      <alignment horizontal="right" wrapText="1"/>
    </xf>
    <xf numFmtId="0" fontId="2" fillId="2" borderId="1" xfId="3" applyFont="1" applyFill="1" applyBorder="1" applyAlignment="1">
      <alignment wrapText="1"/>
    </xf>
    <xf numFmtId="164" fontId="2" fillId="2" borderId="1" xfId="3" applyNumberFormat="1" applyFont="1" applyFill="1" applyBorder="1" applyAlignment="1">
      <alignment horizontal="right" wrapText="1"/>
    </xf>
    <xf numFmtId="0" fontId="1" fillId="2" borderId="1" xfId="3" applyFont="1" applyFill="1" applyBorder="1" applyAlignment="1">
      <alignment wrapText="1"/>
    </xf>
    <xf numFmtId="49" fontId="1" fillId="2" borderId="1" xfId="3" applyNumberFormat="1" applyFont="1" applyFill="1" applyBorder="1" applyAlignment="1">
      <alignment horizontal="center" vertical="top"/>
    </xf>
    <xf numFmtId="49" fontId="2" fillId="2" borderId="1" xfId="3" applyNumberFormat="1" applyFont="1" applyFill="1" applyBorder="1" applyAlignment="1">
      <alignment horizontal="center" vertical="top"/>
    </xf>
    <xf numFmtId="49" fontId="3" fillId="2" borderId="1" xfId="3" applyNumberFormat="1" applyFont="1" applyFill="1" applyBorder="1" applyAlignment="1">
      <alignment horizontal="center" vertical="top"/>
    </xf>
    <xf numFmtId="0" fontId="3" fillId="2" borderId="1" xfId="3" applyFont="1" applyFill="1" applyBorder="1" applyAlignment="1">
      <alignment wrapText="1"/>
    </xf>
    <xf numFmtId="164" fontId="3" fillId="2" borderId="1" xfId="3" applyNumberFormat="1" applyFont="1" applyFill="1" applyBorder="1" applyAlignment="1">
      <alignment horizontal="right" wrapText="1"/>
    </xf>
    <xf numFmtId="49" fontId="1" fillId="2" borderId="1" xfId="11" applyNumberFormat="1" applyFont="1" applyFill="1" applyBorder="1" applyAlignment="1">
      <alignment wrapText="1"/>
    </xf>
    <xf numFmtId="49" fontId="1" fillId="2" borderId="1" xfId="3" applyNumberFormat="1" applyFont="1" applyFill="1" applyBorder="1" applyAlignment="1">
      <alignment horizontal="center"/>
    </xf>
    <xf numFmtId="1" fontId="1" fillId="2" borderId="1" xfId="3" applyNumberFormat="1" applyFont="1" applyFill="1" applyBorder="1" applyAlignment="1">
      <alignment horizontal="center" wrapText="1"/>
    </xf>
    <xf numFmtId="0" fontId="1" fillId="0" borderId="1" xfId="3" applyFont="1" applyFill="1" applyBorder="1" applyAlignment="1">
      <alignment horizontal="left" vertical="top" wrapText="1"/>
    </xf>
    <xf numFmtId="1" fontId="1" fillId="0" borderId="1" xfId="3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center"/>
    </xf>
    <xf numFmtId="0" fontId="44" fillId="0" borderId="0" xfId="0" applyFont="1" applyFill="1" applyBorder="1"/>
    <xf numFmtId="0" fontId="44" fillId="0" borderId="0" xfId="0" applyFont="1" applyFill="1"/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top" wrapText="1"/>
    </xf>
    <xf numFmtId="0" fontId="29" fillId="2" borderId="0" xfId="0" applyFont="1" applyFill="1" applyBorder="1"/>
    <xf numFmtId="0" fontId="29" fillId="2" borderId="0" xfId="0" applyFont="1" applyFill="1"/>
    <xf numFmtId="0" fontId="6" fillId="2" borderId="1" xfId="0" applyNumberFormat="1" applyFont="1" applyFill="1" applyBorder="1" applyAlignment="1">
      <alignment vertical="top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2" xfId="7" applyNumberFormat="1" applyFont="1" applyFill="1" applyBorder="1" applyAlignment="1">
      <alignment horizontal="center"/>
    </xf>
    <xf numFmtId="49" fontId="1" fillId="2" borderId="9" xfId="7" applyNumberFormat="1" applyFont="1" applyFill="1" applyBorder="1" applyAlignment="1">
      <alignment horizontal="center"/>
    </xf>
    <xf numFmtId="49" fontId="1" fillId="2" borderId="3" xfId="7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justify" vertical="top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8" fillId="4" borderId="0" xfId="0" applyFont="1" applyFill="1"/>
    <xf numFmtId="0" fontId="13" fillId="2" borderId="0" xfId="3" applyFont="1" applyFill="1"/>
    <xf numFmtId="0" fontId="3" fillId="2" borderId="0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center" wrapText="1"/>
    </xf>
    <xf numFmtId="0" fontId="23" fillId="2" borderId="0" xfId="0" applyFont="1" applyFill="1" applyAlignment="1"/>
    <xf numFmtId="0" fontId="2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justify" wrapText="1"/>
    </xf>
    <xf numFmtId="168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0" fillId="0" borderId="0" xfId="1" applyFont="1" applyFill="1" applyAlignment="1">
      <alignment horizontal="center" vertical="top" wrapText="1"/>
    </xf>
    <xf numFmtId="0" fontId="2" fillId="0" borderId="0" xfId="3" applyFont="1" applyFill="1" applyAlignment="1">
      <alignment horizontal="center"/>
    </xf>
    <xf numFmtId="0" fontId="7" fillId="0" borderId="0" xfId="7" applyFont="1" applyFill="1" applyAlignment="1">
      <alignment horizontal="center"/>
    </xf>
    <xf numFmtId="0" fontId="3" fillId="0" borderId="0" xfId="3" applyFont="1" applyFill="1" applyAlignment="1">
      <alignment horizontal="right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1" fontId="2" fillId="2" borderId="0" xfId="2" applyNumberFormat="1" applyFont="1" applyFill="1" applyAlignment="1">
      <alignment horizontal="center" wrapText="1"/>
    </xf>
    <xf numFmtId="49" fontId="1" fillId="2" borderId="6" xfId="7" applyNumberFormat="1" applyFont="1" applyFill="1" applyBorder="1" applyAlignment="1">
      <alignment horizontal="center" vertical="center"/>
    </xf>
    <xf numFmtId="49" fontId="1" fillId="2" borderId="7" xfId="7" applyNumberFormat="1" applyFont="1" applyFill="1" applyBorder="1" applyAlignment="1">
      <alignment horizontal="center" vertical="center"/>
    </xf>
    <xf numFmtId="49" fontId="1" fillId="2" borderId="8" xfId="7" applyNumberFormat="1" applyFont="1" applyFill="1" applyBorder="1" applyAlignment="1">
      <alignment horizontal="center" vertical="center"/>
    </xf>
    <xf numFmtId="49" fontId="1" fillId="2" borderId="2" xfId="7" applyNumberFormat="1" applyFont="1" applyFill="1" applyBorder="1" applyAlignment="1">
      <alignment horizontal="center"/>
    </xf>
    <xf numFmtId="49" fontId="1" fillId="2" borderId="9" xfId="7" applyNumberFormat="1" applyFont="1" applyFill="1" applyBorder="1" applyAlignment="1">
      <alignment horizontal="center"/>
    </xf>
    <xf numFmtId="49" fontId="1" fillId="2" borderId="3" xfId="7" applyNumberFormat="1" applyFont="1" applyFill="1" applyBorder="1" applyAlignment="1">
      <alignment horizontal="center"/>
    </xf>
    <xf numFmtId="166" fontId="1" fillId="2" borderId="1" xfId="7" applyNumberFormat="1" applyFont="1" applyFill="1" applyBorder="1" applyAlignment="1">
      <alignment horizontal="center"/>
    </xf>
    <xf numFmtId="49" fontId="1" fillId="2" borderId="1" xfId="7" applyNumberFormat="1" applyFont="1" applyFill="1" applyBorder="1" applyAlignment="1">
      <alignment horizontal="center" vertical="center" wrapText="1"/>
    </xf>
    <xf numFmtId="49" fontId="1" fillId="2" borderId="1" xfId="7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3" applyFont="1" applyFill="1" applyBorder="1" applyAlignment="1">
      <alignment horizontal="center" vertical="center"/>
    </xf>
    <xf numFmtId="0" fontId="1" fillId="2" borderId="13" xfId="3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43" fillId="2" borderId="5" xfId="0" applyNumberFormat="1" applyFont="1" applyFill="1" applyBorder="1" applyAlignment="1">
      <alignment horizontal="center" vertical="center" wrapText="1"/>
    </xf>
    <xf numFmtId="49" fontId="43" fillId="2" borderId="13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167" fontId="18" fillId="2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167" fontId="3" fillId="2" borderId="2" xfId="0" applyNumberFormat="1" applyFont="1" applyFill="1" applyBorder="1" applyAlignment="1">
      <alignment horizontal="center" vertical="center"/>
    </xf>
    <xf numFmtId="167" fontId="3" fillId="2" borderId="3" xfId="0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 wrapText="1"/>
    </xf>
    <xf numFmtId="0" fontId="18" fillId="0" borderId="0" xfId="7" applyFont="1" applyFill="1" applyAlignment="1">
      <alignment horizontal="center" wrapText="1"/>
    </xf>
    <xf numFmtId="166" fontId="3" fillId="0" borderId="2" xfId="7" applyNumberFormat="1" applyFont="1" applyFill="1" applyBorder="1" applyAlignment="1">
      <alignment horizontal="center"/>
    </xf>
    <xf numFmtId="166" fontId="3" fillId="0" borderId="3" xfId="7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166" fontId="3" fillId="0" borderId="1" xfId="7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0" xfId="7" applyFont="1" applyFill="1" applyAlignment="1">
      <alignment horizontal="center" wrapText="1"/>
    </xf>
    <xf numFmtId="0" fontId="1" fillId="0" borderId="2" xfId="7" applyFont="1" applyFill="1" applyBorder="1" applyAlignment="1">
      <alignment horizontal="center" vertical="center"/>
    </xf>
    <xf numFmtId="0" fontId="18" fillId="0" borderId="9" xfId="7" applyFont="1" applyFill="1" applyBorder="1" applyAlignment="1">
      <alignment horizontal="center"/>
    </xf>
    <xf numFmtId="0" fontId="18" fillId="0" borderId="3" xfId="7" applyFont="1" applyFill="1" applyBorder="1" applyAlignment="1">
      <alignment horizontal="center"/>
    </xf>
    <xf numFmtId="0" fontId="2" fillId="0" borderId="2" xfId="7" applyFont="1" applyFill="1" applyBorder="1" applyAlignment="1"/>
    <xf numFmtId="0" fontId="18" fillId="0" borderId="9" xfId="7" applyFont="1" applyFill="1" applyBorder="1" applyAlignment="1"/>
    <xf numFmtId="0" fontId="18" fillId="0" borderId="3" xfId="7" applyFont="1" applyFill="1" applyBorder="1" applyAlignment="1"/>
    <xf numFmtId="0" fontId="1" fillId="0" borderId="9" xfId="7" applyFont="1" applyFill="1" applyBorder="1" applyAlignment="1">
      <alignment horizontal="center" vertical="center"/>
    </xf>
    <xf numFmtId="0" fontId="1" fillId="0" borderId="3" xfId="7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/>
    </xf>
    <xf numFmtId="0" fontId="1" fillId="0" borderId="1" xfId="3" applyFont="1" applyBorder="1" applyAlignment="1">
      <alignment horizontal="center" wrapText="1"/>
    </xf>
    <xf numFmtId="0" fontId="1" fillId="0" borderId="1" xfId="3" applyFont="1" applyBorder="1" applyAlignment="1">
      <alignment horizontal="center" vertical="justify"/>
    </xf>
    <xf numFmtId="0" fontId="2" fillId="0" borderId="0" xfId="3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3" applyFont="1" applyAlignment="1">
      <alignment horizontal="center" wrapText="1"/>
    </xf>
    <xf numFmtId="0" fontId="17" fillId="0" borderId="0" xfId="0" applyFont="1" applyAlignment="1">
      <alignment wrapText="1"/>
    </xf>
    <xf numFmtId="0" fontId="1" fillId="0" borderId="0" xfId="3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" fillId="0" borderId="2" xfId="3" applyFont="1" applyBorder="1" applyAlignment="1">
      <alignment horizontal="center" vertical="justify" wrapText="1"/>
    </xf>
    <xf numFmtId="0" fontId="1" fillId="0" borderId="2" xfId="0" applyFont="1" applyBorder="1" applyAlignment="1">
      <alignment horizontal="center" vertical="justify" wrapText="1"/>
    </xf>
    <xf numFmtId="0" fontId="1" fillId="0" borderId="0" xfId="3" applyFont="1" applyAlignment="1">
      <alignment wrapText="1"/>
    </xf>
    <xf numFmtId="0" fontId="18" fillId="0" borderId="0" xfId="0" applyFont="1" applyAlignment="1">
      <alignment wrapText="1"/>
    </xf>
    <xf numFmtId="0" fontId="1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24" fillId="0" borderId="9" xfId="0" applyFont="1" applyBorder="1" applyAlignment="1"/>
    <xf numFmtId="0" fontId="24" fillId="0" borderId="3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4" fillId="0" borderId="0" xfId="0" applyFont="1" applyAlignment="1"/>
    <xf numFmtId="0" fontId="3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4" fillId="0" borderId="9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24" fillId="0" borderId="9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7">
    <cellStyle name="Excel Built-in Normal" xfId="5"/>
    <cellStyle name="Excel Built-in Normal 1" xfId="11"/>
    <cellStyle name="Excel Built-in Normal 2" xfId="14"/>
    <cellStyle name="Excel Built-in Normal 3" xfId="16"/>
    <cellStyle name="Обычный" xfId="0" builtinId="0"/>
    <cellStyle name="Обычный 2" xfId="7"/>
    <cellStyle name="Обычный 2 2" xfId="8"/>
    <cellStyle name="Обычный 2 2 2" xfId="4"/>
    <cellStyle name="Обычный 3" xfId="15"/>
    <cellStyle name="Обычный_ведомственная  и прилож. на 2008 год без краевых-2" xfId="9"/>
    <cellStyle name="Обычный_ведомственная  и прилож. на 2008 год без краевых-2 2" xfId="12"/>
    <cellStyle name="Обычный_ведомственная  и прилож. на 2008 год без краевых-2 2 2" xfId="6"/>
    <cellStyle name="Обычный_Приложение № 2 к проекту бюджета" xfId="1"/>
    <cellStyle name="Обычный_расчеты к бю.джету1" xfId="2"/>
    <cellStyle name="Обычный_Функциональная структура расходов бюджета на 2005 год" xfId="3"/>
    <cellStyle name="Финансовый [0]" xfId="13" builtinId="6"/>
    <cellStyle name="Финансовый 2" xfId="10"/>
  </cellStyles>
  <dxfs count="0"/>
  <tableStyles count="0" defaultTableStyle="TableStyleMedium2" defaultPivotStyle="PivotStyleMedium9"/>
  <colors>
    <mruColors>
      <color rgb="FFFFCC00"/>
      <color rgb="FF99FF99"/>
      <color rgb="FFFFCCFF"/>
      <color rgb="FF66FFFF"/>
      <color rgb="FFCCFFFF"/>
      <color rgb="FFFFFFCC"/>
      <color rgb="FF0000FF"/>
      <color rgb="FF009900"/>
      <color rgb="FF99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212"/>
  <sheetViews>
    <sheetView zoomScale="70" zoomScaleNormal="70" workbookViewId="0">
      <selection activeCell="C2" sqref="C2"/>
    </sheetView>
  </sheetViews>
  <sheetFormatPr defaultColWidth="8.85546875" defaultRowHeight="15"/>
  <cols>
    <col min="1" max="1" width="19.140625" style="586" customWidth="1"/>
    <col min="2" max="2" width="27.5703125" style="586" customWidth="1"/>
    <col min="3" max="3" width="63.28515625" style="583" customWidth="1"/>
    <col min="4" max="16384" width="8.85546875" style="244"/>
  </cols>
  <sheetData>
    <row r="1" spans="1:4" s="21" customFormat="1" ht="18.75">
      <c r="A1" s="103"/>
      <c r="B1" s="103"/>
      <c r="C1" s="76" t="s">
        <v>432</v>
      </c>
    </row>
    <row r="2" spans="1:4" s="21" customFormat="1" ht="18.75">
      <c r="A2" s="103"/>
      <c r="B2" s="103"/>
      <c r="C2" s="76" t="s">
        <v>935</v>
      </c>
    </row>
    <row r="3" spans="1:4" s="21" customFormat="1" ht="18.75">
      <c r="A3" s="103"/>
      <c r="B3" s="103"/>
      <c r="C3" s="103"/>
      <c r="D3" s="76"/>
    </row>
    <row r="4" spans="1:4" ht="18.75">
      <c r="C4" s="582" t="s">
        <v>432</v>
      </c>
    </row>
    <row r="5" spans="1:4" ht="18.75">
      <c r="C5" s="1" t="s">
        <v>884</v>
      </c>
    </row>
    <row r="6" spans="1:4" ht="18.75">
      <c r="C6" s="582"/>
    </row>
    <row r="7" spans="1:4" ht="62.25" customHeight="1">
      <c r="A7" s="770" t="s">
        <v>890</v>
      </c>
      <c r="B7" s="771"/>
      <c r="C7" s="771"/>
    </row>
    <row r="9" spans="1:4">
      <c r="A9" s="772"/>
      <c r="B9" s="772"/>
    </row>
    <row r="10" spans="1:4" ht="18.75" customHeight="1">
      <c r="A10" s="775" t="s">
        <v>1</v>
      </c>
      <c r="B10" s="776"/>
      <c r="C10" s="773" t="s">
        <v>386</v>
      </c>
    </row>
    <row r="11" spans="1:4" ht="225">
      <c r="A11" s="256" t="s">
        <v>759</v>
      </c>
      <c r="B11" s="256" t="s">
        <v>760</v>
      </c>
      <c r="C11" s="774"/>
    </row>
    <row r="12" spans="1:4" ht="18.75">
      <c r="A12" s="256">
        <v>1</v>
      </c>
      <c r="B12" s="256">
        <v>2</v>
      </c>
      <c r="C12" s="251">
        <v>3</v>
      </c>
    </row>
    <row r="13" spans="1:4" s="103" customFormat="1" ht="36" customHeight="1">
      <c r="A13" s="738">
        <v>804</v>
      </c>
      <c r="B13" s="739"/>
      <c r="C13" s="740" t="s">
        <v>807</v>
      </c>
    </row>
    <row r="14" spans="1:4" s="103" customFormat="1" ht="93.75" customHeight="1">
      <c r="A14" s="739">
        <v>804</v>
      </c>
      <c r="B14" s="739" t="s">
        <v>712</v>
      </c>
      <c r="C14" s="741" t="s">
        <v>808</v>
      </c>
      <c r="D14" s="742"/>
    </row>
    <row r="15" spans="1:4" s="103" customFormat="1" ht="23.25" customHeight="1">
      <c r="A15" s="738">
        <v>816</v>
      </c>
      <c r="B15" s="738"/>
      <c r="C15" s="740" t="s">
        <v>809</v>
      </c>
    </row>
    <row r="16" spans="1:4" s="103" customFormat="1" ht="103.5" customHeight="1">
      <c r="A16" s="739">
        <v>816</v>
      </c>
      <c r="B16" s="739" t="s">
        <v>712</v>
      </c>
      <c r="C16" s="741" t="s">
        <v>808</v>
      </c>
    </row>
    <row r="17" spans="1:3" s="103" customFormat="1" ht="56.25">
      <c r="A17" s="738">
        <v>819</v>
      </c>
      <c r="B17" s="739"/>
      <c r="C17" s="740" t="s">
        <v>810</v>
      </c>
    </row>
    <row r="18" spans="1:3" s="103" customFormat="1" ht="93.75" customHeight="1">
      <c r="A18" s="739">
        <v>819</v>
      </c>
      <c r="B18" s="739" t="s">
        <v>712</v>
      </c>
      <c r="C18" s="741" t="s">
        <v>808</v>
      </c>
    </row>
    <row r="19" spans="1:3" s="103" customFormat="1" ht="37.5">
      <c r="A19" s="738">
        <v>821</v>
      </c>
      <c r="B19" s="739"/>
      <c r="C19" s="740" t="s">
        <v>811</v>
      </c>
    </row>
    <row r="20" spans="1:3" s="103" customFormat="1" ht="94.5" customHeight="1">
      <c r="A20" s="739">
        <v>821</v>
      </c>
      <c r="B20" s="739" t="s">
        <v>712</v>
      </c>
      <c r="C20" s="741" t="s">
        <v>808</v>
      </c>
    </row>
    <row r="21" spans="1:3" s="103" customFormat="1" ht="32.25" customHeight="1">
      <c r="A21" s="738">
        <v>828</v>
      </c>
      <c r="B21" s="739"/>
      <c r="C21" s="740" t="s">
        <v>812</v>
      </c>
    </row>
    <row r="22" spans="1:3" s="103" customFormat="1" ht="97.5" customHeight="1">
      <c r="A22" s="739">
        <v>828</v>
      </c>
      <c r="B22" s="739" t="s">
        <v>712</v>
      </c>
      <c r="C22" s="741" t="s">
        <v>808</v>
      </c>
    </row>
    <row r="23" spans="1:3" s="103" customFormat="1" ht="37.5">
      <c r="A23" s="743">
        <v>830</v>
      </c>
      <c r="B23" s="739"/>
      <c r="C23" s="740" t="s">
        <v>813</v>
      </c>
    </row>
    <row r="24" spans="1:3" s="103" customFormat="1" ht="99" customHeight="1">
      <c r="A24" s="739">
        <v>830</v>
      </c>
      <c r="B24" s="739" t="s">
        <v>712</v>
      </c>
      <c r="C24" s="741" t="s">
        <v>808</v>
      </c>
    </row>
    <row r="25" spans="1:3" s="103" customFormat="1" ht="37.5">
      <c r="A25" s="743">
        <v>833</v>
      </c>
      <c r="B25" s="739"/>
      <c r="C25" s="740" t="s">
        <v>814</v>
      </c>
    </row>
    <row r="26" spans="1:3" s="103" customFormat="1" ht="94.5" customHeight="1">
      <c r="A26" s="739">
        <v>833</v>
      </c>
      <c r="B26" s="739" t="s">
        <v>712</v>
      </c>
      <c r="C26" s="741" t="s">
        <v>808</v>
      </c>
    </row>
    <row r="27" spans="1:3" s="103" customFormat="1" ht="37.5">
      <c r="A27" s="738">
        <v>835</v>
      </c>
      <c r="B27" s="739"/>
      <c r="C27" s="740" t="s">
        <v>815</v>
      </c>
    </row>
    <row r="28" spans="1:3" s="103" customFormat="1" ht="94.5" customHeight="1">
      <c r="A28" s="739">
        <v>835</v>
      </c>
      <c r="B28" s="739" t="s">
        <v>712</v>
      </c>
      <c r="C28" s="741" t="s">
        <v>808</v>
      </c>
    </row>
    <row r="29" spans="1:3" s="103" customFormat="1" ht="37.5">
      <c r="A29" s="743">
        <v>836</v>
      </c>
      <c r="B29" s="739"/>
      <c r="C29" s="740" t="s">
        <v>816</v>
      </c>
    </row>
    <row r="30" spans="1:3" s="103" customFormat="1" ht="112.5" customHeight="1">
      <c r="A30" s="739">
        <v>836</v>
      </c>
      <c r="B30" s="739" t="s">
        <v>817</v>
      </c>
      <c r="C30" s="741" t="s">
        <v>818</v>
      </c>
    </row>
    <row r="31" spans="1:3" s="103" customFormat="1" ht="150" customHeight="1">
      <c r="A31" s="739">
        <v>836</v>
      </c>
      <c r="B31" s="739" t="s">
        <v>819</v>
      </c>
      <c r="C31" s="741" t="s">
        <v>820</v>
      </c>
    </row>
    <row r="32" spans="1:3" s="103" customFormat="1" ht="113.25" customHeight="1">
      <c r="A32" s="739">
        <v>836</v>
      </c>
      <c r="B32" s="739" t="s">
        <v>821</v>
      </c>
      <c r="C32" s="741" t="s">
        <v>822</v>
      </c>
    </row>
    <row r="33" spans="1:3" s="103" customFormat="1" ht="129" customHeight="1">
      <c r="A33" s="739">
        <v>836</v>
      </c>
      <c r="B33" s="739" t="s">
        <v>823</v>
      </c>
      <c r="C33" s="741" t="s">
        <v>824</v>
      </c>
    </row>
    <row r="34" spans="1:3" s="103" customFormat="1" ht="131.25">
      <c r="A34" s="739">
        <v>836</v>
      </c>
      <c r="B34" s="739" t="s">
        <v>825</v>
      </c>
      <c r="C34" s="741" t="s">
        <v>826</v>
      </c>
    </row>
    <row r="35" spans="1:3" s="103" customFormat="1" ht="131.25">
      <c r="A35" s="739">
        <v>836</v>
      </c>
      <c r="B35" s="739" t="s">
        <v>827</v>
      </c>
      <c r="C35" s="741" t="s">
        <v>828</v>
      </c>
    </row>
    <row r="36" spans="1:3" s="103" customFormat="1" ht="112.5" customHeight="1">
      <c r="A36" s="739">
        <v>836</v>
      </c>
      <c r="B36" s="739" t="s">
        <v>829</v>
      </c>
      <c r="C36" s="741" t="s">
        <v>830</v>
      </c>
    </row>
    <row r="37" spans="1:3" s="103" customFormat="1" ht="113.25" customHeight="1">
      <c r="A37" s="739">
        <v>836</v>
      </c>
      <c r="B37" s="739" t="s">
        <v>831</v>
      </c>
      <c r="C37" s="741" t="s">
        <v>832</v>
      </c>
    </row>
    <row r="38" spans="1:3" s="103" customFormat="1" ht="113.25" customHeight="1">
      <c r="A38" s="739">
        <v>836</v>
      </c>
      <c r="B38" s="739" t="s">
        <v>833</v>
      </c>
      <c r="C38" s="741" t="s">
        <v>834</v>
      </c>
    </row>
    <row r="39" spans="1:3" s="103" customFormat="1" ht="150">
      <c r="A39" s="739">
        <v>836</v>
      </c>
      <c r="B39" s="739" t="s">
        <v>835</v>
      </c>
      <c r="C39" s="741" t="s">
        <v>836</v>
      </c>
    </row>
    <row r="40" spans="1:3" s="103" customFormat="1" ht="168.75" customHeight="1">
      <c r="A40" s="739">
        <v>836</v>
      </c>
      <c r="B40" s="739" t="s">
        <v>837</v>
      </c>
      <c r="C40" s="741" t="s">
        <v>838</v>
      </c>
    </row>
    <row r="41" spans="1:3" s="103" customFormat="1" ht="117.75" customHeight="1">
      <c r="A41" s="739">
        <v>836</v>
      </c>
      <c r="B41" s="739" t="s">
        <v>839</v>
      </c>
      <c r="C41" s="741" t="s">
        <v>840</v>
      </c>
    </row>
    <row r="42" spans="1:3" s="103" customFormat="1" ht="116.25" customHeight="1">
      <c r="A42" s="739">
        <v>836</v>
      </c>
      <c r="B42" s="739" t="s">
        <v>841</v>
      </c>
      <c r="C42" s="741" t="s">
        <v>842</v>
      </c>
    </row>
    <row r="43" spans="1:3" s="103" customFormat="1" ht="168" customHeight="1">
      <c r="A43" s="739">
        <v>836</v>
      </c>
      <c r="B43" s="739" t="s">
        <v>843</v>
      </c>
      <c r="C43" s="741" t="s">
        <v>844</v>
      </c>
    </row>
    <row r="44" spans="1:3" s="103" customFormat="1" ht="111.75" customHeight="1">
      <c r="A44" s="739">
        <v>836</v>
      </c>
      <c r="B44" s="739" t="s">
        <v>845</v>
      </c>
      <c r="C44" s="741" t="s">
        <v>846</v>
      </c>
    </row>
    <row r="45" spans="1:3" s="103" customFormat="1" ht="129" customHeight="1">
      <c r="A45" s="739">
        <v>836</v>
      </c>
      <c r="B45" s="739" t="s">
        <v>847</v>
      </c>
      <c r="C45" s="741" t="s">
        <v>848</v>
      </c>
    </row>
    <row r="46" spans="1:3" s="103" customFormat="1" ht="37.5">
      <c r="A46" s="738">
        <v>840</v>
      </c>
      <c r="B46" s="739"/>
      <c r="C46" s="740" t="s">
        <v>849</v>
      </c>
    </row>
    <row r="47" spans="1:3" s="103" customFormat="1" ht="93" customHeight="1">
      <c r="A47" s="739">
        <v>840</v>
      </c>
      <c r="B47" s="739" t="s">
        <v>712</v>
      </c>
      <c r="C47" s="741" t="s">
        <v>808</v>
      </c>
    </row>
    <row r="48" spans="1:3" s="103" customFormat="1" ht="37.5">
      <c r="A48" s="738">
        <v>854</v>
      </c>
      <c r="B48" s="739"/>
      <c r="C48" s="740" t="s">
        <v>850</v>
      </c>
    </row>
    <row r="49" spans="1:6" s="103" customFormat="1" ht="93.75" customHeight="1">
      <c r="A49" s="739">
        <v>854</v>
      </c>
      <c r="B49" s="739" t="s">
        <v>712</v>
      </c>
      <c r="C49" s="741" t="s">
        <v>808</v>
      </c>
    </row>
    <row r="50" spans="1:6" ht="98.25" customHeight="1">
      <c r="A50" s="744">
        <v>854</v>
      </c>
      <c r="B50" s="744" t="s">
        <v>921</v>
      </c>
      <c r="C50" s="745" t="s">
        <v>922</v>
      </c>
      <c r="D50" s="244" t="s">
        <v>923</v>
      </c>
    </row>
    <row r="51" spans="1:6" ht="134.25" customHeight="1">
      <c r="A51" s="744">
        <v>854</v>
      </c>
      <c r="B51" s="744" t="s">
        <v>924</v>
      </c>
      <c r="C51" s="745" t="s">
        <v>925</v>
      </c>
      <c r="D51" s="244" t="s">
        <v>923</v>
      </c>
    </row>
    <row r="52" spans="1:6" ht="37.5">
      <c r="A52" s="579">
        <v>902</v>
      </c>
      <c r="B52" s="587"/>
      <c r="C52" s="258" t="s">
        <v>2</v>
      </c>
    </row>
    <row r="53" spans="1:6" s="243" customFormat="1" ht="37.5">
      <c r="A53" s="587">
        <v>902</v>
      </c>
      <c r="B53" s="587" t="s">
        <v>689</v>
      </c>
      <c r="C53" s="253" t="s">
        <v>690</v>
      </c>
      <c r="D53" s="242"/>
      <c r="E53" s="242"/>
      <c r="F53" s="242"/>
    </row>
    <row r="54" spans="1:6" s="243" customFormat="1" ht="56.25">
      <c r="A54" s="587">
        <v>902</v>
      </c>
      <c r="B54" s="587" t="s">
        <v>691</v>
      </c>
      <c r="C54" s="253" t="s">
        <v>692</v>
      </c>
      <c r="D54" s="242"/>
      <c r="E54" s="242"/>
      <c r="F54" s="242"/>
    </row>
    <row r="55" spans="1:6" s="243" customFormat="1" ht="57" customHeight="1">
      <c r="A55" s="587">
        <v>902</v>
      </c>
      <c r="B55" s="587" t="s">
        <v>693</v>
      </c>
      <c r="C55" s="253" t="s">
        <v>34</v>
      </c>
      <c r="D55" s="242"/>
      <c r="E55" s="242"/>
      <c r="F55" s="242"/>
    </row>
    <row r="56" spans="1:6" s="243" customFormat="1" ht="39.75" customHeight="1">
      <c r="A56" s="587">
        <v>902</v>
      </c>
      <c r="B56" s="587" t="s">
        <v>694</v>
      </c>
      <c r="C56" s="253" t="s">
        <v>695</v>
      </c>
      <c r="D56" s="242"/>
      <c r="E56" s="242"/>
      <c r="F56" s="242"/>
    </row>
    <row r="57" spans="1:6" ht="113.25" customHeight="1">
      <c r="A57" s="256">
        <v>902</v>
      </c>
      <c r="B57" s="256" t="s">
        <v>817</v>
      </c>
      <c r="C57" s="286" t="s">
        <v>818</v>
      </c>
    </row>
    <row r="58" spans="1:6" ht="159" customHeight="1">
      <c r="A58" s="256">
        <v>902</v>
      </c>
      <c r="B58" s="256" t="s">
        <v>819</v>
      </c>
      <c r="C58" s="286" t="s">
        <v>820</v>
      </c>
    </row>
    <row r="59" spans="1:6" ht="111.75" customHeight="1">
      <c r="A59" s="256">
        <v>902</v>
      </c>
      <c r="B59" s="256" t="s">
        <v>821</v>
      </c>
      <c r="C59" s="286" t="s">
        <v>822</v>
      </c>
    </row>
    <row r="60" spans="1:6" s="748" customFormat="1" ht="99.75" customHeight="1">
      <c r="A60" s="746">
        <v>902</v>
      </c>
      <c r="B60" s="746" t="s">
        <v>888</v>
      </c>
      <c r="C60" s="745" t="s">
        <v>889</v>
      </c>
      <c r="D60" s="747" t="s">
        <v>923</v>
      </c>
      <c r="E60" s="747"/>
      <c r="F60" s="747"/>
    </row>
    <row r="61" spans="1:6" s="243" customFormat="1" ht="117" customHeight="1">
      <c r="A61" s="587">
        <v>902</v>
      </c>
      <c r="B61" s="587" t="s">
        <v>829</v>
      </c>
      <c r="C61" s="286" t="s">
        <v>926</v>
      </c>
      <c r="D61" s="242"/>
      <c r="E61" s="242"/>
      <c r="F61" s="242"/>
    </row>
    <row r="62" spans="1:6" s="752" customFormat="1" ht="131.25">
      <c r="A62" s="749">
        <v>902</v>
      </c>
      <c r="B62" s="749" t="s">
        <v>831</v>
      </c>
      <c r="C62" s="750" t="s">
        <v>832</v>
      </c>
      <c r="D62" s="751" t="s">
        <v>923</v>
      </c>
      <c r="E62" s="751"/>
      <c r="F62" s="751"/>
    </row>
    <row r="63" spans="1:6" s="752" customFormat="1" ht="125.25" customHeight="1">
      <c r="A63" s="749">
        <v>902</v>
      </c>
      <c r="B63" s="749" t="s">
        <v>841</v>
      </c>
      <c r="C63" s="750" t="s">
        <v>842</v>
      </c>
      <c r="D63" s="751" t="s">
        <v>923</v>
      </c>
      <c r="E63" s="751"/>
      <c r="F63" s="751"/>
    </row>
    <row r="64" spans="1:6" s="243" customFormat="1" ht="136.5" customHeight="1">
      <c r="A64" s="587">
        <v>902</v>
      </c>
      <c r="B64" s="587" t="s">
        <v>845</v>
      </c>
      <c r="C64" s="286" t="s">
        <v>851</v>
      </c>
      <c r="D64" s="242"/>
      <c r="E64" s="242"/>
      <c r="F64" s="242"/>
    </row>
    <row r="65" spans="1:6" s="243" customFormat="1" ht="141" customHeight="1">
      <c r="A65" s="587">
        <v>902</v>
      </c>
      <c r="B65" s="587" t="s">
        <v>847</v>
      </c>
      <c r="C65" s="253" t="s">
        <v>933</v>
      </c>
      <c r="D65" s="242"/>
      <c r="E65" s="242"/>
      <c r="F65" s="242"/>
    </row>
    <row r="66" spans="1:6" s="243" customFormat="1" ht="115.5" customHeight="1">
      <c r="A66" s="256">
        <v>902</v>
      </c>
      <c r="B66" s="256" t="s">
        <v>696</v>
      </c>
      <c r="C66" s="253" t="s">
        <v>697</v>
      </c>
      <c r="D66" s="242"/>
      <c r="E66" s="242"/>
      <c r="F66" s="242"/>
    </row>
    <row r="67" spans="1:6" s="243" customFormat="1" ht="115.5" customHeight="1">
      <c r="A67" s="256">
        <v>902</v>
      </c>
      <c r="B67" s="256" t="s">
        <v>698</v>
      </c>
      <c r="C67" s="253" t="s">
        <v>699</v>
      </c>
      <c r="D67" s="242"/>
      <c r="E67" s="242"/>
      <c r="F67" s="242"/>
    </row>
    <row r="68" spans="1:6" s="243" customFormat="1" ht="63" customHeight="1">
      <c r="A68" s="256">
        <v>902</v>
      </c>
      <c r="B68" s="256" t="s">
        <v>700</v>
      </c>
      <c r="C68" s="253" t="s">
        <v>701</v>
      </c>
      <c r="D68" s="242"/>
      <c r="E68" s="242"/>
      <c r="F68" s="242"/>
    </row>
    <row r="69" spans="1:6" s="243" customFormat="1" ht="59.25" customHeight="1">
      <c r="A69" s="256">
        <v>902</v>
      </c>
      <c r="B69" s="256" t="s">
        <v>702</v>
      </c>
      <c r="C69" s="253" t="s">
        <v>703</v>
      </c>
      <c r="D69" s="242"/>
      <c r="E69" s="242"/>
      <c r="F69" s="242"/>
    </row>
    <row r="70" spans="1:6" s="243" customFormat="1" ht="227.25" customHeight="1">
      <c r="A70" s="256">
        <v>902</v>
      </c>
      <c r="B70" s="256" t="s">
        <v>704</v>
      </c>
      <c r="C70" s="253" t="s">
        <v>705</v>
      </c>
      <c r="D70" s="242"/>
      <c r="E70" s="242"/>
      <c r="F70" s="242"/>
    </row>
    <row r="71" spans="1:6" s="243" customFormat="1" ht="213" customHeight="1">
      <c r="A71" s="256">
        <v>902</v>
      </c>
      <c r="B71" s="256" t="s">
        <v>706</v>
      </c>
      <c r="C71" s="253" t="s">
        <v>707</v>
      </c>
      <c r="D71" s="242"/>
      <c r="E71" s="242"/>
      <c r="F71" s="242"/>
    </row>
    <row r="72" spans="1:6" s="243" customFormat="1" ht="156" customHeight="1">
      <c r="A72" s="256">
        <v>902</v>
      </c>
      <c r="B72" s="256" t="s">
        <v>708</v>
      </c>
      <c r="C72" s="253" t="s">
        <v>709</v>
      </c>
      <c r="D72" s="242"/>
      <c r="E72" s="242"/>
      <c r="F72" s="242"/>
    </row>
    <row r="73" spans="1:6" s="243" customFormat="1" ht="57" customHeight="1">
      <c r="A73" s="256">
        <v>902</v>
      </c>
      <c r="B73" s="256" t="s">
        <v>710</v>
      </c>
      <c r="C73" s="253" t="s">
        <v>711</v>
      </c>
      <c r="D73" s="242"/>
      <c r="E73" s="242"/>
      <c r="F73" s="242"/>
    </row>
    <row r="74" spans="1:6" s="581" customFormat="1" ht="97.5" customHeight="1">
      <c r="A74" s="256">
        <v>902</v>
      </c>
      <c r="B74" s="256" t="s">
        <v>712</v>
      </c>
      <c r="C74" s="741" t="s">
        <v>887</v>
      </c>
      <c r="D74" s="580"/>
      <c r="E74" s="580"/>
      <c r="F74" s="580"/>
    </row>
    <row r="75" spans="1:6" s="243" customFormat="1" ht="40.5" customHeight="1">
      <c r="A75" s="256">
        <v>902</v>
      </c>
      <c r="B75" s="256" t="s">
        <v>713</v>
      </c>
      <c r="C75" s="253" t="s">
        <v>3</v>
      </c>
      <c r="D75" s="242"/>
      <c r="E75" s="242"/>
      <c r="F75" s="242"/>
    </row>
    <row r="76" spans="1:6" s="243" customFormat="1" ht="37.5">
      <c r="A76" s="591" t="s">
        <v>4</v>
      </c>
      <c r="B76" s="587" t="s">
        <v>714</v>
      </c>
      <c r="C76" s="305" t="s">
        <v>569</v>
      </c>
      <c r="D76" s="242"/>
      <c r="E76" s="242"/>
      <c r="F76" s="242"/>
    </row>
    <row r="77" spans="1:6" s="243" customFormat="1" ht="103.5" customHeight="1">
      <c r="A77" s="587">
        <v>902</v>
      </c>
      <c r="B77" s="587" t="s">
        <v>715</v>
      </c>
      <c r="C77" s="305" t="s">
        <v>716</v>
      </c>
      <c r="D77" s="242"/>
      <c r="E77" s="242"/>
      <c r="F77" s="242"/>
    </row>
    <row r="78" spans="1:6" s="243" customFormat="1" ht="59.25" customHeight="1">
      <c r="A78" s="587">
        <v>902</v>
      </c>
      <c r="B78" s="587" t="s">
        <v>717</v>
      </c>
      <c r="C78" s="305" t="s">
        <v>718</v>
      </c>
      <c r="D78" s="242"/>
      <c r="E78" s="242"/>
      <c r="F78" s="242"/>
    </row>
    <row r="79" spans="1:6" s="243" customFormat="1" ht="38.25" customHeight="1">
      <c r="A79" s="587">
        <v>902</v>
      </c>
      <c r="B79" s="587" t="s">
        <v>719</v>
      </c>
      <c r="C79" s="305" t="s">
        <v>720</v>
      </c>
      <c r="D79" s="242"/>
      <c r="E79" s="242"/>
      <c r="F79" s="242"/>
    </row>
    <row r="80" spans="1:6" ht="30.75" customHeight="1">
      <c r="A80" s="256">
        <v>902</v>
      </c>
      <c r="B80" s="588" t="s">
        <v>582</v>
      </c>
      <c r="C80" s="253" t="s">
        <v>5</v>
      </c>
    </row>
    <row r="81" spans="1:6" ht="56.25">
      <c r="A81" s="256">
        <v>902</v>
      </c>
      <c r="B81" s="587" t="s">
        <v>583</v>
      </c>
      <c r="C81" s="253" t="s">
        <v>6</v>
      </c>
    </row>
    <row r="82" spans="1:6" ht="84" customHeight="1">
      <c r="A82" s="256">
        <v>902</v>
      </c>
      <c r="B82" s="587" t="s">
        <v>584</v>
      </c>
      <c r="C82" s="253" t="s">
        <v>483</v>
      </c>
    </row>
    <row r="83" spans="1:6" ht="56.25">
      <c r="A83" s="256">
        <v>902</v>
      </c>
      <c r="B83" s="587" t="s">
        <v>804</v>
      </c>
      <c r="C83" s="253" t="s">
        <v>805</v>
      </c>
    </row>
    <row r="84" spans="1:6" ht="78" customHeight="1">
      <c r="A84" s="256">
        <v>902</v>
      </c>
      <c r="B84" s="587" t="s">
        <v>659</v>
      </c>
      <c r="C84" s="253" t="s">
        <v>484</v>
      </c>
    </row>
    <row r="85" spans="1:6" ht="75">
      <c r="A85" s="256">
        <v>902</v>
      </c>
      <c r="B85" s="587" t="s">
        <v>605</v>
      </c>
      <c r="C85" s="253" t="s">
        <v>485</v>
      </c>
    </row>
    <row r="86" spans="1:6" s="243" customFormat="1" ht="54" customHeight="1">
      <c r="A86" s="587">
        <v>902</v>
      </c>
      <c r="B86" s="587" t="s">
        <v>383</v>
      </c>
      <c r="C86" s="253" t="s">
        <v>7</v>
      </c>
      <c r="D86" s="242"/>
      <c r="E86" s="242"/>
      <c r="F86" s="242"/>
    </row>
    <row r="87" spans="1:6" s="243" customFormat="1" ht="56.25">
      <c r="A87" s="587">
        <v>902</v>
      </c>
      <c r="B87" s="587" t="s">
        <v>8</v>
      </c>
      <c r="C87" s="253" t="s">
        <v>9</v>
      </c>
      <c r="D87" s="242"/>
      <c r="E87" s="242"/>
      <c r="F87" s="242"/>
    </row>
    <row r="88" spans="1:6" s="243" customFormat="1" ht="75">
      <c r="A88" s="587">
        <v>902</v>
      </c>
      <c r="B88" s="587" t="s">
        <v>10</v>
      </c>
      <c r="C88" s="253" t="s">
        <v>11</v>
      </c>
      <c r="D88" s="242"/>
      <c r="E88" s="242"/>
      <c r="F88" s="242"/>
    </row>
    <row r="89" spans="1:6" s="243" customFormat="1" ht="75">
      <c r="A89" s="256">
        <v>902</v>
      </c>
      <c r="B89" s="587" t="s">
        <v>12</v>
      </c>
      <c r="C89" s="253" t="s">
        <v>13</v>
      </c>
      <c r="D89" s="242"/>
      <c r="E89" s="242"/>
      <c r="F89" s="242"/>
    </row>
    <row r="90" spans="1:6" s="243" customFormat="1" ht="75">
      <c r="A90" s="256">
        <v>902</v>
      </c>
      <c r="B90" s="587" t="s">
        <v>442</v>
      </c>
      <c r="C90" s="253" t="s">
        <v>441</v>
      </c>
      <c r="D90" s="242"/>
      <c r="E90" s="242"/>
      <c r="F90" s="242"/>
    </row>
    <row r="91" spans="1:6" s="243" customFormat="1" ht="78" customHeight="1">
      <c r="A91" s="256">
        <v>902</v>
      </c>
      <c r="B91" s="587" t="s">
        <v>443</v>
      </c>
      <c r="C91" s="253" t="s">
        <v>444</v>
      </c>
      <c r="D91" s="242"/>
      <c r="E91" s="242"/>
      <c r="F91" s="242"/>
    </row>
    <row r="92" spans="1:6" ht="49.5" customHeight="1">
      <c r="A92" s="579">
        <v>905</v>
      </c>
      <c r="B92" s="587"/>
      <c r="C92" s="258" t="s">
        <v>14</v>
      </c>
    </row>
    <row r="93" spans="1:6" ht="56.25">
      <c r="A93" s="587">
        <v>905</v>
      </c>
      <c r="B93" s="587" t="s">
        <v>693</v>
      </c>
      <c r="C93" s="253" t="s">
        <v>34</v>
      </c>
      <c r="D93" s="306"/>
      <c r="E93" s="306"/>
      <c r="F93" s="306"/>
    </row>
    <row r="94" spans="1:6" ht="40.5" customHeight="1">
      <c r="A94" s="587">
        <v>905</v>
      </c>
      <c r="B94" s="587" t="s">
        <v>694</v>
      </c>
      <c r="C94" s="253" t="s">
        <v>695</v>
      </c>
      <c r="D94" s="306"/>
      <c r="E94" s="306"/>
      <c r="F94" s="306"/>
    </row>
    <row r="95" spans="1:6" s="748" customFormat="1" ht="111" customHeight="1">
      <c r="A95" s="746">
        <v>905</v>
      </c>
      <c r="B95" s="746" t="s">
        <v>888</v>
      </c>
      <c r="C95" s="745" t="s">
        <v>889</v>
      </c>
      <c r="D95" s="747" t="s">
        <v>923</v>
      </c>
      <c r="E95" s="747"/>
      <c r="F95" s="747"/>
    </row>
    <row r="96" spans="1:6" ht="168" customHeight="1">
      <c r="A96" s="587">
        <v>905</v>
      </c>
      <c r="B96" s="587" t="s">
        <v>721</v>
      </c>
      <c r="C96" s="253" t="s">
        <v>722</v>
      </c>
      <c r="D96" s="306"/>
      <c r="E96" s="306"/>
      <c r="F96" s="306"/>
    </row>
    <row r="97" spans="1:6" ht="313.5" customHeight="1">
      <c r="A97" s="587">
        <v>905</v>
      </c>
      <c r="B97" s="256" t="s">
        <v>723</v>
      </c>
      <c r="C97" s="253" t="s">
        <v>724</v>
      </c>
      <c r="D97" s="306"/>
      <c r="E97" s="306"/>
      <c r="F97" s="306"/>
    </row>
    <row r="98" spans="1:6" ht="114" customHeight="1">
      <c r="A98" s="587">
        <v>905</v>
      </c>
      <c r="B98" s="587" t="s">
        <v>725</v>
      </c>
      <c r="C98" s="253" t="s">
        <v>726</v>
      </c>
      <c r="D98" s="306"/>
      <c r="E98" s="306"/>
      <c r="F98" s="306"/>
    </row>
    <row r="99" spans="1:6" s="243" customFormat="1" ht="62.25" customHeight="1">
      <c r="A99" s="256">
        <v>905</v>
      </c>
      <c r="B99" s="256" t="s">
        <v>702</v>
      </c>
      <c r="C99" s="253" t="s">
        <v>703</v>
      </c>
      <c r="D99" s="242"/>
      <c r="E99" s="242"/>
      <c r="F99" s="242"/>
    </row>
    <row r="100" spans="1:6" s="243" customFormat="1" ht="46.5" customHeight="1">
      <c r="A100" s="256">
        <v>905</v>
      </c>
      <c r="B100" s="256" t="s">
        <v>713</v>
      </c>
      <c r="C100" s="253" t="s">
        <v>3</v>
      </c>
      <c r="D100" s="242"/>
      <c r="E100" s="242"/>
      <c r="F100" s="242"/>
    </row>
    <row r="101" spans="1:6" ht="56.25">
      <c r="A101" s="587">
        <v>905</v>
      </c>
      <c r="B101" s="587" t="s">
        <v>585</v>
      </c>
      <c r="C101" s="253" t="s">
        <v>773</v>
      </c>
    </row>
    <row r="102" spans="1:6" ht="56.25">
      <c r="A102" s="587">
        <v>905</v>
      </c>
      <c r="B102" s="587" t="s">
        <v>586</v>
      </c>
      <c r="C102" s="253" t="s">
        <v>15</v>
      </c>
    </row>
    <row r="103" spans="1:6" ht="32.25" customHeight="1">
      <c r="A103" s="587">
        <v>905</v>
      </c>
      <c r="B103" s="587" t="s">
        <v>582</v>
      </c>
      <c r="C103" s="253" t="s">
        <v>5</v>
      </c>
    </row>
    <row r="104" spans="1:6" ht="99.75" customHeight="1">
      <c r="A104" s="587">
        <v>905</v>
      </c>
      <c r="B104" s="587" t="s">
        <v>587</v>
      </c>
      <c r="C104" s="253" t="s">
        <v>20</v>
      </c>
    </row>
    <row r="105" spans="1:6" ht="48" customHeight="1">
      <c r="A105" s="587">
        <v>905</v>
      </c>
      <c r="B105" s="587" t="s">
        <v>590</v>
      </c>
      <c r="C105" s="253" t="s">
        <v>25</v>
      </c>
    </row>
    <row r="106" spans="1:6" ht="136.5" customHeight="1">
      <c r="A106" s="587">
        <v>905</v>
      </c>
      <c r="B106" s="587" t="s">
        <v>607</v>
      </c>
      <c r="C106" s="287" t="s">
        <v>531</v>
      </c>
    </row>
    <row r="107" spans="1:6" ht="75">
      <c r="A107" s="256">
        <v>905</v>
      </c>
      <c r="B107" s="587" t="s">
        <v>605</v>
      </c>
      <c r="C107" s="253" t="s">
        <v>485</v>
      </c>
    </row>
    <row r="108" spans="1:6" ht="42.75" customHeight="1">
      <c r="A108" s="587">
        <v>905</v>
      </c>
      <c r="B108" s="587" t="s">
        <v>16</v>
      </c>
      <c r="C108" s="253" t="s">
        <v>17</v>
      </c>
    </row>
    <row r="109" spans="1:6" ht="41.25" customHeight="1">
      <c r="A109" s="587">
        <v>905</v>
      </c>
      <c r="B109" s="587" t="s">
        <v>18</v>
      </c>
      <c r="C109" s="253" t="s">
        <v>19</v>
      </c>
    </row>
    <row r="110" spans="1:6" ht="37.5">
      <c r="A110" s="579">
        <v>910</v>
      </c>
      <c r="B110" s="587"/>
      <c r="C110" s="258" t="s">
        <v>59</v>
      </c>
    </row>
    <row r="111" spans="1:6" ht="42.75" customHeight="1">
      <c r="A111" s="256">
        <v>910</v>
      </c>
      <c r="B111" s="256" t="s">
        <v>694</v>
      </c>
      <c r="C111" s="253" t="s">
        <v>695</v>
      </c>
    </row>
    <row r="112" spans="1:6" ht="112.5">
      <c r="A112" s="256">
        <v>910</v>
      </c>
      <c r="B112" s="256" t="s">
        <v>727</v>
      </c>
      <c r="C112" s="253" t="s">
        <v>728</v>
      </c>
    </row>
    <row r="113" spans="1:6" s="748" customFormat="1" ht="109.5" customHeight="1">
      <c r="A113" s="746">
        <v>910</v>
      </c>
      <c r="B113" s="746" t="s">
        <v>888</v>
      </c>
      <c r="C113" s="745" t="s">
        <v>889</v>
      </c>
      <c r="D113" s="747" t="s">
        <v>923</v>
      </c>
      <c r="E113" s="747"/>
      <c r="F113" s="747"/>
    </row>
    <row r="114" spans="1:6" ht="167.25" customHeight="1">
      <c r="A114" s="256">
        <v>910</v>
      </c>
      <c r="B114" s="256" t="s">
        <v>721</v>
      </c>
      <c r="C114" s="253" t="s">
        <v>722</v>
      </c>
    </row>
    <row r="115" spans="1:6" ht="315" customHeight="1">
      <c r="A115" s="587">
        <v>910</v>
      </c>
      <c r="B115" s="256" t="s">
        <v>723</v>
      </c>
      <c r="C115" s="253" t="s">
        <v>724</v>
      </c>
      <c r="D115" s="306"/>
      <c r="E115" s="306"/>
      <c r="F115" s="306"/>
    </row>
    <row r="116" spans="1:6" s="243" customFormat="1" ht="105" customHeight="1">
      <c r="A116" s="256">
        <v>910</v>
      </c>
      <c r="B116" s="256" t="s">
        <v>725</v>
      </c>
      <c r="C116" s="253" t="s">
        <v>726</v>
      </c>
      <c r="D116" s="242"/>
      <c r="E116" s="242"/>
      <c r="F116" s="242"/>
    </row>
    <row r="117" spans="1:6" s="243" customFormat="1" ht="78.75" customHeight="1">
      <c r="A117" s="256">
        <v>910</v>
      </c>
      <c r="B117" s="256" t="s">
        <v>852</v>
      </c>
      <c r="C117" s="253" t="s">
        <v>853</v>
      </c>
      <c r="D117" s="242"/>
      <c r="E117" s="242"/>
      <c r="F117" s="242"/>
    </row>
    <row r="118" spans="1:6" s="243" customFormat="1" ht="42.75" customHeight="1">
      <c r="A118" s="587">
        <v>910</v>
      </c>
      <c r="B118" s="256" t="s">
        <v>713</v>
      </c>
      <c r="C118" s="253" t="s">
        <v>3</v>
      </c>
      <c r="D118" s="242"/>
      <c r="E118" s="242"/>
      <c r="F118" s="242"/>
    </row>
    <row r="119" spans="1:6" ht="93.75">
      <c r="A119" s="587">
        <v>910</v>
      </c>
      <c r="B119" s="587" t="s">
        <v>587</v>
      </c>
      <c r="C119" s="253" t="s">
        <v>20</v>
      </c>
    </row>
    <row r="120" spans="1:6" ht="74.25" customHeight="1">
      <c r="A120" s="587">
        <v>910</v>
      </c>
      <c r="B120" s="587" t="s">
        <v>605</v>
      </c>
      <c r="C120" s="253" t="s">
        <v>485</v>
      </c>
    </row>
    <row r="121" spans="1:6" ht="56.25">
      <c r="A121" s="578">
        <v>921</v>
      </c>
      <c r="B121" s="256"/>
      <c r="C121" s="258" t="s">
        <v>21</v>
      </c>
    </row>
    <row r="122" spans="1:6" s="243" customFormat="1" ht="75">
      <c r="A122" s="587">
        <v>921</v>
      </c>
      <c r="B122" s="587" t="s">
        <v>183</v>
      </c>
      <c r="C122" s="253" t="s">
        <v>729</v>
      </c>
      <c r="D122" s="242"/>
      <c r="E122" s="242"/>
      <c r="F122" s="242"/>
    </row>
    <row r="123" spans="1:6" s="243" customFormat="1" ht="66" customHeight="1">
      <c r="A123" s="587">
        <v>921</v>
      </c>
      <c r="B123" s="587" t="s">
        <v>730</v>
      </c>
      <c r="C123" s="253" t="s">
        <v>731</v>
      </c>
      <c r="D123" s="242"/>
      <c r="E123" s="242"/>
      <c r="F123" s="242"/>
    </row>
    <row r="124" spans="1:6" s="243" customFormat="1" ht="130.5" customHeight="1">
      <c r="A124" s="587">
        <v>921</v>
      </c>
      <c r="B124" s="256" t="s">
        <v>732</v>
      </c>
      <c r="C124" s="253" t="s">
        <v>733</v>
      </c>
      <c r="D124" s="242"/>
      <c r="E124" s="242"/>
      <c r="F124" s="242"/>
    </row>
    <row r="125" spans="1:6" s="243" customFormat="1" ht="60.75" customHeight="1">
      <c r="A125" s="587">
        <v>921</v>
      </c>
      <c r="B125" s="587" t="s">
        <v>384</v>
      </c>
      <c r="C125" s="253" t="s">
        <v>22</v>
      </c>
      <c r="D125" s="242"/>
      <c r="E125" s="242"/>
      <c r="F125" s="242"/>
    </row>
    <row r="126" spans="1:6" s="243" customFormat="1" ht="78.75" customHeight="1">
      <c r="A126" s="587">
        <v>921</v>
      </c>
      <c r="B126" s="587" t="s">
        <v>187</v>
      </c>
      <c r="C126" s="253" t="s">
        <v>734</v>
      </c>
      <c r="D126" s="242"/>
      <c r="E126" s="242"/>
      <c r="F126" s="242"/>
    </row>
    <row r="127" spans="1:6" s="243" customFormat="1" ht="110.25" customHeight="1">
      <c r="A127" s="587">
        <v>921</v>
      </c>
      <c r="B127" s="587" t="s">
        <v>445</v>
      </c>
      <c r="C127" s="253" t="s">
        <v>446</v>
      </c>
      <c r="D127" s="242"/>
      <c r="E127" s="242"/>
      <c r="F127" s="242"/>
    </row>
    <row r="128" spans="1:6" s="243" customFormat="1" ht="56.25">
      <c r="A128" s="587">
        <v>921</v>
      </c>
      <c r="B128" s="587" t="s">
        <v>735</v>
      </c>
      <c r="C128" s="253" t="s">
        <v>555</v>
      </c>
      <c r="D128" s="242"/>
      <c r="E128" s="242"/>
      <c r="F128" s="242"/>
    </row>
    <row r="129" spans="1:6" s="243" customFormat="1" ht="42" customHeight="1">
      <c r="A129" s="587">
        <v>921</v>
      </c>
      <c r="B129" s="587" t="s">
        <v>694</v>
      </c>
      <c r="C129" s="253" t="s">
        <v>695</v>
      </c>
      <c r="D129" s="242"/>
      <c r="E129" s="242"/>
      <c r="F129" s="242"/>
    </row>
    <row r="130" spans="1:6" s="243" customFormat="1" ht="117.75" customHeight="1">
      <c r="A130" s="587">
        <v>921</v>
      </c>
      <c r="B130" s="587" t="s">
        <v>736</v>
      </c>
      <c r="C130" s="253" t="s">
        <v>737</v>
      </c>
      <c r="D130" s="242"/>
      <c r="E130" s="242"/>
      <c r="F130" s="242"/>
    </row>
    <row r="131" spans="1:6" s="243" customFormat="1" ht="135" customHeight="1">
      <c r="A131" s="587">
        <v>921</v>
      </c>
      <c r="B131" s="587" t="s">
        <v>738</v>
      </c>
      <c r="C131" s="253" t="s">
        <v>739</v>
      </c>
      <c r="D131" s="242"/>
      <c r="E131" s="242"/>
      <c r="F131" s="242"/>
    </row>
    <row r="132" spans="1:6" s="243" customFormat="1" ht="120" customHeight="1">
      <c r="A132" s="587">
        <v>921</v>
      </c>
      <c r="B132" s="587" t="s">
        <v>740</v>
      </c>
      <c r="C132" s="253" t="s">
        <v>741</v>
      </c>
      <c r="D132" s="242"/>
      <c r="E132" s="242"/>
      <c r="F132" s="242"/>
    </row>
    <row r="133" spans="1:6" s="243" customFormat="1" ht="135" customHeight="1">
      <c r="A133" s="587">
        <v>921</v>
      </c>
      <c r="B133" s="587" t="s">
        <v>742</v>
      </c>
      <c r="C133" s="253" t="s">
        <v>743</v>
      </c>
      <c r="D133" s="242"/>
      <c r="E133" s="242"/>
      <c r="F133" s="242"/>
    </row>
    <row r="134" spans="1:6" s="243" customFormat="1" ht="82.5" customHeight="1">
      <c r="A134" s="587">
        <v>921</v>
      </c>
      <c r="B134" s="256" t="s">
        <v>744</v>
      </c>
      <c r="C134" s="253" t="s">
        <v>745</v>
      </c>
      <c r="D134" s="242"/>
      <c r="E134" s="242"/>
      <c r="F134" s="242"/>
    </row>
    <row r="135" spans="1:6" s="243" customFormat="1" ht="78.75" customHeight="1">
      <c r="A135" s="587">
        <v>921</v>
      </c>
      <c r="B135" s="256" t="s">
        <v>746</v>
      </c>
      <c r="C135" s="253" t="s">
        <v>747</v>
      </c>
      <c r="D135" s="242"/>
      <c r="E135" s="242"/>
      <c r="F135" s="242"/>
    </row>
    <row r="136" spans="1:6" s="243" customFormat="1" ht="128.25" customHeight="1">
      <c r="A136" s="587">
        <v>921</v>
      </c>
      <c r="B136" s="256" t="s">
        <v>748</v>
      </c>
      <c r="C136" s="253" t="s">
        <v>749</v>
      </c>
      <c r="D136" s="242"/>
      <c r="E136" s="242"/>
      <c r="F136" s="242"/>
    </row>
    <row r="137" spans="1:6" s="243" customFormat="1" ht="57.75" customHeight="1">
      <c r="A137" s="587">
        <v>921</v>
      </c>
      <c r="B137" s="256" t="s">
        <v>750</v>
      </c>
      <c r="C137" s="253" t="s">
        <v>751</v>
      </c>
      <c r="D137" s="242"/>
      <c r="E137" s="242"/>
      <c r="F137" s="242"/>
    </row>
    <row r="138" spans="1:6" s="748" customFormat="1" ht="111.75" customHeight="1">
      <c r="A138" s="746">
        <v>921</v>
      </c>
      <c r="B138" s="746" t="s">
        <v>888</v>
      </c>
      <c r="C138" s="745" t="s">
        <v>889</v>
      </c>
      <c r="D138" s="747" t="s">
        <v>923</v>
      </c>
      <c r="E138" s="747"/>
      <c r="F138" s="747"/>
    </row>
    <row r="139" spans="1:6" s="243" customFormat="1" ht="111" customHeight="1">
      <c r="A139" s="256">
        <v>921</v>
      </c>
      <c r="B139" s="256" t="s">
        <v>698</v>
      </c>
      <c r="C139" s="253" t="s">
        <v>752</v>
      </c>
      <c r="D139" s="242"/>
      <c r="E139" s="242"/>
      <c r="F139" s="242"/>
    </row>
    <row r="140" spans="1:6" s="243" customFormat="1" ht="58.5" customHeight="1">
      <c r="A140" s="256">
        <v>921</v>
      </c>
      <c r="B140" s="256" t="s">
        <v>702</v>
      </c>
      <c r="C140" s="253" t="s">
        <v>703</v>
      </c>
      <c r="D140" s="242"/>
      <c r="E140" s="242"/>
      <c r="F140" s="242"/>
    </row>
    <row r="141" spans="1:6" s="243" customFormat="1" ht="93" customHeight="1">
      <c r="A141" s="256">
        <v>921</v>
      </c>
      <c r="B141" s="256" t="s">
        <v>753</v>
      </c>
      <c r="C141" s="253" t="s">
        <v>754</v>
      </c>
      <c r="D141" s="242"/>
      <c r="E141" s="242"/>
      <c r="F141" s="242"/>
    </row>
    <row r="142" spans="1:6" s="243" customFormat="1" ht="42.75" customHeight="1">
      <c r="A142" s="256">
        <v>921</v>
      </c>
      <c r="B142" s="256" t="s">
        <v>713</v>
      </c>
      <c r="C142" s="253" t="s">
        <v>3</v>
      </c>
      <c r="D142" s="242"/>
      <c r="E142" s="242"/>
      <c r="F142" s="242"/>
    </row>
    <row r="143" spans="1:6" s="243" customFormat="1" ht="37.5">
      <c r="A143" s="587">
        <v>921</v>
      </c>
      <c r="B143" s="587" t="s">
        <v>714</v>
      </c>
      <c r="C143" s="305" t="s">
        <v>569</v>
      </c>
      <c r="D143" s="242"/>
      <c r="E143" s="242"/>
      <c r="F143" s="242"/>
    </row>
    <row r="144" spans="1:6" s="243" customFormat="1" ht="56.25">
      <c r="A144" s="256">
        <v>921</v>
      </c>
      <c r="B144" s="587" t="s">
        <v>755</v>
      </c>
      <c r="C144" s="253" t="s">
        <v>756</v>
      </c>
      <c r="D144" s="308"/>
      <c r="E144" s="242"/>
      <c r="F144" s="307"/>
    </row>
    <row r="145" spans="1:6" s="310" customFormat="1" ht="56.25">
      <c r="A145" s="592">
        <v>921</v>
      </c>
      <c r="B145" s="589" t="s">
        <v>662</v>
      </c>
      <c r="C145" s="309" t="s">
        <v>663</v>
      </c>
    </row>
    <row r="146" spans="1:6" ht="27.75" customHeight="1">
      <c r="A146" s="256">
        <v>921</v>
      </c>
      <c r="B146" s="587" t="s">
        <v>582</v>
      </c>
      <c r="C146" s="253" t="s">
        <v>5</v>
      </c>
    </row>
    <row r="147" spans="1:6" ht="56.25">
      <c r="A147" s="256">
        <v>921</v>
      </c>
      <c r="B147" s="587" t="s">
        <v>583</v>
      </c>
      <c r="C147" s="253" t="s">
        <v>6</v>
      </c>
    </row>
    <row r="148" spans="1:6" ht="93.75">
      <c r="A148" s="256">
        <v>921</v>
      </c>
      <c r="B148" s="587" t="s">
        <v>588</v>
      </c>
      <c r="C148" s="253" t="s">
        <v>23</v>
      </c>
    </row>
    <row r="149" spans="1:6" ht="37.5">
      <c r="A149" s="256">
        <v>921</v>
      </c>
      <c r="B149" s="587" t="s">
        <v>589</v>
      </c>
      <c r="C149" s="253" t="s">
        <v>24</v>
      </c>
    </row>
    <row r="150" spans="1:6" ht="37.5">
      <c r="A150" s="256">
        <v>921</v>
      </c>
      <c r="B150" s="256" t="s">
        <v>590</v>
      </c>
      <c r="C150" s="253" t="s">
        <v>25</v>
      </c>
    </row>
    <row r="151" spans="1:6" ht="75">
      <c r="A151" s="256">
        <v>921</v>
      </c>
      <c r="B151" s="587" t="s">
        <v>605</v>
      </c>
      <c r="C151" s="253" t="s">
        <v>485</v>
      </c>
    </row>
    <row r="152" spans="1:6" ht="44.25" customHeight="1">
      <c r="A152" s="578">
        <v>925</v>
      </c>
      <c r="B152" s="256"/>
      <c r="C152" s="258" t="s">
        <v>27</v>
      </c>
    </row>
    <row r="153" spans="1:6" s="243" customFormat="1" ht="96" customHeight="1">
      <c r="A153" s="587">
        <v>925</v>
      </c>
      <c r="B153" s="587" t="s">
        <v>757</v>
      </c>
      <c r="C153" s="253" t="s">
        <v>758</v>
      </c>
      <c r="D153" s="242"/>
      <c r="E153" s="242"/>
      <c r="F153" s="242"/>
    </row>
    <row r="154" spans="1:6" s="243" customFormat="1" ht="56.25">
      <c r="A154" s="587">
        <v>925</v>
      </c>
      <c r="B154" s="587" t="s">
        <v>735</v>
      </c>
      <c r="C154" s="253" t="s">
        <v>555</v>
      </c>
      <c r="D154" s="242"/>
      <c r="E154" s="242"/>
      <c r="F154" s="242"/>
    </row>
    <row r="155" spans="1:6" s="243" customFormat="1" ht="40.5" customHeight="1">
      <c r="A155" s="587">
        <v>925</v>
      </c>
      <c r="B155" s="587" t="s">
        <v>694</v>
      </c>
      <c r="C155" s="253" t="s">
        <v>695</v>
      </c>
      <c r="D155" s="242"/>
      <c r="E155" s="242"/>
      <c r="F155" s="242"/>
    </row>
    <row r="156" spans="1:6" s="243" customFormat="1" ht="116.25" customHeight="1">
      <c r="A156" s="587">
        <v>925</v>
      </c>
      <c r="B156" s="587" t="s">
        <v>740</v>
      </c>
      <c r="C156" s="253" t="s">
        <v>741</v>
      </c>
      <c r="D156" s="242"/>
      <c r="E156" s="242"/>
      <c r="F156" s="242"/>
    </row>
    <row r="157" spans="1:6" s="748" customFormat="1" ht="110.25" customHeight="1">
      <c r="A157" s="746">
        <v>925</v>
      </c>
      <c r="B157" s="746" t="s">
        <v>888</v>
      </c>
      <c r="C157" s="745" t="s">
        <v>889</v>
      </c>
      <c r="D157" s="747" t="s">
        <v>923</v>
      </c>
      <c r="E157" s="747"/>
      <c r="F157" s="747"/>
    </row>
    <row r="158" spans="1:6" s="243" customFormat="1" ht="112.5">
      <c r="A158" s="587">
        <v>925</v>
      </c>
      <c r="B158" s="587" t="s">
        <v>696</v>
      </c>
      <c r="C158" s="253" t="s">
        <v>697</v>
      </c>
      <c r="D158" s="242"/>
      <c r="E158" s="242"/>
      <c r="F158" s="242"/>
    </row>
    <row r="159" spans="1:6" s="243" customFormat="1" ht="112.5">
      <c r="A159" s="256">
        <v>925</v>
      </c>
      <c r="B159" s="256" t="s">
        <v>698</v>
      </c>
      <c r="C159" s="253" t="s">
        <v>699</v>
      </c>
      <c r="D159" s="242"/>
      <c r="E159" s="242"/>
      <c r="F159" s="242"/>
    </row>
    <row r="160" spans="1:6" s="243" customFormat="1" ht="60.75" customHeight="1">
      <c r="A160" s="256">
        <v>925</v>
      </c>
      <c r="B160" s="256" t="s">
        <v>702</v>
      </c>
      <c r="C160" s="253" t="s">
        <v>703</v>
      </c>
      <c r="D160" s="242"/>
      <c r="E160" s="242"/>
      <c r="F160" s="242"/>
    </row>
    <row r="161" spans="1:6" s="243" customFormat="1" ht="37.5">
      <c r="A161" s="256">
        <v>925</v>
      </c>
      <c r="B161" s="256" t="s">
        <v>713</v>
      </c>
      <c r="C161" s="253" t="s">
        <v>3</v>
      </c>
      <c r="D161" s="242"/>
      <c r="E161" s="242"/>
      <c r="F161" s="242"/>
    </row>
    <row r="162" spans="1:6" s="243" customFormat="1" ht="37.5">
      <c r="A162" s="587">
        <v>925</v>
      </c>
      <c r="B162" s="587" t="s">
        <v>714</v>
      </c>
      <c r="C162" s="305" t="s">
        <v>569</v>
      </c>
      <c r="D162" s="242"/>
      <c r="E162" s="242"/>
      <c r="F162" s="242"/>
    </row>
    <row r="163" spans="1:6" ht="60.75" customHeight="1">
      <c r="A163" s="256">
        <v>925</v>
      </c>
      <c r="B163" s="587" t="s">
        <v>717</v>
      </c>
      <c r="C163" s="253" t="s">
        <v>718</v>
      </c>
    </row>
    <row r="164" spans="1:6" ht="81" customHeight="1">
      <c r="A164" s="256">
        <v>925</v>
      </c>
      <c r="B164" s="587" t="s">
        <v>661</v>
      </c>
      <c r="C164" s="253" t="s">
        <v>660</v>
      </c>
    </row>
    <row r="165" spans="1:6" ht="37.5">
      <c r="A165" s="256">
        <v>925</v>
      </c>
      <c r="B165" s="587" t="s">
        <v>582</v>
      </c>
      <c r="C165" s="253" t="s">
        <v>5</v>
      </c>
    </row>
    <row r="166" spans="1:6" ht="56.25">
      <c r="A166" s="256">
        <v>925</v>
      </c>
      <c r="B166" s="587" t="s">
        <v>583</v>
      </c>
      <c r="C166" s="253" t="s">
        <v>6</v>
      </c>
    </row>
    <row r="167" spans="1:6" ht="112.5">
      <c r="A167" s="256">
        <v>925</v>
      </c>
      <c r="B167" s="587" t="s">
        <v>591</v>
      </c>
      <c r="C167" s="253" t="s">
        <v>28</v>
      </c>
    </row>
    <row r="168" spans="1:6" ht="45" customHeight="1">
      <c r="A168" s="256">
        <v>925</v>
      </c>
      <c r="B168" s="256" t="s">
        <v>590</v>
      </c>
      <c r="C168" s="253" t="s">
        <v>25</v>
      </c>
    </row>
    <row r="169" spans="1:6" ht="58.5" customHeight="1">
      <c r="A169" s="256">
        <v>925</v>
      </c>
      <c r="B169" s="587" t="s">
        <v>604</v>
      </c>
      <c r="C169" s="253" t="s">
        <v>26</v>
      </c>
    </row>
    <row r="170" spans="1:6" ht="81" customHeight="1">
      <c r="A170" s="256">
        <v>925</v>
      </c>
      <c r="B170" s="587" t="s">
        <v>605</v>
      </c>
      <c r="C170" s="253" t="s">
        <v>485</v>
      </c>
    </row>
    <row r="171" spans="1:6" ht="56.25">
      <c r="A171" s="578">
        <v>926</v>
      </c>
      <c r="B171" s="256"/>
      <c r="C171" s="258" t="s">
        <v>29</v>
      </c>
    </row>
    <row r="172" spans="1:6" ht="116.25" customHeight="1">
      <c r="A172" s="587">
        <v>926</v>
      </c>
      <c r="B172" s="587" t="s">
        <v>757</v>
      </c>
      <c r="C172" s="253" t="s">
        <v>758</v>
      </c>
    </row>
    <row r="173" spans="1:6" ht="48.75" customHeight="1">
      <c r="A173" s="587">
        <v>926</v>
      </c>
      <c r="B173" s="587" t="s">
        <v>693</v>
      </c>
      <c r="C173" s="253" t="s">
        <v>34</v>
      </c>
    </row>
    <row r="174" spans="1:6" s="243" customFormat="1" ht="37.5">
      <c r="A174" s="587">
        <v>926</v>
      </c>
      <c r="B174" s="587" t="s">
        <v>694</v>
      </c>
      <c r="C174" s="253" t="s">
        <v>695</v>
      </c>
      <c r="D174" s="242"/>
      <c r="E174" s="242"/>
      <c r="F174" s="242"/>
    </row>
    <row r="175" spans="1:6" s="748" customFormat="1" ht="111.75" customHeight="1">
      <c r="A175" s="746">
        <v>926</v>
      </c>
      <c r="B175" s="746" t="s">
        <v>888</v>
      </c>
      <c r="C175" s="745" t="s">
        <v>889</v>
      </c>
      <c r="D175" s="747" t="s">
        <v>923</v>
      </c>
      <c r="E175" s="747"/>
      <c r="F175" s="747"/>
    </row>
    <row r="176" spans="1:6" s="243" customFormat="1" ht="112.5">
      <c r="A176" s="256">
        <v>926</v>
      </c>
      <c r="B176" s="256" t="s">
        <v>698</v>
      </c>
      <c r="C176" s="253" t="s">
        <v>752</v>
      </c>
      <c r="D176" s="242"/>
      <c r="E176" s="242"/>
      <c r="F176" s="242"/>
    </row>
    <row r="177" spans="1:6" s="243" customFormat="1" ht="63" customHeight="1">
      <c r="A177" s="256">
        <v>926</v>
      </c>
      <c r="B177" s="256" t="s">
        <v>702</v>
      </c>
      <c r="C177" s="253" t="s">
        <v>703</v>
      </c>
      <c r="D177" s="242"/>
      <c r="E177" s="242"/>
      <c r="F177" s="242"/>
    </row>
    <row r="178" spans="1:6" s="243" customFormat="1" ht="37.5">
      <c r="A178" s="256">
        <v>926</v>
      </c>
      <c r="B178" s="256" t="s">
        <v>713</v>
      </c>
      <c r="C178" s="253" t="s">
        <v>3</v>
      </c>
      <c r="D178" s="242"/>
      <c r="E178" s="242"/>
      <c r="F178" s="242"/>
    </row>
    <row r="179" spans="1:6" ht="57.75" customHeight="1">
      <c r="A179" s="256">
        <v>926</v>
      </c>
      <c r="B179" s="587" t="s">
        <v>717</v>
      </c>
      <c r="C179" s="253" t="s">
        <v>718</v>
      </c>
    </row>
    <row r="180" spans="1:6" s="243" customFormat="1" ht="37.5">
      <c r="A180" s="256">
        <v>926</v>
      </c>
      <c r="B180" s="256" t="s">
        <v>592</v>
      </c>
      <c r="C180" s="253" t="s">
        <v>494</v>
      </c>
      <c r="D180" s="242"/>
      <c r="E180" s="242"/>
      <c r="F180" s="242"/>
    </row>
    <row r="181" spans="1:6" ht="37.5">
      <c r="A181" s="256">
        <v>926</v>
      </c>
      <c r="B181" s="587" t="s">
        <v>582</v>
      </c>
      <c r="C181" s="253" t="s">
        <v>5</v>
      </c>
    </row>
    <row r="182" spans="1:6" ht="96" customHeight="1">
      <c r="A182" s="256">
        <v>926</v>
      </c>
      <c r="B182" s="587" t="s">
        <v>587</v>
      </c>
      <c r="C182" s="253" t="s">
        <v>20</v>
      </c>
    </row>
    <row r="183" spans="1:6" ht="37.5">
      <c r="A183" s="256">
        <v>926</v>
      </c>
      <c r="B183" s="587" t="s">
        <v>590</v>
      </c>
      <c r="C183" s="253" t="s">
        <v>25</v>
      </c>
    </row>
    <row r="184" spans="1:6" ht="56.25">
      <c r="A184" s="256">
        <v>926</v>
      </c>
      <c r="B184" s="587" t="s">
        <v>604</v>
      </c>
      <c r="C184" s="253" t="s">
        <v>26</v>
      </c>
    </row>
    <row r="185" spans="1:6" ht="75">
      <c r="A185" s="256">
        <v>926</v>
      </c>
      <c r="B185" s="587" t="s">
        <v>605</v>
      </c>
      <c r="C185" s="253" t="s">
        <v>485</v>
      </c>
    </row>
    <row r="186" spans="1:6" ht="59.25" customHeight="1">
      <c r="A186" s="578">
        <v>929</v>
      </c>
      <c r="B186" s="587"/>
      <c r="C186" s="258" t="s">
        <v>30</v>
      </c>
    </row>
    <row r="187" spans="1:6" ht="37.5">
      <c r="A187" s="256">
        <v>929</v>
      </c>
      <c r="B187" s="256" t="s">
        <v>694</v>
      </c>
      <c r="C187" s="253" t="s">
        <v>695</v>
      </c>
    </row>
    <row r="188" spans="1:6" ht="117.75" customHeight="1">
      <c r="A188" s="587">
        <v>929</v>
      </c>
      <c r="B188" s="587" t="s">
        <v>740</v>
      </c>
      <c r="C188" s="253" t="s">
        <v>741</v>
      </c>
      <c r="D188" s="306"/>
      <c r="E188" s="306"/>
      <c r="F188" s="306"/>
    </row>
    <row r="189" spans="1:6" s="748" customFormat="1" ht="111.75" customHeight="1">
      <c r="A189" s="746">
        <v>929</v>
      </c>
      <c r="B189" s="746" t="s">
        <v>888</v>
      </c>
      <c r="C189" s="760" t="s">
        <v>889</v>
      </c>
      <c r="D189" s="747" t="s">
        <v>923</v>
      </c>
      <c r="E189" s="747"/>
      <c r="F189" s="747"/>
    </row>
    <row r="190" spans="1:6" s="748" customFormat="1" ht="112.5">
      <c r="A190" s="746">
        <v>929</v>
      </c>
      <c r="B190" s="746" t="s">
        <v>696</v>
      </c>
      <c r="C190" s="760" t="s">
        <v>697</v>
      </c>
      <c r="D190" s="747" t="s">
        <v>923</v>
      </c>
      <c r="E190" s="747"/>
      <c r="F190" s="747"/>
    </row>
    <row r="191" spans="1:6" ht="37.5">
      <c r="A191" s="587">
        <v>929</v>
      </c>
      <c r="B191" s="256" t="s">
        <v>713</v>
      </c>
      <c r="C191" s="253" t="s">
        <v>3</v>
      </c>
      <c r="D191" s="306"/>
      <c r="E191" s="306"/>
      <c r="F191" s="306"/>
    </row>
    <row r="192" spans="1:6" ht="37.5">
      <c r="A192" s="587">
        <v>929</v>
      </c>
      <c r="B192" s="587" t="s">
        <v>714</v>
      </c>
      <c r="C192" s="305" t="s">
        <v>569</v>
      </c>
      <c r="D192" s="306"/>
      <c r="E192" s="306"/>
      <c r="F192" s="306"/>
    </row>
    <row r="193" spans="1:6" ht="30" customHeight="1">
      <c r="A193" s="256">
        <v>929</v>
      </c>
      <c r="B193" s="587" t="s">
        <v>582</v>
      </c>
      <c r="C193" s="253" t="s">
        <v>5</v>
      </c>
    </row>
    <row r="194" spans="1:6" ht="75">
      <c r="A194" s="256">
        <v>929</v>
      </c>
      <c r="B194" s="587" t="s">
        <v>605</v>
      </c>
      <c r="C194" s="253" t="s">
        <v>485</v>
      </c>
    </row>
    <row r="195" spans="1:6" ht="43.5" customHeight="1">
      <c r="A195" s="578">
        <v>934</v>
      </c>
      <c r="B195" s="587"/>
      <c r="C195" s="258" t="s">
        <v>31</v>
      </c>
    </row>
    <row r="196" spans="1:6" s="243" customFormat="1" ht="37.5">
      <c r="A196" s="256">
        <v>934</v>
      </c>
      <c r="B196" s="256" t="s">
        <v>694</v>
      </c>
      <c r="C196" s="253" t="s">
        <v>695</v>
      </c>
      <c r="D196" s="242"/>
      <c r="E196" s="242"/>
      <c r="F196" s="242"/>
    </row>
    <row r="197" spans="1:6" s="748" customFormat="1" ht="108.75" customHeight="1">
      <c r="A197" s="746">
        <v>934</v>
      </c>
      <c r="B197" s="746" t="s">
        <v>888</v>
      </c>
      <c r="C197" s="745" t="s">
        <v>889</v>
      </c>
      <c r="D197" s="747" t="s">
        <v>923</v>
      </c>
      <c r="E197" s="747"/>
      <c r="F197" s="747"/>
    </row>
    <row r="198" spans="1:6" s="243" customFormat="1" ht="59.25" customHeight="1">
      <c r="A198" s="256">
        <v>934</v>
      </c>
      <c r="B198" s="256" t="s">
        <v>702</v>
      </c>
      <c r="C198" s="253" t="s">
        <v>703</v>
      </c>
      <c r="D198" s="242"/>
      <c r="E198" s="242"/>
      <c r="F198" s="242"/>
    </row>
    <row r="199" spans="1:6" s="243" customFormat="1" ht="37.5">
      <c r="A199" s="587">
        <v>934</v>
      </c>
      <c r="B199" s="256" t="s">
        <v>713</v>
      </c>
      <c r="C199" s="253" t="s">
        <v>3</v>
      </c>
      <c r="D199" s="242"/>
      <c r="E199" s="242"/>
      <c r="F199" s="242"/>
    </row>
    <row r="200" spans="1:6" ht="43.5" customHeight="1">
      <c r="A200" s="578">
        <v>953</v>
      </c>
      <c r="B200" s="256"/>
      <c r="C200" s="258" t="s">
        <v>32</v>
      </c>
    </row>
    <row r="201" spans="1:6" ht="37.5">
      <c r="A201" s="587">
        <v>953</v>
      </c>
      <c r="B201" s="256" t="s">
        <v>694</v>
      </c>
      <c r="C201" s="253" t="s">
        <v>695</v>
      </c>
    </row>
    <row r="202" spans="1:6" s="243" customFormat="1" ht="37.5">
      <c r="A202" s="587">
        <v>953</v>
      </c>
      <c r="B202" s="256" t="s">
        <v>713</v>
      </c>
      <c r="C202" s="253" t="s">
        <v>3</v>
      </c>
      <c r="D202" s="242"/>
      <c r="E202" s="242"/>
      <c r="F202" s="242"/>
    </row>
    <row r="203" spans="1:6" ht="56.25">
      <c r="A203" s="256">
        <v>953</v>
      </c>
      <c r="B203" s="587" t="s">
        <v>583</v>
      </c>
      <c r="C203" s="253" t="s">
        <v>6</v>
      </c>
    </row>
    <row r="204" spans="1:6" ht="75">
      <c r="A204" s="256">
        <v>953</v>
      </c>
      <c r="B204" s="587" t="s">
        <v>593</v>
      </c>
      <c r="C204" s="253" t="s">
        <v>33</v>
      </c>
    </row>
    <row r="205" spans="1:6" ht="75">
      <c r="A205" s="256">
        <v>953</v>
      </c>
      <c r="B205" s="587" t="s">
        <v>605</v>
      </c>
      <c r="C205" s="253" t="s">
        <v>485</v>
      </c>
    </row>
    <row r="207" spans="1:6" ht="18.75">
      <c r="A207" s="769" t="s">
        <v>385</v>
      </c>
      <c r="B207" s="769"/>
      <c r="C207" s="769"/>
    </row>
    <row r="210" spans="1:8" s="265" customFormat="1" ht="18.75">
      <c r="A210" s="593" t="s">
        <v>497</v>
      </c>
      <c r="B210" s="590"/>
      <c r="C210" s="584"/>
      <c r="D210" s="262"/>
      <c r="E210" s="262"/>
      <c r="F210" s="262"/>
      <c r="G210" s="263"/>
      <c r="H210" s="264"/>
    </row>
    <row r="211" spans="1:8" s="265" customFormat="1" ht="18.75">
      <c r="A211" s="593" t="s">
        <v>498</v>
      </c>
      <c r="B211" s="590"/>
      <c r="C211" s="584"/>
      <c r="D211" s="262"/>
      <c r="E211" s="262"/>
      <c r="F211" s="262"/>
      <c r="G211" s="263"/>
      <c r="H211" s="264"/>
    </row>
    <row r="212" spans="1:8" s="265" customFormat="1" ht="18.75">
      <c r="A212" s="594" t="s">
        <v>499</v>
      </c>
      <c r="B212" s="590"/>
      <c r="C212" s="585" t="s">
        <v>534</v>
      </c>
      <c r="D212" s="262"/>
      <c r="E212" s="262"/>
      <c r="F212" s="262"/>
    </row>
  </sheetData>
  <autoFilter ref="A4:C193"/>
  <mergeCells count="5">
    <mergeCell ref="A207:C207"/>
    <mergeCell ref="A7:C7"/>
    <mergeCell ref="A9:B9"/>
    <mergeCell ref="C10:C11"/>
    <mergeCell ref="A10:B10"/>
  </mergeCells>
  <printOptions horizontalCentered="1"/>
  <pageMargins left="1.1811023622047245" right="0.39370078740157483" top="0.78740157480314965" bottom="0.6692913385826772" header="0.31496062992125984" footer="0.31496062992125984"/>
  <pageSetup paperSize="9" scale="75" fitToHeight="0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493"/>
  <sheetViews>
    <sheetView zoomScale="90" zoomScaleNormal="90" zoomScaleSheetLayoutView="70" workbookViewId="0">
      <pane ySplit="5" topLeftCell="A6" activePane="bottomLeft" state="frozen"/>
      <selection activeCell="B44" sqref="B44"/>
      <selection pane="bottomLeft" activeCell="H2" sqref="H2"/>
    </sheetView>
  </sheetViews>
  <sheetFormatPr defaultColWidth="9.140625" defaultRowHeight="15.75"/>
  <cols>
    <col min="1" max="1" width="4.5703125" style="337" customWidth="1"/>
    <col min="2" max="2" width="62.42578125" style="338" customWidth="1"/>
    <col min="3" max="3" width="3.140625" style="339" customWidth="1"/>
    <col min="4" max="4" width="2" style="339" customWidth="1"/>
    <col min="5" max="5" width="3.140625" style="339" customWidth="1"/>
    <col min="6" max="6" width="7.5703125" style="339" customWidth="1"/>
    <col min="7" max="7" width="5.5703125" style="340" customWidth="1"/>
    <col min="8" max="8" width="16.7109375" style="343" customWidth="1"/>
    <col min="9" max="9" width="9.140625" style="342"/>
    <col min="10" max="10" width="17.7109375" style="342" customWidth="1"/>
    <col min="11" max="16384" width="9.140625" style="342"/>
  </cols>
  <sheetData>
    <row r="1" spans="1:13" s="244" customFormat="1" ht="18.75">
      <c r="H1" s="520" t="s">
        <v>581</v>
      </c>
      <c r="K1" s="643"/>
      <c r="L1" s="644"/>
    </row>
    <row r="2" spans="1:13" s="244" customFormat="1" ht="18.75">
      <c r="H2" s="520" t="s">
        <v>937</v>
      </c>
      <c r="K2" s="643"/>
      <c r="L2" s="645"/>
    </row>
    <row r="3" spans="1:13" s="244" customFormat="1" ht="18.75">
      <c r="K3" s="643"/>
      <c r="L3" s="645"/>
      <c r="M3" s="520"/>
    </row>
    <row r="4" spans="1:13" s="244" customFormat="1" ht="18.75">
      <c r="K4" s="643"/>
      <c r="L4" s="645"/>
      <c r="M4" s="520"/>
    </row>
    <row r="5" spans="1:13" ht="18.75">
      <c r="H5" s="341" t="s">
        <v>580</v>
      </c>
    </row>
    <row r="6" spans="1:13" ht="18.75">
      <c r="H6" s="1" t="s">
        <v>884</v>
      </c>
    </row>
    <row r="9" spans="1:13" ht="72" customHeight="1">
      <c r="A9" s="794" t="s">
        <v>683</v>
      </c>
      <c r="B9" s="794"/>
      <c r="C9" s="794"/>
      <c r="D9" s="794"/>
      <c r="E9" s="794"/>
      <c r="F9" s="794"/>
      <c r="G9" s="794"/>
      <c r="H9" s="794"/>
    </row>
    <row r="10" spans="1:13">
      <c r="A10" s="342"/>
      <c r="B10" s="342"/>
      <c r="C10" s="337"/>
      <c r="D10" s="337"/>
      <c r="E10" s="337"/>
      <c r="F10" s="337"/>
      <c r="G10" s="343"/>
    </row>
    <row r="11" spans="1:13" ht="18.75">
      <c r="A11" s="344"/>
      <c r="B11" s="345"/>
      <c r="C11" s="346"/>
      <c r="D11" s="346"/>
      <c r="E11" s="346"/>
      <c r="F11" s="346"/>
      <c r="G11" s="342"/>
      <c r="H11" s="347" t="s">
        <v>46</v>
      </c>
    </row>
    <row r="12" spans="1:13" ht="37.15" customHeight="1">
      <c r="A12" s="348" t="s">
        <v>47</v>
      </c>
      <c r="B12" s="349" t="s">
        <v>48</v>
      </c>
      <c r="C12" s="795" t="s">
        <v>52</v>
      </c>
      <c r="D12" s="796"/>
      <c r="E12" s="796"/>
      <c r="F12" s="797"/>
      <c r="G12" s="349" t="s">
        <v>53</v>
      </c>
      <c r="H12" s="350" t="s">
        <v>37</v>
      </c>
    </row>
    <row r="13" spans="1:13" ht="18.75">
      <c r="A13" s="351">
        <v>1</v>
      </c>
      <c r="B13" s="352">
        <v>2</v>
      </c>
      <c r="C13" s="798" t="s">
        <v>54</v>
      </c>
      <c r="D13" s="799"/>
      <c r="E13" s="799"/>
      <c r="F13" s="800"/>
      <c r="G13" s="353" t="s">
        <v>55</v>
      </c>
      <c r="H13" s="354">
        <v>5</v>
      </c>
    </row>
    <row r="14" spans="1:13" ht="19.5" customHeight="1">
      <c r="A14" s="355"/>
      <c r="B14" s="356" t="s">
        <v>241</v>
      </c>
      <c r="C14" s="357"/>
      <c r="D14" s="357"/>
      <c r="E14" s="357"/>
      <c r="F14" s="357"/>
      <c r="G14" s="358"/>
      <c r="H14" s="359">
        <f>H15+H121+H171+H203+H219+H246+H263+H301+H348+H357+H363+H373+H381+H387+H450+H473+H342+H444+H464</f>
        <v>1470942.23869</v>
      </c>
      <c r="J14" s="360">
        <f>H14-'прил12(ведом 20)'!M14</f>
        <v>0</v>
      </c>
    </row>
    <row r="15" spans="1:13" s="367" customFormat="1" ht="56.25">
      <c r="A15" s="361">
        <v>1</v>
      </c>
      <c r="B15" s="362" t="s">
        <v>244</v>
      </c>
      <c r="C15" s="363" t="s">
        <v>63</v>
      </c>
      <c r="D15" s="363" t="s">
        <v>66</v>
      </c>
      <c r="E15" s="363" t="s">
        <v>67</v>
      </c>
      <c r="F15" s="364" t="s">
        <v>68</v>
      </c>
      <c r="G15" s="365"/>
      <c r="H15" s="366">
        <f>H16+H78+H97</f>
        <v>974498.22407</v>
      </c>
    </row>
    <row r="16" spans="1:13" ht="24" customHeight="1">
      <c r="A16" s="355"/>
      <c r="B16" s="368" t="s">
        <v>245</v>
      </c>
      <c r="C16" s="459" t="s">
        <v>63</v>
      </c>
      <c r="D16" s="459" t="s">
        <v>69</v>
      </c>
      <c r="E16" s="459" t="s">
        <v>67</v>
      </c>
      <c r="F16" s="460" t="s">
        <v>68</v>
      </c>
      <c r="G16" s="353"/>
      <c r="H16" s="369">
        <f>H17+H37+H69+H74</f>
        <v>851203.69916999992</v>
      </c>
    </row>
    <row r="17" spans="1:8" ht="18.75">
      <c r="A17" s="355"/>
      <c r="B17" s="368" t="s">
        <v>329</v>
      </c>
      <c r="C17" s="461" t="s">
        <v>63</v>
      </c>
      <c r="D17" s="462" t="s">
        <v>69</v>
      </c>
      <c r="E17" s="462" t="s">
        <v>61</v>
      </c>
      <c r="F17" s="463" t="s">
        <v>68</v>
      </c>
      <c r="G17" s="353"/>
      <c r="H17" s="369">
        <f>H26+H29+H31+H18+H22+H35+H24+H20+H33</f>
        <v>334212.24118000001</v>
      </c>
    </row>
    <row r="18" spans="1:8" ht="75">
      <c r="A18" s="355"/>
      <c r="B18" s="368" t="s">
        <v>121</v>
      </c>
      <c r="C18" s="461" t="s">
        <v>63</v>
      </c>
      <c r="D18" s="462" t="s">
        <v>69</v>
      </c>
      <c r="E18" s="462" t="s">
        <v>61</v>
      </c>
      <c r="F18" s="463" t="s">
        <v>123</v>
      </c>
      <c r="G18" s="193"/>
      <c r="H18" s="369">
        <f>H19</f>
        <v>82391.388179999994</v>
      </c>
    </row>
    <row r="19" spans="1:8" ht="44.25" customHeight="1">
      <c r="A19" s="355"/>
      <c r="B19" s="368" t="s">
        <v>105</v>
      </c>
      <c r="C19" s="461" t="s">
        <v>63</v>
      </c>
      <c r="D19" s="462" t="s">
        <v>69</v>
      </c>
      <c r="E19" s="462" t="s">
        <v>61</v>
      </c>
      <c r="F19" s="463" t="s">
        <v>123</v>
      </c>
      <c r="G19" s="193" t="s">
        <v>106</v>
      </c>
      <c r="H19" s="369">
        <f>'прил12(ведом 20)'!M338</f>
        <v>82391.388179999994</v>
      </c>
    </row>
    <row r="20" spans="1:8" ht="44.25" customHeight="1">
      <c r="A20" s="355"/>
      <c r="B20" s="207" t="s">
        <v>516</v>
      </c>
      <c r="C20" s="653" t="s">
        <v>63</v>
      </c>
      <c r="D20" s="654" t="s">
        <v>69</v>
      </c>
      <c r="E20" s="654" t="s">
        <v>61</v>
      </c>
      <c r="F20" s="655" t="s">
        <v>515</v>
      </c>
      <c r="G20" s="193"/>
      <c r="H20" s="369">
        <f>H21</f>
        <v>595.6</v>
      </c>
    </row>
    <row r="21" spans="1:8" ht="44.25" customHeight="1">
      <c r="A21" s="355"/>
      <c r="B21" s="207" t="s">
        <v>105</v>
      </c>
      <c r="C21" s="653" t="s">
        <v>63</v>
      </c>
      <c r="D21" s="654" t="s">
        <v>69</v>
      </c>
      <c r="E21" s="654" t="s">
        <v>61</v>
      </c>
      <c r="F21" s="655" t="s">
        <v>515</v>
      </c>
      <c r="G21" s="193" t="s">
        <v>106</v>
      </c>
      <c r="H21" s="369">
        <f>'прил12(ведом 20)'!M340</f>
        <v>595.6</v>
      </c>
    </row>
    <row r="22" spans="1:8" ht="44.25" customHeight="1">
      <c r="A22" s="355"/>
      <c r="B22" s="207" t="s">
        <v>246</v>
      </c>
      <c r="C22" s="461" t="s">
        <v>63</v>
      </c>
      <c r="D22" s="462" t="s">
        <v>69</v>
      </c>
      <c r="E22" s="462" t="s">
        <v>61</v>
      </c>
      <c r="F22" s="463" t="s">
        <v>335</v>
      </c>
      <c r="G22" s="193"/>
      <c r="H22" s="369">
        <f>H23</f>
        <v>19218.5</v>
      </c>
    </row>
    <row r="23" spans="1:8" ht="41.25" customHeight="1">
      <c r="A23" s="355"/>
      <c r="B23" s="207" t="s">
        <v>105</v>
      </c>
      <c r="C23" s="461" t="s">
        <v>63</v>
      </c>
      <c r="D23" s="462" t="s">
        <v>69</v>
      </c>
      <c r="E23" s="462" t="s">
        <v>61</v>
      </c>
      <c r="F23" s="463" t="s">
        <v>335</v>
      </c>
      <c r="G23" s="193" t="s">
        <v>106</v>
      </c>
      <c r="H23" s="369">
        <f>'прил12(ведом 20)'!M342</f>
        <v>19218.5</v>
      </c>
    </row>
    <row r="24" spans="1:8" ht="41.25" customHeight="1">
      <c r="A24" s="355"/>
      <c r="B24" s="207" t="s">
        <v>247</v>
      </c>
      <c r="C24" s="653" t="s">
        <v>63</v>
      </c>
      <c r="D24" s="654" t="s">
        <v>69</v>
      </c>
      <c r="E24" s="654" t="s">
        <v>61</v>
      </c>
      <c r="F24" s="655" t="s">
        <v>336</v>
      </c>
      <c r="G24" s="193"/>
      <c r="H24" s="369">
        <f>H25</f>
        <v>5600</v>
      </c>
    </row>
    <row r="25" spans="1:8" ht="41.25" customHeight="1">
      <c r="A25" s="355"/>
      <c r="B25" s="371" t="s">
        <v>242</v>
      </c>
      <c r="C25" s="653" t="s">
        <v>63</v>
      </c>
      <c r="D25" s="654" t="s">
        <v>69</v>
      </c>
      <c r="E25" s="654" t="s">
        <v>61</v>
      </c>
      <c r="F25" s="655" t="s">
        <v>336</v>
      </c>
      <c r="G25" s="193" t="s">
        <v>243</v>
      </c>
      <c r="H25" s="369">
        <f>'прил12(ведом 20)'!M298</f>
        <v>5600</v>
      </c>
    </row>
    <row r="26" spans="1:8" ht="114.75" customHeight="1">
      <c r="A26" s="355"/>
      <c r="B26" s="368" t="s">
        <v>345</v>
      </c>
      <c r="C26" s="461" t="s">
        <v>63</v>
      </c>
      <c r="D26" s="462" t="s">
        <v>69</v>
      </c>
      <c r="E26" s="462" t="s">
        <v>61</v>
      </c>
      <c r="F26" s="463" t="s">
        <v>346</v>
      </c>
      <c r="G26" s="193"/>
      <c r="H26" s="369">
        <f>SUM(H27:H28)</f>
        <v>7904.9000000000005</v>
      </c>
    </row>
    <row r="27" spans="1:8" ht="37.5">
      <c r="A27" s="355"/>
      <c r="B27" s="368" t="s">
        <v>79</v>
      </c>
      <c r="C27" s="461" t="s">
        <v>63</v>
      </c>
      <c r="D27" s="462" t="s">
        <v>69</v>
      </c>
      <c r="E27" s="462" t="s">
        <v>61</v>
      </c>
      <c r="F27" s="463" t="s">
        <v>346</v>
      </c>
      <c r="G27" s="193" t="s">
        <v>80</v>
      </c>
      <c r="H27" s="369">
        <f>'прил12(ведом 20)'!M458</f>
        <v>116.8</v>
      </c>
    </row>
    <row r="28" spans="1:8" ht="22.5" customHeight="1">
      <c r="A28" s="355"/>
      <c r="B28" s="370" t="s">
        <v>152</v>
      </c>
      <c r="C28" s="461" t="s">
        <v>63</v>
      </c>
      <c r="D28" s="462" t="s">
        <v>69</v>
      </c>
      <c r="E28" s="462" t="s">
        <v>61</v>
      </c>
      <c r="F28" s="463" t="s">
        <v>346</v>
      </c>
      <c r="G28" s="193" t="s">
        <v>153</v>
      </c>
      <c r="H28" s="369">
        <f>'прил12(ведом 20)'!M459</f>
        <v>7788.1</v>
      </c>
    </row>
    <row r="29" spans="1:8" ht="18.75">
      <c r="A29" s="355"/>
      <c r="B29" s="368" t="s">
        <v>330</v>
      </c>
      <c r="C29" s="461" t="s">
        <v>63</v>
      </c>
      <c r="D29" s="462" t="s">
        <v>69</v>
      </c>
      <c r="E29" s="462" t="s">
        <v>61</v>
      </c>
      <c r="F29" s="463" t="s">
        <v>331</v>
      </c>
      <c r="G29" s="193"/>
      <c r="H29" s="369">
        <f>H30</f>
        <v>522.1</v>
      </c>
    </row>
    <row r="30" spans="1:8" ht="43.5" customHeight="1">
      <c r="A30" s="355"/>
      <c r="B30" s="368" t="s">
        <v>105</v>
      </c>
      <c r="C30" s="461" t="s">
        <v>63</v>
      </c>
      <c r="D30" s="462" t="s">
        <v>69</v>
      </c>
      <c r="E30" s="462" t="s">
        <v>61</v>
      </c>
      <c r="F30" s="463" t="s">
        <v>331</v>
      </c>
      <c r="G30" s="193" t="s">
        <v>106</v>
      </c>
      <c r="H30" s="369">
        <f>'прил12(ведом 20)'!M344</f>
        <v>522.1</v>
      </c>
    </row>
    <row r="31" spans="1:8" ht="97.5" customHeight="1">
      <c r="A31" s="355"/>
      <c r="B31" s="368" t="s">
        <v>439</v>
      </c>
      <c r="C31" s="461" t="s">
        <v>63</v>
      </c>
      <c r="D31" s="462" t="s">
        <v>69</v>
      </c>
      <c r="E31" s="462" t="s">
        <v>61</v>
      </c>
      <c r="F31" s="463" t="s">
        <v>332</v>
      </c>
      <c r="G31" s="193"/>
      <c r="H31" s="369">
        <f>H32</f>
        <v>214886.5</v>
      </c>
    </row>
    <row r="32" spans="1:8" ht="39.75" customHeight="1">
      <c r="A32" s="355"/>
      <c r="B32" s="370" t="s">
        <v>105</v>
      </c>
      <c r="C32" s="461" t="s">
        <v>63</v>
      </c>
      <c r="D32" s="462" t="s">
        <v>69</v>
      </c>
      <c r="E32" s="462" t="s">
        <v>61</v>
      </c>
      <c r="F32" s="463" t="s">
        <v>332</v>
      </c>
      <c r="G32" s="193" t="s">
        <v>106</v>
      </c>
      <c r="H32" s="369">
        <f>'прил12(ведом 20)'!M346</f>
        <v>214886.5</v>
      </c>
    </row>
    <row r="33" spans="1:8" ht="28.15" customHeight="1">
      <c r="A33" s="355"/>
      <c r="B33" s="207" t="s">
        <v>97</v>
      </c>
      <c r="C33" s="692" t="s">
        <v>63</v>
      </c>
      <c r="D33" s="677" t="s">
        <v>69</v>
      </c>
      <c r="E33" s="677" t="s">
        <v>61</v>
      </c>
      <c r="F33" s="678" t="s">
        <v>98</v>
      </c>
      <c r="G33" s="524"/>
      <c r="H33" s="369">
        <f>H34</f>
        <v>67.352999999999994</v>
      </c>
    </row>
    <row r="34" spans="1:8" ht="39.75" customHeight="1">
      <c r="A34" s="355"/>
      <c r="B34" s="370" t="s">
        <v>105</v>
      </c>
      <c r="C34" s="692" t="s">
        <v>63</v>
      </c>
      <c r="D34" s="437" t="s">
        <v>69</v>
      </c>
      <c r="E34" s="437" t="s">
        <v>61</v>
      </c>
      <c r="F34" s="437" t="s">
        <v>98</v>
      </c>
      <c r="G34" s="693" t="s">
        <v>106</v>
      </c>
      <c r="H34" s="369">
        <f>'прил12(ведом 20)'!M348</f>
        <v>67.352999999999994</v>
      </c>
    </row>
    <row r="35" spans="1:8" ht="42" customHeight="1">
      <c r="A35" s="355"/>
      <c r="B35" s="207" t="s">
        <v>774</v>
      </c>
      <c r="C35" s="461" t="s">
        <v>63</v>
      </c>
      <c r="D35" s="462" t="s">
        <v>69</v>
      </c>
      <c r="E35" s="462" t="s">
        <v>61</v>
      </c>
      <c r="F35" s="463" t="s">
        <v>775</v>
      </c>
      <c r="G35" s="193"/>
      <c r="H35" s="369">
        <f>H36</f>
        <v>3025.9</v>
      </c>
    </row>
    <row r="36" spans="1:8" ht="41.25" customHeight="1">
      <c r="A36" s="355"/>
      <c r="B36" s="207" t="s">
        <v>105</v>
      </c>
      <c r="C36" s="461" t="s">
        <v>63</v>
      </c>
      <c r="D36" s="462" t="s">
        <v>69</v>
      </c>
      <c r="E36" s="462" t="s">
        <v>61</v>
      </c>
      <c r="F36" s="463" t="s">
        <v>775</v>
      </c>
      <c r="G36" s="193" t="s">
        <v>106</v>
      </c>
      <c r="H36" s="369">
        <f>'прил12(ведом 20)'!M350</f>
        <v>3025.9</v>
      </c>
    </row>
    <row r="37" spans="1:8" ht="18.75">
      <c r="A37" s="355"/>
      <c r="B37" s="368" t="s">
        <v>334</v>
      </c>
      <c r="C37" s="461" t="s">
        <v>63</v>
      </c>
      <c r="D37" s="462" t="s">
        <v>69</v>
      </c>
      <c r="E37" s="462" t="s">
        <v>63</v>
      </c>
      <c r="F37" s="463" t="s">
        <v>68</v>
      </c>
      <c r="G37" s="193"/>
      <c r="H37" s="369">
        <f>H46+H49+H53+H57+H61+H38+H43+H67+H64</f>
        <v>501922.25799000001</v>
      </c>
    </row>
    <row r="38" spans="1:8" ht="75">
      <c r="A38" s="355"/>
      <c r="B38" s="368" t="s">
        <v>121</v>
      </c>
      <c r="C38" s="461" t="s">
        <v>63</v>
      </c>
      <c r="D38" s="462" t="s">
        <v>69</v>
      </c>
      <c r="E38" s="462" t="s">
        <v>63</v>
      </c>
      <c r="F38" s="463" t="s">
        <v>123</v>
      </c>
      <c r="G38" s="193"/>
      <c r="H38" s="369">
        <f>SUM(H39:H42)</f>
        <v>56215.818990000007</v>
      </c>
    </row>
    <row r="39" spans="1:8" ht="93.75">
      <c r="A39" s="355"/>
      <c r="B39" s="207" t="s">
        <v>73</v>
      </c>
      <c r="C39" s="461" t="s">
        <v>63</v>
      </c>
      <c r="D39" s="462" t="s">
        <v>69</v>
      </c>
      <c r="E39" s="462" t="s">
        <v>63</v>
      </c>
      <c r="F39" s="463" t="s">
        <v>123</v>
      </c>
      <c r="G39" s="193" t="s">
        <v>74</v>
      </c>
      <c r="H39" s="369">
        <f>'прил12(ведом 20)'!M361</f>
        <v>1985.2</v>
      </c>
    </row>
    <row r="40" spans="1:8" ht="37.5">
      <c r="A40" s="355"/>
      <c r="B40" s="207" t="s">
        <v>79</v>
      </c>
      <c r="C40" s="461" t="s">
        <v>63</v>
      </c>
      <c r="D40" s="462" t="s">
        <v>69</v>
      </c>
      <c r="E40" s="462" t="s">
        <v>63</v>
      </c>
      <c r="F40" s="463" t="s">
        <v>123</v>
      </c>
      <c r="G40" s="193" t="s">
        <v>80</v>
      </c>
      <c r="H40" s="369">
        <f>'прил12(ведом 20)'!M362</f>
        <v>4201.3145800000002</v>
      </c>
    </row>
    <row r="41" spans="1:8" ht="40.5" customHeight="1">
      <c r="A41" s="355"/>
      <c r="B41" s="368" t="s">
        <v>105</v>
      </c>
      <c r="C41" s="461" t="s">
        <v>63</v>
      </c>
      <c r="D41" s="462" t="s">
        <v>69</v>
      </c>
      <c r="E41" s="462" t="s">
        <v>63</v>
      </c>
      <c r="F41" s="463" t="s">
        <v>123</v>
      </c>
      <c r="G41" s="193" t="s">
        <v>106</v>
      </c>
      <c r="H41" s="369">
        <f>'прил12(ведом 20)'!M363</f>
        <v>49428.104410000007</v>
      </c>
    </row>
    <row r="42" spans="1:8" ht="18.75">
      <c r="A42" s="355"/>
      <c r="B42" s="368" t="s">
        <v>81</v>
      </c>
      <c r="C42" s="461" t="s">
        <v>63</v>
      </c>
      <c r="D42" s="462" t="s">
        <v>69</v>
      </c>
      <c r="E42" s="462" t="s">
        <v>63</v>
      </c>
      <c r="F42" s="463" t="s">
        <v>123</v>
      </c>
      <c r="G42" s="193" t="s">
        <v>82</v>
      </c>
      <c r="H42" s="369">
        <f>'прил12(ведом 20)'!M364</f>
        <v>601.19999999999993</v>
      </c>
    </row>
    <row r="43" spans="1:8" ht="37.5">
      <c r="A43" s="355"/>
      <c r="B43" s="207" t="s">
        <v>516</v>
      </c>
      <c r="C43" s="653" t="s">
        <v>63</v>
      </c>
      <c r="D43" s="654" t="s">
        <v>69</v>
      </c>
      <c r="E43" s="654" t="s">
        <v>63</v>
      </c>
      <c r="F43" s="655" t="s">
        <v>515</v>
      </c>
      <c r="G43" s="193"/>
      <c r="H43" s="369">
        <f>SUM(H44:H45)</f>
        <v>2433.7999999999997</v>
      </c>
    </row>
    <row r="44" spans="1:8" ht="37.5">
      <c r="A44" s="355"/>
      <c r="B44" s="207" t="s">
        <v>79</v>
      </c>
      <c r="C44" s="670" t="s">
        <v>63</v>
      </c>
      <c r="D44" s="671" t="s">
        <v>69</v>
      </c>
      <c r="E44" s="671" t="s">
        <v>63</v>
      </c>
      <c r="F44" s="672" t="s">
        <v>515</v>
      </c>
      <c r="G44" s="193" t="s">
        <v>80</v>
      </c>
      <c r="H44" s="369">
        <f>'прил12(ведом 20)'!M366</f>
        <v>706.9</v>
      </c>
    </row>
    <row r="45" spans="1:8" ht="56.25">
      <c r="A45" s="355"/>
      <c r="B45" s="368" t="s">
        <v>105</v>
      </c>
      <c r="C45" s="653" t="s">
        <v>63</v>
      </c>
      <c r="D45" s="654" t="s">
        <v>69</v>
      </c>
      <c r="E45" s="654" t="s">
        <v>63</v>
      </c>
      <c r="F45" s="655" t="s">
        <v>515</v>
      </c>
      <c r="G45" s="193" t="s">
        <v>106</v>
      </c>
      <c r="H45" s="369">
        <f>'прил12(ведом 20)'!M367</f>
        <v>1726.8999999999996</v>
      </c>
    </row>
    <row r="46" spans="1:8" ht="42.75" customHeight="1">
      <c r="A46" s="355"/>
      <c r="B46" s="368" t="s">
        <v>246</v>
      </c>
      <c r="C46" s="461" t="s">
        <v>63</v>
      </c>
      <c r="D46" s="462" t="s">
        <v>69</v>
      </c>
      <c r="E46" s="462" t="s">
        <v>63</v>
      </c>
      <c r="F46" s="463" t="s">
        <v>335</v>
      </c>
      <c r="G46" s="193"/>
      <c r="H46" s="369">
        <f>SUM(H47:H48)</f>
        <v>19649.099999999995</v>
      </c>
    </row>
    <row r="47" spans="1:8" ht="37.5">
      <c r="A47" s="355"/>
      <c r="B47" s="207" t="s">
        <v>79</v>
      </c>
      <c r="C47" s="461" t="s">
        <v>63</v>
      </c>
      <c r="D47" s="462" t="s">
        <v>69</v>
      </c>
      <c r="E47" s="462" t="s">
        <v>63</v>
      </c>
      <c r="F47" s="463" t="s">
        <v>335</v>
      </c>
      <c r="G47" s="193" t="s">
        <v>80</v>
      </c>
      <c r="H47" s="369">
        <f>'прил12(ведом 20)'!M369</f>
        <v>2478.1</v>
      </c>
    </row>
    <row r="48" spans="1:8" ht="42" customHeight="1">
      <c r="A48" s="355"/>
      <c r="B48" s="368" t="s">
        <v>105</v>
      </c>
      <c r="C48" s="461" t="s">
        <v>63</v>
      </c>
      <c r="D48" s="462" t="s">
        <v>69</v>
      </c>
      <c r="E48" s="462" t="s">
        <v>63</v>
      </c>
      <c r="F48" s="463" t="s">
        <v>335</v>
      </c>
      <c r="G48" s="193" t="s">
        <v>106</v>
      </c>
      <c r="H48" s="369">
        <f>'прил12(ведом 20)'!M370</f>
        <v>17170.999999999996</v>
      </c>
    </row>
    <row r="49" spans="1:8" ht="37.5">
      <c r="A49" s="355"/>
      <c r="B49" s="368" t="s">
        <v>247</v>
      </c>
      <c r="C49" s="461" t="s">
        <v>63</v>
      </c>
      <c r="D49" s="462" t="s">
        <v>69</v>
      </c>
      <c r="E49" s="462" t="s">
        <v>63</v>
      </c>
      <c r="F49" s="463" t="s">
        <v>336</v>
      </c>
      <c r="G49" s="193"/>
      <c r="H49" s="369">
        <f>SUM(H50:H52)</f>
        <v>12207.4</v>
      </c>
    </row>
    <row r="50" spans="1:8" ht="37.5">
      <c r="A50" s="355"/>
      <c r="B50" s="207" t="s">
        <v>79</v>
      </c>
      <c r="C50" s="461" t="s">
        <v>63</v>
      </c>
      <c r="D50" s="462" t="s">
        <v>69</v>
      </c>
      <c r="E50" s="462" t="s">
        <v>63</v>
      </c>
      <c r="F50" s="463" t="s">
        <v>336</v>
      </c>
      <c r="G50" s="193" t="s">
        <v>80</v>
      </c>
      <c r="H50" s="369">
        <f>'прил12(ведом 20)'!M372</f>
        <v>751.5</v>
      </c>
    </row>
    <row r="51" spans="1:8" ht="37.5">
      <c r="A51" s="355"/>
      <c r="B51" s="371" t="s">
        <v>242</v>
      </c>
      <c r="C51" s="372" t="s">
        <v>63</v>
      </c>
      <c r="D51" s="373" t="s">
        <v>69</v>
      </c>
      <c r="E51" s="373" t="s">
        <v>63</v>
      </c>
      <c r="F51" s="374" t="s">
        <v>336</v>
      </c>
      <c r="G51" s="375" t="s">
        <v>243</v>
      </c>
      <c r="H51" s="369">
        <f>'прил12(ведом 20)'!M306+'прил12(ведом 20)'!M373</f>
        <v>2588.1</v>
      </c>
    </row>
    <row r="52" spans="1:8" ht="42" customHeight="1">
      <c r="A52" s="355"/>
      <c r="B52" s="368" t="s">
        <v>105</v>
      </c>
      <c r="C52" s="461" t="s">
        <v>63</v>
      </c>
      <c r="D52" s="462" t="s">
        <v>69</v>
      </c>
      <c r="E52" s="462" t="s">
        <v>63</v>
      </c>
      <c r="F52" s="463" t="s">
        <v>336</v>
      </c>
      <c r="G52" s="193" t="s">
        <v>106</v>
      </c>
      <c r="H52" s="369">
        <f>'прил12(ведом 20)'!M374</f>
        <v>8867.7999999999993</v>
      </c>
    </row>
    <row r="53" spans="1:8" ht="18.75">
      <c r="A53" s="355"/>
      <c r="B53" s="368" t="s">
        <v>330</v>
      </c>
      <c r="C53" s="461" t="s">
        <v>63</v>
      </c>
      <c r="D53" s="462" t="s">
        <v>69</v>
      </c>
      <c r="E53" s="462" t="s">
        <v>63</v>
      </c>
      <c r="F53" s="463" t="s">
        <v>331</v>
      </c>
      <c r="G53" s="193"/>
      <c r="H53" s="369">
        <f>SUM(H54:H56)</f>
        <v>1633.8</v>
      </c>
    </row>
    <row r="54" spans="1:8" ht="93.75">
      <c r="A54" s="355"/>
      <c r="B54" s="207" t="s">
        <v>73</v>
      </c>
      <c r="C54" s="461" t="s">
        <v>63</v>
      </c>
      <c r="D54" s="462" t="s">
        <v>69</v>
      </c>
      <c r="E54" s="462" t="s">
        <v>63</v>
      </c>
      <c r="F54" s="463" t="s">
        <v>331</v>
      </c>
      <c r="G54" s="193" t="s">
        <v>74</v>
      </c>
      <c r="H54" s="369">
        <f>'прил12(ведом 20)'!M376</f>
        <v>115.8</v>
      </c>
    </row>
    <row r="55" spans="1:8" ht="24.75" customHeight="1">
      <c r="A55" s="355"/>
      <c r="B55" s="207" t="s">
        <v>152</v>
      </c>
      <c r="C55" s="461" t="s">
        <v>63</v>
      </c>
      <c r="D55" s="462" t="s">
        <v>69</v>
      </c>
      <c r="E55" s="462" t="s">
        <v>63</v>
      </c>
      <c r="F55" s="463" t="s">
        <v>331</v>
      </c>
      <c r="G55" s="193" t="s">
        <v>153</v>
      </c>
      <c r="H55" s="369">
        <f>'прил12(ведом 20)'!M377</f>
        <v>13.9</v>
      </c>
    </row>
    <row r="56" spans="1:8" ht="42" customHeight="1">
      <c r="A56" s="355"/>
      <c r="B56" s="368" t="s">
        <v>105</v>
      </c>
      <c r="C56" s="461" t="s">
        <v>63</v>
      </c>
      <c r="D56" s="462" t="s">
        <v>69</v>
      </c>
      <c r="E56" s="462" t="s">
        <v>63</v>
      </c>
      <c r="F56" s="463" t="s">
        <v>331</v>
      </c>
      <c r="G56" s="193" t="s">
        <v>106</v>
      </c>
      <c r="H56" s="369">
        <f>'прил12(ведом 20)'!M378</f>
        <v>1504.1</v>
      </c>
    </row>
    <row r="57" spans="1:8" ht="99" customHeight="1">
      <c r="A57" s="355"/>
      <c r="B57" s="368" t="s">
        <v>439</v>
      </c>
      <c r="C57" s="461" t="s">
        <v>63</v>
      </c>
      <c r="D57" s="462" t="s">
        <v>69</v>
      </c>
      <c r="E57" s="462" t="s">
        <v>63</v>
      </c>
      <c r="F57" s="463" t="s">
        <v>332</v>
      </c>
      <c r="G57" s="193"/>
      <c r="H57" s="369">
        <f>SUM(H58:H60)</f>
        <v>404437.8</v>
      </c>
    </row>
    <row r="58" spans="1:8" ht="93.75">
      <c r="A58" s="355"/>
      <c r="B58" s="368" t="s">
        <v>73</v>
      </c>
      <c r="C58" s="461" t="s">
        <v>63</v>
      </c>
      <c r="D58" s="462" t="s">
        <v>69</v>
      </c>
      <c r="E58" s="462" t="s">
        <v>63</v>
      </c>
      <c r="F58" s="463" t="s">
        <v>332</v>
      </c>
      <c r="G58" s="193" t="s">
        <v>74</v>
      </c>
      <c r="H58" s="369">
        <f>'прил12(ведом 20)'!M380</f>
        <v>30026.5</v>
      </c>
    </row>
    <row r="59" spans="1:8" ht="37.5">
      <c r="A59" s="355"/>
      <c r="B59" s="368" t="s">
        <v>79</v>
      </c>
      <c r="C59" s="461" t="s">
        <v>63</v>
      </c>
      <c r="D59" s="462" t="s">
        <v>69</v>
      </c>
      <c r="E59" s="462" t="s">
        <v>63</v>
      </c>
      <c r="F59" s="463" t="s">
        <v>332</v>
      </c>
      <c r="G59" s="193" t="s">
        <v>80</v>
      </c>
      <c r="H59" s="369">
        <f>'прил12(ведом 20)'!M381</f>
        <v>1762.8</v>
      </c>
    </row>
    <row r="60" spans="1:8" ht="41.25" customHeight="1">
      <c r="A60" s="355"/>
      <c r="B60" s="368" t="s">
        <v>105</v>
      </c>
      <c r="C60" s="461" t="s">
        <v>63</v>
      </c>
      <c r="D60" s="462" t="s">
        <v>69</v>
      </c>
      <c r="E60" s="462" t="s">
        <v>63</v>
      </c>
      <c r="F60" s="463" t="s">
        <v>332</v>
      </c>
      <c r="G60" s="193" t="s">
        <v>106</v>
      </c>
      <c r="H60" s="369">
        <f>'прил12(ведом 20)'!M382</f>
        <v>372648.5</v>
      </c>
    </row>
    <row r="61" spans="1:8" ht="81" customHeight="1">
      <c r="A61" s="355"/>
      <c r="B61" s="368" t="s">
        <v>248</v>
      </c>
      <c r="C61" s="459" t="s">
        <v>63</v>
      </c>
      <c r="D61" s="459" t="s">
        <v>69</v>
      </c>
      <c r="E61" s="459" t="s">
        <v>63</v>
      </c>
      <c r="F61" s="460" t="s">
        <v>337</v>
      </c>
      <c r="G61" s="353"/>
      <c r="H61" s="369">
        <f>SUM(H62:H63)</f>
        <v>3793.4</v>
      </c>
    </row>
    <row r="62" spans="1:8" ht="37.5">
      <c r="A62" s="355"/>
      <c r="B62" s="207" t="s">
        <v>79</v>
      </c>
      <c r="C62" s="461" t="s">
        <v>63</v>
      </c>
      <c r="D62" s="462" t="s">
        <v>69</v>
      </c>
      <c r="E62" s="462" t="s">
        <v>63</v>
      </c>
      <c r="F62" s="463" t="s">
        <v>337</v>
      </c>
      <c r="G62" s="193" t="s">
        <v>80</v>
      </c>
      <c r="H62" s="369">
        <f>'прил12(ведом 20)'!M384</f>
        <v>183.9</v>
      </c>
    </row>
    <row r="63" spans="1:8" ht="41.25" customHeight="1">
      <c r="A63" s="355"/>
      <c r="B63" s="368" t="s">
        <v>105</v>
      </c>
      <c r="C63" s="459" t="s">
        <v>63</v>
      </c>
      <c r="D63" s="459" t="s">
        <v>69</v>
      </c>
      <c r="E63" s="459" t="s">
        <v>63</v>
      </c>
      <c r="F63" s="460" t="s">
        <v>337</v>
      </c>
      <c r="G63" s="353" t="s">
        <v>106</v>
      </c>
      <c r="H63" s="369">
        <f>'прил12(ведом 20)'!M385</f>
        <v>3609.5</v>
      </c>
    </row>
    <row r="64" spans="1:8" ht="51" customHeight="1">
      <c r="A64" s="355"/>
      <c r="B64" s="207" t="s">
        <v>929</v>
      </c>
      <c r="C64" s="761" t="s">
        <v>63</v>
      </c>
      <c r="D64" s="762" t="s">
        <v>69</v>
      </c>
      <c r="E64" s="762" t="s">
        <v>63</v>
      </c>
      <c r="F64" s="763" t="s">
        <v>934</v>
      </c>
      <c r="G64" s="193"/>
      <c r="H64" s="369">
        <f>H65+H66</f>
        <v>1450</v>
      </c>
    </row>
    <row r="65" spans="1:8" ht="41.25" customHeight="1">
      <c r="A65" s="355"/>
      <c r="B65" s="207" t="s">
        <v>79</v>
      </c>
      <c r="C65" s="761" t="s">
        <v>63</v>
      </c>
      <c r="D65" s="762" t="s">
        <v>69</v>
      </c>
      <c r="E65" s="762" t="s">
        <v>63</v>
      </c>
      <c r="F65" s="763" t="s">
        <v>934</v>
      </c>
      <c r="G65" s="193" t="s">
        <v>80</v>
      </c>
      <c r="H65" s="369">
        <f>'прил12(ведом 20)'!M387</f>
        <v>600</v>
      </c>
    </row>
    <row r="66" spans="1:8" ht="40.9" customHeight="1">
      <c r="A66" s="355"/>
      <c r="B66" s="207" t="s">
        <v>105</v>
      </c>
      <c r="C66" s="761" t="s">
        <v>63</v>
      </c>
      <c r="D66" s="762" t="s">
        <v>69</v>
      </c>
      <c r="E66" s="762" t="s">
        <v>63</v>
      </c>
      <c r="F66" s="763" t="s">
        <v>934</v>
      </c>
      <c r="G66" s="193" t="s">
        <v>106</v>
      </c>
      <c r="H66" s="369">
        <f>'прил12(ведом 20)'!M388</f>
        <v>850</v>
      </c>
    </row>
    <row r="67" spans="1:8" ht="20.45" customHeight="1">
      <c r="A67" s="355"/>
      <c r="B67" s="207" t="s">
        <v>97</v>
      </c>
      <c r="C67" s="674" t="s">
        <v>63</v>
      </c>
      <c r="D67" s="674" t="s">
        <v>69</v>
      </c>
      <c r="E67" s="674" t="s">
        <v>63</v>
      </c>
      <c r="F67" s="675" t="s">
        <v>98</v>
      </c>
      <c r="G67" s="353"/>
      <c r="H67" s="369">
        <f>H68</f>
        <v>101.139</v>
      </c>
    </row>
    <row r="68" spans="1:8" ht="41.25" customHeight="1">
      <c r="A68" s="355"/>
      <c r="B68" s="368" t="s">
        <v>105</v>
      </c>
      <c r="C68" s="674" t="s">
        <v>63</v>
      </c>
      <c r="D68" s="674" t="s">
        <v>69</v>
      </c>
      <c r="E68" s="674" t="s">
        <v>63</v>
      </c>
      <c r="F68" s="675" t="s">
        <v>98</v>
      </c>
      <c r="G68" s="353" t="s">
        <v>106</v>
      </c>
      <c r="H68" s="369">
        <f>'прил12(ведом 20)'!M390</f>
        <v>101.139</v>
      </c>
    </row>
    <row r="69" spans="1:8" ht="18.75">
      <c r="A69" s="355"/>
      <c r="B69" s="207" t="s">
        <v>776</v>
      </c>
      <c r="C69" s="461" t="s">
        <v>63</v>
      </c>
      <c r="D69" s="462" t="s">
        <v>69</v>
      </c>
      <c r="E69" s="462" t="s">
        <v>777</v>
      </c>
      <c r="F69" s="463" t="s">
        <v>68</v>
      </c>
      <c r="G69" s="193"/>
      <c r="H69" s="369">
        <f>H72+H70</f>
        <v>11441.2</v>
      </c>
    </row>
    <row r="70" spans="1:8" ht="111" customHeight="1">
      <c r="A70" s="355"/>
      <c r="B70" s="207" t="s">
        <v>870</v>
      </c>
      <c r="C70" s="631" t="s">
        <v>63</v>
      </c>
      <c r="D70" s="632" t="s">
        <v>69</v>
      </c>
      <c r="E70" s="632" t="s">
        <v>777</v>
      </c>
      <c r="F70" s="633" t="s">
        <v>865</v>
      </c>
      <c r="G70" s="193"/>
      <c r="H70" s="369">
        <f>H71</f>
        <v>2303.1999999999998</v>
      </c>
    </row>
    <row r="71" spans="1:8" ht="56.25">
      <c r="A71" s="355"/>
      <c r="B71" s="207" t="s">
        <v>105</v>
      </c>
      <c r="C71" s="631" t="s">
        <v>63</v>
      </c>
      <c r="D71" s="632" t="s">
        <v>69</v>
      </c>
      <c r="E71" s="632" t="s">
        <v>777</v>
      </c>
      <c r="F71" s="633" t="s">
        <v>865</v>
      </c>
      <c r="G71" s="193" t="s">
        <v>106</v>
      </c>
      <c r="H71" s="369">
        <f>'прил12(ведом 20)'!M393</f>
        <v>2303.1999999999998</v>
      </c>
    </row>
    <row r="72" spans="1:8" ht="112.5">
      <c r="A72" s="355"/>
      <c r="B72" s="634" t="s">
        <v>873</v>
      </c>
      <c r="C72" s="461" t="s">
        <v>63</v>
      </c>
      <c r="D72" s="462" t="s">
        <v>69</v>
      </c>
      <c r="E72" s="462" t="s">
        <v>777</v>
      </c>
      <c r="F72" s="577" t="s">
        <v>866</v>
      </c>
      <c r="G72" s="193"/>
      <c r="H72" s="369">
        <f>H73</f>
        <v>9138</v>
      </c>
    </row>
    <row r="73" spans="1:8" ht="42" customHeight="1">
      <c r="A73" s="355"/>
      <c r="B73" s="207" t="s">
        <v>105</v>
      </c>
      <c r="C73" s="461" t="s">
        <v>63</v>
      </c>
      <c r="D73" s="462" t="s">
        <v>69</v>
      </c>
      <c r="E73" s="462" t="s">
        <v>777</v>
      </c>
      <c r="F73" s="577" t="s">
        <v>866</v>
      </c>
      <c r="G73" s="193" t="s">
        <v>106</v>
      </c>
      <c r="H73" s="369">
        <f>'прил12(ведом 20)'!M395</f>
        <v>9138</v>
      </c>
    </row>
    <row r="74" spans="1:8" ht="42" customHeight="1">
      <c r="A74" s="355"/>
      <c r="B74" s="207" t="s">
        <v>868</v>
      </c>
      <c r="C74" s="631" t="s">
        <v>63</v>
      </c>
      <c r="D74" s="632" t="s">
        <v>69</v>
      </c>
      <c r="E74" s="632" t="s">
        <v>867</v>
      </c>
      <c r="F74" s="633" t="s">
        <v>68</v>
      </c>
      <c r="G74" s="193"/>
      <c r="H74" s="369">
        <f>+H75</f>
        <v>3628</v>
      </c>
    </row>
    <row r="75" spans="1:8" ht="56.25">
      <c r="A75" s="355"/>
      <c r="B75" s="207" t="s">
        <v>774</v>
      </c>
      <c r="C75" s="631" t="s">
        <v>63</v>
      </c>
      <c r="D75" s="632" t="s">
        <v>69</v>
      </c>
      <c r="E75" s="632" t="s">
        <v>867</v>
      </c>
      <c r="F75" s="633" t="s">
        <v>775</v>
      </c>
      <c r="G75" s="193"/>
      <c r="H75" s="369">
        <f>H76+H77</f>
        <v>3628</v>
      </c>
    </row>
    <row r="76" spans="1:8" ht="42" customHeight="1">
      <c r="A76" s="355"/>
      <c r="B76" s="207" t="s">
        <v>79</v>
      </c>
      <c r="C76" s="631" t="s">
        <v>63</v>
      </c>
      <c r="D76" s="632" t="s">
        <v>69</v>
      </c>
      <c r="E76" s="632" t="s">
        <v>867</v>
      </c>
      <c r="F76" s="633" t="s">
        <v>775</v>
      </c>
      <c r="G76" s="193" t="s">
        <v>80</v>
      </c>
      <c r="H76" s="369">
        <f>'прил12(ведом 20)'!M398</f>
        <v>1554.1000000000001</v>
      </c>
    </row>
    <row r="77" spans="1:8" ht="42" customHeight="1">
      <c r="A77" s="355"/>
      <c r="B77" s="207" t="s">
        <v>105</v>
      </c>
      <c r="C77" s="631" t="s">
        <v>63</v>
      </c>
      <c r="D77" s="632" t="s">
        <v>69</v>
      </c>
      <c r="E77" s="632" t="s">
        <v>867</v>
      </c>
      <c r="F77" s="633" t="s">
        <v>775</v>
      </c>
      <c r="G77" s="193" t="s">
        <v>106</v>
      </c>
      <c r="H77" s="369">
        <f>'прил12(ведом 20)'!M399</f>
        <v>2073.9</v>
      </c>
    </row>
    <row r="78" spans="1:8" ht="18.75">
      <c r="A78" s="355"/>
      <c r="B78" s="368" t="s">
        <v>249</v>
      </c>
      <c r="C78" s="461" t="s">
        <v>63</v>
      </c>
      <c r="D78" s="462" t="s">
        <v>120</v>
      </c>
      <c r="E78" s="462" t="s">
        <v>67</v>
      </c>
      <c r="F78" s="463" t="s">
        <v>68</v>
      </c>
      <c r="G78" s="353"/>
      <c r="H78" s="369">
        <f>H79+H94</f>
        <v>52097.981899999999</v>
      </c>
    </row>
    <row r="79" spans="1:8" ht="37.5">
      <c r="A79" s="355"/>
      <c r="B79" s="368" t="s">
        <v>338</v>
      </c>
      <c r="C79" s="461" t="s">
        <v>63</v>
      </c>
      <c r="D79" s="462" t="s">
        <v>120</v>
      </c>
      <c r="E79" s="462" t="s">
        <v>61</v>
      </c>
      <c r="F79" s="463" t="s">
        <v>68</v>
      </c>
      <c r="G79" s="353"/>
      <c r="H79" s="369">
        <f>H80+H90+H85+H88+H92</f>
        <v>52088.981899999999</v>
      </c>
    </row>
    <row r="80" spans="1:8" ht="75">
      <c r="A80" s="355"/>
      <c r="B80" s="368" t="s">
        <v>121</v>
      </c>
      <c r="C80" s="461" t="s">
        <v>63</v>
      </c>
      <c r="D80" s="462" t="s">
        <v>120</v>
      </c>
      <c r="E80" s="462" t="s">
        <v>61</v>
      </c>
      <c r="F80" s="463" t="s">
        <v>123</v>
      </c>
      <c r="G80" s="193"/>
      <c r="H80" s="369">
        <f>SUM(H81:H84)</f>
        <v>44252.781899999994</v>
      </c>
    </row>
    <row r="81" spans="1:8" ht="93.75">
      <c r="A81" s="355"/>
      <c r="B81" s="207" t="s">
        <v>73</v>
      </c>
      <c r="C81" s="461" t="s">
        <v>63</v>
      </c>
      <c r="D81" s="462" t="s">
        <v>120</v>
      </c>
      <c r="E81" s="462" t="s">
        <v>61</v>
      </c>
      <c r="F81" s="463" t="s">
        <v>123</v>
      </c>
      <c r="G81" s="193" t="s">
        <v>74</v>
      </c>
      <c r="H81" s="369">
        <f>'прил12(ведом 20)'!M410</f>
        <v>23754.399999999998</v>
      </c>
    </row>
    <row r="82" spans="1:8" ht="37.5">
      <c r="A82" s="355"/>
      <c r="B82" s="207" t="s">
        <v>79</v>
      </c>
      <c r="C82" s="461" t="s">
        <v>63</v>
      </c>
      <c r="D82" s="462" t="s">
        <v>120</v>
      </c>
      <c r="E82" s="462" t="s">
        <v>61</v>
      </c>
      <c r="F82" s="463" t="s">
        <v>123</v>
      </c>
      <c r="G82" s="193" t="s">
        <v>80</v>
      </c>
      <c r="H82" s="369">
        <f>'прил12(ведом 20)'!M411</f>
        <v>1738.7219</v>
      </c>
    </row>
    <row r="83" spans="1:8" ht="38.25" customHeight="1">
      <c r="A83" s="355"/>
      <c r="B83" s="368" t="s">
        <v>105</v>
      </c>
      <c r="C83" s="461" t="s">
        <v>63</v>
      </c>
      <c r="D83" s="462" t="s">
        <v>120</v>
      </c>
      <c r="E83" s="462" t="s">
        <v>61</v>
      </c>
      <c r="F83" s="463" t="s">
        <v>123</v>
      </c>
      <c r="G83" s="193" t="s">
        <v>106</v>
      </c>
      <c r="H83" s="369">
        <f>'прил12(ведом 20)'!M412</f>
        <v>18695.7</v>
      </c>
    </row>
    <row r="84" spans="1:8" ht="18.75">
      <c r="A84" s="355"/>
      <c r="B84" s="207" t="s">
        <v>81</v>
      </c>
      <c r="C84" s="461" t="s">
        <v>63</v>
      </c>
      <c r="D84" s="462" t="s">
        <v>120</v>
      </c>
      <c r="E84" s="462" t="s">
        <v>61</v>
      </c>
      <c r="F84" s="463" t="s">
        <v>123</v>
      </c>
      <c r="G84" s="193" t="s">
        <v>82</v>
      </c>
      <c r="H84" s="369">
        <f>'прил12(ведом 20)'!M413</f>
        <v>63.96</v>
      </c>
    </row>
    <row r="85" spans="1:8" ht="44.25" customHeight="1">
      <c r="A85" s="355"/>
      <c r="B85" s="207" t="s">
        <v>246</v>
      </c>
      <c r="C85" s="461" t="s">
        <v>63</v>
      </c>
      <c r="D85" s="462" t="s">
        <v>120</v>
      </c>
      <c r="E85" s="462" t="s">
        <v>61</v>
      </c>
      <c r="F85" s="463" t="s">
        <v>335</v>
      </c>
      <c r="G85" s="193"/>
      <c r="H85" s="369">
        <f>SUM(H86:H87)</f>
        <v>1277</v>
      </c>
    </row>
    <row r="86" spans="1:8" ht="37.5">
      <c r="A86" s="355"/>
      <c r="B86" s="207" t="s">
        <v>79</v>
      </c>
      <c r="C86" s="461" t="s">
        <v>63</v>
      </c>
      <c r="D86" s="462" t="s">
        <v>120</v>
      </c>
      <c r="E86" s="462" t="s">
        <v>61</v>
      </c>
      <c r="F86" s="463" t="s">
        <v>335</v>
      </c>
      <c r="G86" s="193" t="s">
        <v>80</v>
      </c>
      <c r="H86" s="369">
        <f>'прил12(ведом 20)'!M415</f>
        <v>779.19999999999993</v>
      </c>
    </row>
    <row r="87" spans="1:8" ht="42" customHeight="1">
      <c r="A87" s="355"/>
      <c r="B87" s="376" t="s">
        <v>105</v>
      </c>
      <c r="C87" s="461" t="s">
        <v>63</v>
      </c>
      <c r="D87" s="462" t="s">
        <v>120</v>
      </c>
      <c r="E87" s="462" t="s">
        <v>61</v>
      </c>
      <c r="F87" s="463" t="s">
        <v>335</v>
      </c>
      <c r="G87" s="193" t="s">
        <v>106</v>
      </c>
      <c r="H87" s="369">
        <f>'прил12(ведом 20)'!M416</f>
        <v>497.8</v>
      </c>
    </row>
    <row r="88" spans="1:8" ht="171" customHeight="1">
      <c r="A88" s="355"/>
      <c r="B88" s="207" t="s">
        <v>794</v>
      </c>
      <c r="C88" s="461" t="s">
        <v>63</v>
      </c>
      <c r="D88" s="462" t="s">
        <v>120</v>
      </c>
      <c r="E88" s="462" t="s">
        <v>61</v>
      </c>
      <c r="F88" s="463" t="s">
        <v>578</v>
      </c>
      <c r="G88" s="193"/>
      <c r="H88" s="369">
        <f>H89</f>
        <v>125</v>
      </c>
    </row>
    <row r="89" spans="1:8" ht="93.75">
      <c r="A89" s="355"/>
      <c r="B89" s="207" t="s">
        <v>73</v>
      </c>
      <c r="C89" s="461" t="s">
        <v>63</v>
      </c>
      <c r="D89" s="462" t="s">
        <v>120</v>
      </c>
      <c r="E89" s="462" t="s">
        <v>61</v>
      </c>
      <c r="F89" s="463" t="s">
        <v>578</v>
      </c>
      <c r="G89" s="193" t="s">
        <v>74</v>
      </c>
      <c r="H89" s="369">
        <f>'прил12(ведом 20)'!M418</f>
        <v>125</v>
      </c>
    </row>
    <row r="90" spans="1:8" ht="18.75">
      <c r="A90" s="355"/>
      <c r="B90" s="368" t="s">
        <v>330</v>
      </c>
      <c r="C90" s="461" t="s">
        <v>63</v>
      </c>
      <c r="D90" s="462" t="s">
        <v>120</v>
      </c>
      <c r="E90" s="462" t="s">
        <v>61</v>
      </c>
      <c r="F90" s="463" t="s">
        <v>331</v>
      </c>
      <c r="G90" s="193"/>
      <c r="H90" s="369">
        <f>H91</f>
        <v>105.8</v>
      </c>
    </row>
    <row r="91" spans="1:8" ht="93.75">
      <c r="A91" s="355"/>
      <c r="B91" s="207" t="s">
        <v>73</v>
      </c>
      <c r="C91" s="461" t="s">
        <v>63</v>
      </c>
      <c r="D91" s="462" t="s">
        <v>120</v>
      </c>
      <c r="E91" s="462" t="s">
        <v>61</v>
      </c>
      <c r="F91" s="463" t="s">
        <v>331</v>
      </c>
      <c r="G91" s="193" t="s">
        <v>74</v>
      </c>
      <c r="H91" s="369">
        <f>'прил12(ведом 20)'!M420</f>
        <v>105.8</v>
      </c>
    </row>
    <row r="92" spans="1:8" ht="97.5" customHeight="1">
      <c r="A92" s="355"/>
      <c r="B92" s="207" t="s">
        <v>439</v>
      </c>
      <c r="C92" s="461" t="s">
        <v>63</v>
      </c>
      <c r="D92" s="462" t="s">
        <v>120</v>
      </c>
      <c r="E92" s="462" t="s">
        <v>61</v>
      </c>
      <c r="F92" s="463" t="s">
        <v>332</v>
      </c>
      <c r="G92" s="193"/>
      <c r="H92" s="369">
        <f>H93</f>
        <v>6328.4</v>
      </c>
    </row>
    <row r="93" spans="1:8" ht="41.25" customHeight="1">
      <c r="A93" s="355"/>
      <c r="B93" s="207" t="s">
        <v>105</v>
      </c>
      <c r="C93" s="461" t="s">
        <v>63</v>
      </c>
      <c r="D93" s="462" t="s">
        <v>120</v>
      </c>
      <c r="E93" s="462" t="s">
        <v>61</v>
      </c>
      <c r="F93" s="463" t="s">
        <v>332</v>
      </c>
      <c r="G93" s="193" t="s">
        <v>106</v>
      </c>
      <c r="H93" s="369">
        <f>'прил12(ведом 20)'!M422</f>
        <v>6328.4</v>
      </c>
    </row>
    <row r="94" spans="1:8" ht="18.75">
      <c r="A94" s="355"/>
      <c r="B94" s="207" t="s">
        <v>339</v>
      </c>
      <c r="C94" s="461" t="s">
        <v>63</v>
      </c>
      <c r="D94" s="462" t="s">
        <v>120</v>
      </c>
      <c r="E94" s="462" t="s">
        <v>63</v>
      </c>
      <c r="F94" s="463" t="s">
        <v>68</v>
      </c>
      <c r="G94" s="193"/>
      <c r="H94" s="369">
        <f>H95</f>
        <v>9</v>
      </c>
    </row>
    <row r="95" spans="1:8" ht="37.5">
      <c r="A95" s="355"/>
      <c r="B95" s="207" t="s">
        <v>340</v>
      </c>
      <c r="C95" s="461" t="s">
        <v>63</v>
      </c>
      <c r="D95" s="462" t="s">
        <v>120</v>
      </c>
      <c r="E95" s="462" t="s">
        <v>63</v>
      </c>
      <c r="F95" s="463" t="s">
        <v>341</v>
      </c>
      <c r="G95" s="193"/>
      <c r="H95" s="369">
        <f>H96</f>
        <v>9</v>
      </c>
    </row>
    <row r="96" spans="1:8" ht="25.5" customHeight="1">
      <c r="A96" s="355"/>
      <c r="B96" s="207" t="s">
        <v>152</v>
      </c>
      <c r="C96" s="461" t="s">
        <v>63</v>
      </c>
      <c r="D96" s="462" t="s">
        <v>120</v>
      </c>
      <c r="E96" s="462" t="s">
        <v>63</v>
      </c>
      <c r="F96" s="463" t="s">
        <v>341</v>
      </c>
      <c r="G96" s="193" t="s">
        <v>153</v>
      </c>
      <c r="H96" s="369">
        <f>'прил12(ведом 20)'!M437</f>
        <v>9</v>
      </c>
    </row>
    <row r="97" spans="1:8" ht="43.5" customHeight="1">
      <c r="A97" s="355"/>
      <c r="B97" s="368" t="s">
        <v>251</v>
      </c>
      <c r="C97" s="461" t="s">
        <v>63</v>
      </c>
      <c r="D97" s="462" t="s">
        <v>54</v>
      </c>
      <c r="E97" s="462" t="s">
        <v>67</v>
      </c>
      <c r="F97" s="463" t="s">
        <v>68</v>
      </c>
      <c r="G97" s="353"/>
      <c r="H97" s="369">
        <f>H98+H114</f>
        <v>71196.543000000005</v>
      </c>
    </row>
    <row r="98" spans="1:8" ht="37.5">
      <c r="A98" s="355"/>
      <c r="B98" s="368" t="s">
        <v>344</v>
      </c>
      <c r="C98" s="461" t="s">
        <v>63</v>
      </c>
      <c r="D98" s="462" t="s">
        <v>54</v>
      </c>
      <c r="E98" s="462" t="s">
        <v>61</v>
      </c>
      <c r="F98" s="463" t="s">
        <v>68</v>
      </c>
      <c r="G98" s="353"/>
      <c r="H98" s="369">
        <f>H99+H103+H111+H108</f>
        <v>63413.743000000002</v>
      </c>
    </row>
    <row r="99" spans="1:8" ht="37.5">
      <c r="A99" s="355"/>
      <c r="B99" s="368" t="s">
        <v>71</v>
      </c>
      <c r="C99" s="461" t="s">
        <v>63</v>
      </c>
      <c r="D99" s="462" t="s">
        <v>54</v>
      </c>
      <c r="E99" s="462" t="s">
        <v>61</v>
      </c>
      <c r="F99" s="463" t="s">
        <v>72</v>
      </c>
      <c r="G99" s="193"/>
      <c r="H99" s="369">
        <f>SUM(H100:H102)</f>
        <v>8906.9800000000014</v>
      </c>
    </row>
    <row r="100" spans="1:8" ht="93.75">
      <c r="A100" s="355"/>
      <c r="B100" s="368" t="s">
        <v>73</v>
      </c>
      <c r="C100" s="461" t="s">
        <v>63</v>
      </c>
      <c r="D100" s="462" t="s">
        <v>54</v>
      </c>
      <c r="E100" s="462" t="s">
        <v>61</v>
      </c>
      <c r="F100" s="463" t="s">
        <v>72</v>
      </c>
      <c r="G100" s="193" t="s">
        <v>74</v>
      </c>
      <c r="H100" s="369">
        <f>'прил12(ведом 20)'!M441</f>
        <v>8166.8</v>
      </c>
    </row>
    <row r="101" spans="1:8" ht="37.5">
      <c r="A101" s="355"/>
      <c r="B101" s="368" t="s">
        <v>79</v>
      </c>
      <c r="C101" s="461" t="s">
        <v>63</v>
      </c>
      <c r="D101" s="462" t="s">
        <v>54</v>
      </c>
      <c r="E101" s="462" t="s">
        <v>61</v>
      </c>
      <c r="F101" s="463" t="s">
        <v>72</v>
      </c>
      <c r="G101" s="193" t="s">
        <v>80</v>
      </c>
      <c r="H101" s="369">
        <f>'прил12(ведом 20)'!M442</f>
        <v>685.07999999999993</v>
      </c>
    </row>
    <row r="102" spans="1:8" ht="18.75">
      <c r="A102" s="355"/>
      <c r="B102" s="368" t="s">
        <v>81</v>
      </c>
      <c r="C102" s="461" t="s">
        <v>63</v>
      </c>
      <c r="D102" s="462" t="s">
        <v>54</v>
      </c>
      <c r="E102" s="462" t="s">
        <v>61</v>
      </c>
      <c r="F102" s="463" t="s">
        <v>72</v>
      </c>
      <c r="G102" s="193" t="s">
        <v>82</v>
      </c>
      <c r="H102" s="369">
        <f>'прил12(ведом 20)'!M443</f>
        <v>55.1</v>
      </c>
    </row>
    <row r="103" spans="1:8" ht="75">
      <c r="A103" s="355"/>
      <c r="B103" s="368" t="s">
        <v>121</v>
      </c>
      <c r="C103" s="461" t="s">
        <v>63</v>
      </c>
      <c r="D103" s="462" t="s">
        <v>54</v>
      </c>
      <c r="E103" s="462" t="s">
        <v>61</v>
      </c>
      <c r="F103" s="463" t="s">
        <v>123</v>
      </c>
      <c r="G103" s="193"/>
      <c r="H103" s="369">
        <f>SUM(H104:H107)</f>
        <v>43683.962999999996</v>
      </c>
    </row>
    <row r="104" spans="1:8" ht="93.75">
      <c r="A104" s="355"/>
      <c r="B104" s="368" t="s">
        <v>73</v>
      </c>
      <c r="C104" s="461" t="s">
        <v>63</v>
      </c>
      <c r="D104" s="462" t="s">
        <v>54</v>
      </c>
      <c r="E104" s="462" t="s">
        <v>61</v>
      </c>
      <c r="F104" s="463" t="s">
        <v>123</v>
      </c>
      <c r="G104" s="193" t="s">
        <v>74</v>
      </c>
      <c r="H104" s="369">
        <f>'прил12(ведом 20)'!M445</f>
        <v>25966.399999999994</v>
      </c>
    </row>
    <row r="105" spans="1:8" ht="37.5">
      <c r="A105" s="355"/>
      <c r="B105" s="368" t="s">
        <v>79</v>
      </c>
      <c r="C105" s="461" t="s">
        <v>63</v>
      </c>
      <c r="D105" s="462" t="s">
        <v>54</v>
      </c>
      <c r="E105" s="462" t="s">
        <v>61</v>
      </c>
      <c r="F105" s="463" t="s">
        <v>123</v>
      </c>
      <c r="G105" s="193" t="s">
        <v>80</v>
      </c>
      <c r="H105" s="369">
        <f>'прил12(ведом 20)'!M446</f>
        <v>2274.3729999999991</v>
      </c>
    </row>
    <row r="106" spans="1:8" ht="44.25" customHeight="1">
      <c r="A106" s="355"/>
      <c r="B106" s="207" t="s">
        <v>105</v>
      </c>
      <c r="C106" s="461" t="s">
        <v>63</v>
      </c>
      <c r="D106" s="462" t="s">
        <v>54</v>
      </c>
      <c r="E106" s="462" t="s">
        <v>61</v>
      </c>
      <c r="F106" s="463" t="s">
        <v>123</v>
      </c>
      <c r="G106" s="193" t="s">
        <v>106</v>
      </c>
      <c r="H106" s="369">
        <f>'прил12(ведом 20)'!M447</f>
        <v>15434.48</v>
      </c>
    </row>
    <row r="107" spans="1:8" ht="18.75">
      <c r="A107" s="355"/>
      <c r="B107" s="368" t="s">
        <v>81</v>
      </c>
      <c r="C107" s="461" t="s">
        <v>63</v>
      </c>
      <c r="D107" s="462" t="s">
        <v>54</v>
      </c>
      <c r="E107" s="462" t="s">
        <v>61</v>
      </c>
      <c r="F107" s="463" t="s">
        <v>123</v>
      </c>
      <c r="G107" s="193" t="s">
        <v>82</v>
      </c>
      <c r="H107" s="369">
        <f>'прил12(ведом 20)'!M448</f>
        <v>8.7100000000000009</v>
      </c>
    </row>
    <row r="108" spans="1:8" ht="96.75" customHeight="1">
      <c r="A108" s="355"/>
      <c r="B108" s="207" t="s">
        <v>439</v>
      </c>
      <c r="C108" s="461" t="s">
        <v>63</v>
      </c>
      <c r="D108" s="462" t="s">
        <v>54</v>
      </c>
      <c r="E108" s="462" t="s">
        <v>61</v>
      </c>
      <c r="F108" s="463" t="s">
        <v>332</v>
      </c>
      <c r="G108" s="193"/>
      <c r="H108" s="369">
        <f>H109+H110</f>
        <v>6161.4000000000005</v>
      </c>
    </row>
    <row r="109" spans="1:8" ht="93.75">
      <c r="A109" s="355"/>
      <c r="B109" s="207" t="s">
        <v>73</v>
      </c>
      <c r="C109" s="461" t="s">
        <v>63</v>
      </c>
      <c r="D109" s="462" t="s">
        <v>54</v>
      </c>
      <c r="E109" s="462" t="s">
        <v>61</v>
      </c>
      <c r="F109" s="463" t="s">
        <v>332</v>
      </c>
      <c r="G109" s="193" t="s">
        <v>74</v>
      </c>
      <c r="H109" s="369">
        <f>'прил12(ведом 20)'!M450</f>
        <v>5804.3</v>
      </c>
    </row>
    <row r="110" spans="1:8" ht="37.5">
      <c r="A110" s="355"/>
      <c r="B110" s="368" t="s">
        <v>79</v>
      </c>
      <c r="C110" s="461" t="s">
        <v>63</v>
      </c>
      <c r="D110" s="462" t="s">
        <v>54</v>
      </c>
      <c r="E110" s="462" t="s">
        <v>61</v>
      </c>
      <c r="F110" s="463" t="s">
        <v>332</v>
      </c>
      <c r="G110" s="193" t="s">
        <v>80</v>
      </c>
      <c r="H110" s="369">
        <f>'прил12(ведом 20)'!M451</f>
        <v>357.1</v>
      </c>
    </row>
    <row r="111" spans="1:8" ht="18.75">
      <c r="A111" s="355"/>
      <c r="B111" s="207" t="s">
        <v>793</v>
      </c>
      <c r="C111" s="461" t="s">
        <v>63</v>
      </c>
      <c r="D111" s="462" t="s">
        <v>54</v>
      </c>
      <c r="E111" s="462" t="s">
        <v>61</v>
      </c>
      <c r="F111" s="463" t="s">
        <v>440</v>
      </c>
      <c r="G111" s="193"/>
      <c r="H111" s="369">
        <f>SUM(H112:H113)</f>
        <v>4661.4000000000005</v>
      </c>
    </row>
    <row r="112" spans="1:8" ht="93.75">
      <c r="A112" s="355"/>
      <c r="B112" s="207" t="s">
        <v>73</v>
      </c>
      <c r="C112" s="461" t="s">
        <v>63</v>
      </c>
      <c r="D112" s="462" t="s">
        <v>54</v>
      </c>
      <c r="E112" s="462" t="s">
        <v>61</v>
      </c>
      <c r="F112" s="463" t="s">
        <v>440</v>
      </c>
      <c r="G112" s="193" t="s">
        <v>74</v>
      </c>
      <c r="H112" s="369">
        <f>'прил12(ведом 20)'!M403</f>
        <v>29.8</v>
      </c>
    </row>
    <row r="113" spans="1:8" ht="42.75" customHeight="1">
      <c r="A113" s="355"/>
      <c r="B113" s="368" t="s">
        <v>105</v>
      </c>
      <c r="C113" s="461" t="s">
        <v>63</v>
      </c>
      <c r="D113" s="462" t="s">
        <v>54</v>
      </c>
      <c r="E113" s="462" t="s">
        <v>61</v>
      </c>
      <c r="F113" s="463" t="s">
        <v>440</v>
      </c>
      <c r="G113" s="193" t="s">
        <v>106</v>
      </c>
      <c r="H113" s="369">
        <f>'прил12(ведом 20)'!M404</f>
        <v>4631.6000000000004</v>
      </c>
    </row>
    <row r="114" spans="1:8" ht="37.5">
      <c r="A114" s="355"/>
      <c r="B114" s="207" t="s">
        <v>343</v>
      </c>
      <c r="C114" s="461" t="s">
        <v>63</v>
      </c>
      <c r="D114" s="462" t="s">
        <v>54</v>
      </c>
      <c r="E114" s="462" t="s">
        <v>63</v>
      </c>
      <c r="F114" s="463" t="s">
        <v>68</v>
      </c>
      <c r="G114" s="193"/>
      <c r="H114" s="369">
        <f>H115+H118</f>
        <v>7782.8</v>
      </c>
    </row>
    <row r="115" spans="1:8" ht="37.5">
      <c r="A115" s="355"/>
      <c r="B115" s="207" t="s">
        <v>641</v>
      </c>
      <c r="C115" s="461" t="s">
        <v>63</v>
      </c>
      <c r="D115" s="462" t="s">
        <v>54</v>
      </c>
      <c r="E115" s="462" t="s">
        <v>63</v>
      </c>
      <c r="F115" s="463" t="s">
        <v>642</v>
      </c>
      <c r="G115" s="193"/>
      <c r="H115" s="369">
        <f>H116+H117</f>
        <v>1062.5</v>
      </c>
    </row>
    <row r="116" spans="1:8" ht="37.5">
      <c r="A116" s="355"/>
      <c r="B116" s="207" t="s">
        <v>79</v>
      </c>
      <c r="C116" s="461" t="s">
        <v>63</v>
      </c>
      <c r="D116" s="462" t="s">
        <v>54</v>
      </c>
      <c r="E116" s="462" t="s">
        <v>63</v>
      </c>
      <c r="F116" s="463" t="s">
        <v>642</v>
      </c>
      <c r="G116" s="193" t="s">
        <v>80</v>
      </c>
      <c r="H116" s="369">
        <f>'прил12(ведом 20)'!M428</f>
        <v>652.79999999999995</v>
      </c>
    </row>
    <row r="117" spans="1:8" ht="39" customHeight="1">
      <c r="A117" s="355"/>
      <c r="B117" s="207" t="s">
        <v>105</v>
      </c>
      <c r="C117" s="461" t="s">
        <v>63</v>
      </c>
      <c r="D117" s="462" t="s">
        <v>54</v>
      </c>
      <c r="E117" s="462" t="s">
        <v>63</v>
      </c>
      <c r="F117" s="463" t="s">
        <v>642</v>
      </c>
      <c r="G117" s="193" t="s">
        <v>106</v>
      </c>
      <c r="H117" s="369">
        <f>'прил12(ведом 20)'!M429</f>
        <v>409.7</v>
      </c>
    </row>
    <row r="118" spans="1:8" ht="108.6" customHeight="1">
      <c r="A118" s="355"/>
      <c r="B118" s="207" t="s">
        <v>908</v>
      </c>
      <c r="C118" s="702" t="s">
        <v>63</v>
      </c>
      <c r="D118" s="703" t="s">
        <v>54</v>
      </c>
      <c r="E118" s="703" t="s">
        <v>63</v>
      </c>
      <c r="F118" s="704" t="s">
        <v>907</v>
      </c>
      <c r="G118" s="193"/>
      <c r="H118" s="369">
        <f>H119</f>
        <v>6720.3</v>
      </c>
    </row>
    <row r="119" spans="1:8" ht="39" customHeight="1">
      <c r="A119" s="355"/>
      <c r="B119" s="207" t="s">
        <v>105</v>
      </c>
      <c r="C119" s="702" t="s">
        <v>63</v>
      </c>
      <c r="D119" s="703" t="s">
        <v>54</v>
      </c>
      <c r="E119" s="703" t="s">
        <v>63</v>
      </c>
      <c r="F119" s="704" t="s">
        <v>907</v>
      </c>
      <c r="G119" s="193" t="s">
        <v>106</v>
      </c>
      <c r="H119" s="369">
        <f>'прил12(ведом 20)'!M431</f>
        <v>6720.3</v>
      </c>
    </row>
    <row r="120" spans="1:8" ht="19.5" customHeight="1">
      <c r="A120" s="355"/>
      <c r="B120" s="377"/>
      <c r="C120" s="458"/>
      <c r="D120" s="459"/>
      <c r="E120" s="459"/>
      <c r="F120" s="460"/>
      <c r="G120" s="353"/>
      <c r="H120" s="369"/>
    </row>
    <row r="121" spans="1:8" s="367" customFormat="1" ht="56.25">
      <c r="A121" s="378">
        <v>2</v>
      </c>
      <c r="B121" s="362" t="s">
        <v>252</v>
      </c>
      <c r="C121" s="379" t="s">
        <v>89</v>
      </c>
      <c r="D121" s="379" t="s">
        <v>66</v>
      </c>
      <c r="E121" s="379" t="s">
        <v>67</v>
      </c>
      <c r="F121" s="380" t="s">
        <v>68</v>
      </c>
      <c r="G121" s="365"/>
      <c r="H121" s="366">
        <f>H122+H153+H160</f>
        <v>93544.699999999983</v>
      </c>
    </row>
    <row r="122" spans="1:8" s="367" customFormat="1" ht="56.25">
      <c r="A122" s="355"/>
      <c r="B122" s="381" t="s">
        <v>253</v>
      </c>
      <c r="C122" s="461" t="s">
        <v>89</v>
      </c>
      <c r="D122" s="462" t="s">
        <v>69</v>
      </c>
      <c r="E122" s="462" t="s">
        <v>67</v>
      </c>
      <c r="F122" s="463" t="s">
        <v>68</v>
      </c>
      <c r="G122" s="353"/>
      <c r="H122" s="369">
        <f>H123+H128+H131+H142+H147+H150</f>
        <v>83614.799999999988</v>
      </c>
    </row>
    <row r="123" spans="1:8" s="367" customFormat="1" ht="34.15" customHeight="1">
      <c r="A123" s="355"/>
      <c r="B123" s="381" t="s">
        <v>338</v>
      </c>
      <c r="C123" s="461" t="s">
        <v>89</v>
      </c>
      <c r="D123" s="462" t="s">
        <v>69</v>
      </c>
      <c r="E123" s="462" t="s">
        <v>61</v>
      </c>
      <c r="F123" s="463" t="s">
        <v>68</v>
      </c>
      <c r="G123" s="353"/>
      <c r="H123" s="369">
        <f>H124+H126</f>
        <v>54969.299999999996</v>
      </c>
    </row>
    <row r="124" spans="1:8" s="367" customFormat="1" ht="75">
      <c r="A124" s="355"/>
      <c r="B124" s="382" t="s">
        <v>400</v>
      </c>
      <c r="C124" s="461" t="s">
        <v>89</v>
      </c>
      <c r="D124" s="462" t="s">
        <v>69</v>
      </c>
      <c r="E124" s="462" t="s">
        <v>61</v>
      </c>
      <c r="F124" s="463" t="s">
        <v>123</v>
      </c>
      <c r="G124" s="193"/>
      <c r="H124" s="369">
        <f>H125</f>
        <v>53277.1</v>
      </c>
    </row>
    <row r="125" spans="1:8" s="367" customFormat="1" ht="44.25" customHeight="1">
      <c r="A125" s="355"/>
      <c r="B125" s="370" t="s">
        <v>105</v>
      </c>
      <c r="C125" s="461" t="s">
        <v>89</v>
      </c>
      <c r="D125" s="462" t="s">
        <v>69</v>
      </c>
      <c r="E125" s="462" t="s">
        <v>61</v>
      </c>
      <c r="F125" s="463" t="s">
        <v>123</v>
      </c>
      <c r="G125" s="193" t="s">
        <v>106</v>
      </c>
      <c r="H125" s="369">
        <f>'прил12(ведом 20)'!M468</f>
        <v>53277.1</v>
      </c>
    </row>
    <row r="126" spans="1:8" s="367" customFormat="1" ht="44.25" customHeight="1">
      <c r="A126" s="355"/>
      <c r="B126" s="211" t="s">
        <v>401</v>
      </c>
      <c r="C126" s="631" t="s">
        <v>89</v>
      </c>
      <c r="D126" s="632" t="s">
        <v>69</v>
      </c>
      <c r="E126" s="632" t="s">
        <v>61</v>
      </c>
      <c r="F126" s="633" t="s">
        <v>402</v>
      </c>
      <c r="G126" s="193"/>
      <c r="H126" s="369">
        <f>H127</f>
        <v>1692.2</v>
      </c>
    </row>
    <row r="127" spans="1:8" s="367" customFormat="1" ht="44.25" customHeight="1">
      <c r="A127" s="355"/>
      <c r="B127" s="211" t="s">
        <v>105</v>
      </c>
      <c r="C127" s="631" t="s">
        <v>89</v>
      </c>
      <c r="D127" s="632" t="s">
        <v>69</v>
      </c>
      <c r="E127" s="632" t="s">
        <v>61</v>
      </c>
      <c r="F127" s="633" t="s">
        <v>402</v>
      </c>
      <c r="G127" s="193" t="s">
        <v>106</v>
      </c>
      <c r="H127" s="369">
        <f>'прил12(ведом 20)'!M470</f>
        <v>1692.2</v>
      </c>
    </row>
    <row r="128" spans="1:8" ht="18.75">
      <c r="A128" s="383"/>
      <c r="B128" s="370" t="s">
        <v>339</v>
      </c>
      <c r="C128" s="461" t="s">
        <v>89</v>
      </c>
      <c r="D128" s="462" t="s">
        <v>69</v>
      </c>
      <c r="E128" s="462" t="s">
        <v>63</v>
      </c>
      <c r="F128" s="463" t="s">
        <v>68</v>
      </c>
      <c r="G128" s="193"/>
      <c r="H128" s="384">
        <f>H129</f>
        <v>180</v>
      </c>
    </row>
    <row r="129" spans="1:8" s="367" customFormat="1" ht="37.5">
      <c r="A129" s="355"/>
      <c r="B129" s="370" t="s">
        <v>250</v>
      </c>
      <c r="C129" s="461" t="s">
        <v>89</v>
      </c>
      <c r="D129" s="462" t="s">
        <v>69</v>
      </c>
      <c r="E129" s="462" t="s">
        <v>63</v>
      </c>
      <c r="F129" s="463" t="s">
        <v>341</v>
      </c>
      <c r="G129" s="193"/>
      <c r="H129" s="369">
        <f>H130</f>
        <v>180</v>
      </c>
    </row>
    <row r="130" spans="1:8" s="367" customFormat="1" ht="27" customHeight="1">
      <c r="A130" s="355"/>
      <c r="B130" s="370" t="s">
        <v>152</v>
      </c>
      <c r="C130" s="461" t="s">
        <v>89</v>
      </c>
      <c r="D130" s="462" t="s">
        <v>69</v>
      </c>
      <c r="E130" s="462" t="s">
        <v>63</v>
      </c>
      <c r="F130" s="463" t="s">
        <v>341</v>
      </c>
      <c r="G130" s="193" t="s">
        <v>153</v>
      </c>
      <c r="H130" s="369">
        <f>'прил12(ведом 20)'!M485</f>
        <v>180</v>
      </c>
    </row>
    <row r="131" spans="1:8" s="367" customFormat="1" ht="18.75">
      <c r="A131" s="355"/>
      <c r="B131" s="368" t="s">
        <v>403</v>
      </c>
      <c r="C131" s="223" t="s">
        <v>89</v>
      </c>
      <c r="D131" s="385" t="s">
        <v>69</v>
      </c>
      <c r="E131" s="385" t="s">
        <v>89</v>
      </c>
      <c r="F131" s="386" t="s">
        <v>68</v>
      </c>
      <c r="G131" s="387"/>
      <c r="H131" s="369">
        <f>H132+H136+H138+H140+H134</f>
        <v>11756.5</v>
      </c>
    </row>
    <row r="132" spans="1:8" s="367" customFormat="1" ht="75">
      <c r="A132" s="355"/>
      <c r="B132" s="382" t="s">
        <v>404</v>
      </c>
      <c r="C132" s="223" t="s">
        <v>89</v>
      </c>
      <c r="D132" s="385" t="s">
        <v>69</v>
      </c>
      <c r="E132" s="385" t="s">
        <v>89</v>
      </c>
      <c r="F132" s="386" t="s">
        <v>123</v>
      </c>
      <c r="G132" s="387"/>
      <c r="H132" s="369">
        <f>H133</f>
        <v>11049.6</v>
      </c>
    </row>
    <row r="133" spans="1:8" s="367" customFormat="1" ht="44.25" customHeight="1">
      <c r="A133" s="355"/>
      <c r="B133" s="370" t="s">
        <v>105</v>
      </c>
      <c r="C133" s="461" t="s">
        <v>89</v>
      </c>
      <c r="D133" s="462" t="s">
        <v>69</v>
      </c>
      <c r="E133" s="462" t="s">
        <v>89</v>
      </c>
      <c r="F133" s="463" t="s">
        <v>123</v>
      </c>
      <c r="G133" s="193" t="s">
        <v>106</v>
      </c>
      <c r="H133" s="369">
        <f>'прил12(ведом 20)'!M492</f>
        <v>11049.6</v>
      </c>
    </row>
    <row r="134" spans="1:8" s="367" customFormat="1" ht="36.6" customHeight="1">
      <c r="A134" s="355"/>
      <c r="B134" s="207" t="s">
        <v>516</v>
      </c>
      <c r="C134" s="223" t="s">
        <v>89</v>
      </c>
      <c r="D134" s="385" t="s">
        <v>69</v>
      </c>
      <c r="E134" s="385" t="s">
        <v>89</v>
      </c>
      <c r="F134" s="386" t="s">
        <v>515</v>
      </c>
      <c r="G134" s="193"/>
      <c r="H134" s="369">
        <f>H135</f>
        <v>83.9</v>
      </c>
    </row>
    <row r="135" spans="1:8" s="367" customFormat="1" ht="44.25" customHeight="1">
      <c r="A135" s="355"/>
      <c r="B135" s="370" t="s">
        <v>105</v>
      </c>
      <c r="C135" s="223" t="s">
        <v>89</v>
      </c>
      <c r="D135" s="385" t="s">
        <v>69</v>
      </c>
      <c r="E135" s="385" t="s">
        <v>89</v>
      </c>
      <c r="F135" s="386" t="s">
        <v>515</v>
      </c>
      <c r="G135" s="193" t="s">
        <v>106</v>
      </c>
      <c r="H135" s="369">
        <f>'прил12(ведом 20)'!M494</f>
        <v>83.9</v>
      </c>
    </row>
    <row r="136" spans="1:8" s="367" customFormat="1" ht="37.5">
      <c r="A136" s="355"/>
      <c r="B136" s="370" t="s">
        <v>401</v>
      </c>
      <c r="C136" s="223" t="s">
        <v>89</v>
      </c>
      <c r="D136" s="385" t="s">
        <v>69</v>
      </c>
      <c r="E136" s="385" t="s">
        <v>89</v>
      </c>
      <c r="F136" s="386" t="s">
        <v>402</v>
      </c>
      <c r="G136" s="387"/>
      <c r="H136" s="369">
        <f>H137</f>
        <v>141.70000000000002</v>
      </c>
    </row>
    <row r="137" spans="1:8" s="367" customFormat="1" ht="44.25" customHeight="1">
      <c r="A137" s="355"/>
      <c r="B137" s="370" t="s">
        <v>105</v>
      </c>
      <c r="C137" s="223" t="s">
        <v>89</v>
      </c>
      <c r="D137" s="385" t="s">
        <v>69</v>
      </c>
      <c r="E137" s="385" t="s">
        <v>89</v>
      </c>
      <c r="F137" s="386" t="s">
        <v>402</v>
      </c>
      <c r="G137" s="387" t="s">
        <v>106</v>
      </c>
      <c r="H137" s="369">
        <f>'прил12(ведом 20)'!M496</f>
        <v>141.70000000000002</v>
      </c>
    </row>
    <row r="138" spans="1:8" s="367" customFormat="1" ht="56.25">
      <c r="A138" s="355"/>
      <c r="B138" s="370" t="s">
        <v>254</v>
      </c>
      <c r="C138" s="461" t="s">
        <v>89</v>
      </c>
      <c r="D138" s="462" t="s">
        <v>69</v>
      </c>
      <c r="E138" s="462" t="s">
        <v>89</v>
      </c>
      <c r="F138" s="463" t="s">
        <v>405</v>
      </c>
      <c r="G138" s="193"/>
      <c r="H138" s="369">
        <f>H139</f>
        <v>430</v>
      </c>
    </row>
    <row r="139" spans="1:8" s="367" customFormat="1" ht="43.5" customHeight="1">
      <c r="A139" s="355"/>
      <c r="B139" s="370" t="s">
        <v>105</v>
      </c>
      <c r="C139" s="461" t="s">
        <v>89</v>
      </c>
      <c r="D139" s="462" t="s">
        <v>69</v>
      </c>
      <c r="E139" s="462" t="s">
        <v>89</v>
      </c>
      <c r="F139" s="463" t="s">
        <v>405</v>
      </c>
      <c r="G139" s="193" t="s">
        <v>106</v>
      </c>
      <c r="H139" s="369">
        <f>'прил12(ведом 20)'!M498</f>
        <v>430</v>
      </c>
    </row>
    <row r="140" spans="1:8" s="367" customFormat="1" ht="88.9" customHeight="1">
      <c r="A140" s="355"/>
      <c r="B140" s="211" t="s">
        <v>886</v>
      </c>
      <c r="C140" s="653" t="s">
        <v>89</v>
      </c>
      <c r="D140" s="654" t="s">
        <v>69</v>
      </c>
      <c r="E140" s="654" t="s">
        <v>89</v>
      </c>
      <c r="F140" s="655" t="s">
        <v>885</v>
      </c>
      <c r="G140" s="193"/>
      <c r="H140" s="369">
        <f>H141</f>
        <v>51.300000000000004</v>
      </c>
    </row>
    <row r="141" spans="1:8" s="367" customFormat="1" ht="41.25" customHeight="1">
      <c r="A141" s="355"/>
      <c r="B141" s="211" t="s">
        <v>105</v>
      </c>
      <c r="C141" s="653" t="s">
        <v>89</v>
      </c>
      <c r="D141" s="654" t="s">
        <v>69</v>
      </c>
      <c r="E141" s="654" t="s">
        <v>89</v>
      </c>
      <c r="F141" s="655" t="s">
        <v>885</v>
      </c>
      <c r="G141" s="193" t="s">
        <v>106</v>
      </c>
      <c r="H141" s="369">
        <f>'прил12(ведом 20)'!M500</f>
        <v>51.300000000000004</v>
      </c>
    </row>
    <row r="142" spans="1:8" s="367" customFormat="1" ht="37.5">
      <c r="A142" s="355"/>
      <c r="B142" s="370" t="s">
        <v>406</v>
      </c>
      <c r="C142" s="223" t="s">
        <v>89</v>
      </c>
      <c r="D142" s="385" t="s">
        <v>69</v>
      </c>
      <c r="E142" s="385" t="s">
        <v>76</v>
      </c>
      <c r="F142" s="463" t="s">
        <v>68</v>
      </c>
      <c r="G142" s="193"/>
      <c r="H142" s="369">
        <f>H143</f>
        <v>12544.199999999999</v>
      </c>
    </row>
    <row r="143" spans="1:8" s="367" customFormat="1" ht="75">
      <c r="A143" s="355"/>
      <c r="B143" s="382" t="s">
        <v>404</v>
      </c>
      <c r="C143" s="223" t="s">
        <v>89</v>
      </c>
      <c r="D143" s="385" t="s">
        <v>69</v>
      </c>
      <c r="E143" s="385" t="s">
        <v>76</v>
      </c>
      <c r="F143" s="386" t="s">
        <v>123</v>
      </c>
      <c r="G143" s="387"/>
      <c r="H143" s="369">
        <f>SUM(H144:H146)</f>
        <v>12544.199999999999</v>
      </c>
    </row>
    <row r="144" spans="1:8" s="367" customFormat="1" ht="93.75">
      <c r="A144" s="355"/>
      <c r="B144" s="207" t="s">
        <v>73</v>
      </c>
      <c r="C144" s="461" t="s">
        <v>89</v>
      </c>
      <c r="D144" s="462" t="s">
        <v>69</v>
      </c>
      <c r="E144" s="462" t="s">
        <v>76</v>
      </c>
      <c r="F144" s="463" t="s">
        <v>123</v>
      </c>
      <c r="G144" s="193" t="s">
        <v>74</v>
      </c>
      <c r="H144" s="369">
        <f>'прил12(ведом 20)'!M503</f>
        <v>11680.4</v>
      </c>
    </row>
    <row r="145" spans="1:8" s="367" customFormat="1" ht="37.5">
      <c r="A145" s="355"/>
      <c r="B145" s="207" t="s">
        <v>79</v>
      </c>
      <c r="C145" s="461" t="s">
        <v>89</v>
      </c>
      <c r="D145" s="462" t="s">
        <v>69</v>
      </c>
      <c r="E145" s="462" t="s">
        <v>76</v>
      </c>
      <c r="F145" s="463" t="s">
        <v>123</v>
      </c>
      <c r="G145" s="193" t="s">
        <v>80</v>
      </c>
      <c r="H145" s="369">
        <f>'прил12(ведом 20)'!M504</f>
        <v>842.40000000000009</v>
      </c>
    </row>
    <row r="146" spans="1:8" s="367" customFormat="1" ht="18.75">
      <c r="A146" s="355"/>
      <c r="B146" s="207" t="s">
        <v>81</v>
      </c>
      <c r="C146" s="461" t="s">
        <v>89</v>
      </c>
      <c r="D146" s="462" t="s">
        <v>69</v>
      </c>
      <c r="E146" s="462" t="s">
        <v>76</v>
      </c>
      <c r="F146" s="463" t="s">
        <v>123</v>
      </c>
      <c r="G146" s="193" t="s">
        <v>82</v>
      </c>
      <c r="H146" s="369">
        <f>'прил12(ведом 20)'!M505</f>
        <v>21.4</v>
      </c>
    </row>
    <row r="147" spans="1:8" s="367" customFormat="1" ht="37.5">
      <c r="A147" s="355"/>
      <c r="B147" s="213" t="s">
        <v>343</v>
      </c>
      <c r="C147" s="461" t="s">
        <v>89</v>
      </c>
      <c r="D147" s="462" t="s">
        <v>69</v>
      </c>
      <c r="E147" s="462" t="s">
        <v>91</v>
      </c>
      <c r="F147" s="463" t="s">
        <v>68</v>
      </c>
      <c r="G147" s="193"/>
      <c r="H147" s="369">
        <f>H148</f>
        <v>270</v>
      </c>
    </row>
    <row r="148" spans="1:8" s="367" customFormat="1" ht="37.5">
      <c r="A148" s="355"/>
      <c r="B148" s="212" t="s">
        <v>641</v>
      </c>
      <c r="C148" s="461" t="s">
        <v>89</v>
      </c>
      <c r="D148" s="462" t="s">
        <v>69</v>
      </c>
      <c r="E148" s="462" t="s">
        <v>91</v>
      </c>
      <c r="F148" s="463" t="s">
        <v>642</v>
      </c>
      <c r="G148" s="193"/>
      <c r="H148" s="369">
        <f>H149</f>
        <v>270</v>
      </c>
    </row>
    <row r="149" spans="1:8" s="367" customFormat="1" ht="40.5" customHeight="1">
      <c r="A149" s="355"/>
      <c r="B149" s="211" t="s">
        <v>105</v>
      </c>
      <c r="C149" s="461" t="s">
        <v>89</v>
      </c>
      <c r="D149" s="462" t="s">
        <v>69</v>
      </c>
      <c r="E149" s="462" t="s">
        <v>91</v>
      </c>
      <c r="F149" s="463" t="s">
        <v>642</v>
      </c>
      <c r="G149" s="193" t="s">
        <v>106</v>
      </c>
      <c r="H149" s="369">
        <f>'прил12(ведом 20)'!M479</f>
        <v>270</v>
      </c>
    </row>
    <row r="150" spans="1:8" s="367" customFormat="1" ht="18.75">
      <c r="A150" s="355"/>
      <c r="B150" s="211" t="s">
        <v>647</v>
      </c>
      <c r="C150" s="461" t="s">
        <v>89</v>
      </c>
      <c r="D150" s="462" t="s">
        <v>69</v>
      </c>
      <c r="E150" s="462" t="s">
        <v>648</v>
      </c>
      <c r="F150" s="463" t="s">
        <v>68</v>
      </c>
      <c r="G150" s="193"/>
      <c r="H150" s="369">
        <f>H151</f>
        <v>3894.8</v>
      </c>
    </row>
    <row r="151" spans="1:8" s="367" customFormat="1" ht="18.75">
      <c r="A151" s="355"/>
      <c r="B151" s="211" t="s">
        <v>786</v>
      </c>
      <c r="C151" s="461" t="s">
        <v>89</v>
      </c>
      <c r="D151" s="462" t="s">
        <v>69</v>
      </c>
      <c r="E151" s="462" t="s">
        <v>648</v>
      </c>
      <c r="F151" s="463" t="s">
        <v>785</v>
      </c>
      <c r="G151" s="193"/>
      <c r="H151" s="369">
        <f>H152</f>
        <v>3894.8</v>
      </c>
    </row>
    <row r="152" spans="1:8" s="367" customFormat="1" ht="43.5" customHeight="1">
      <c r="A152" s="355"/>
      <c r="B152" s="211" t="s">
        <v>105</v>
      </c>
      <c r="C152" s="461" t="s">
        <v>89</v>
      </c>
      <c r="D152" s="462" t="s">
        <v>69</v>
      </c>
      <c r="E152" s="462" t="s">
        <v>648</v>
      </c>
      <c r="F152" s="463" t="s">
        <v>785</v>
      </c>
      <c r="G152" s="193" t="s">
        <v>106</v>
      </c>
      <c r="H152" s="369">
        <f>'прил12(ведом 20)'!M473</f>
        <v>3894.8</v>
      </c>
    </row>
    <row r="153" spans="1:8" ht="37.5">
      <c r="A153" s="355"/>
      <c r="B153" s="368" t="s">
        <v>414</v>
      </c>
      <c r="C153" s="223" t="s">
        <v>89</v>
      </c>
      <c r="D153" s="385" t="s">
        <v>120</v>
      </c>
      <c r="E153" s="385" t="s">
        <v>67</v>
      </c>
      <c r="F153" s="463" t="s">
        <v>68</v>
      </c>
      <c r="G153" s="387"/>
      <c r="H153" s="369">
        <f>H154</f>
        <v>955.5</v>
      </c>
    </row>
    <row r="154" spans="1:8" ht="93.75">
      <c r="A154" s="355"/>
      <c r="B154" s="370" t="s">
        <v>407</v>
      </c>
      <c r="C154" s="223" t="s">
        <v>89</v>
      </c>
      <c r="D154" s="385" t="s">
        <v>120</v>
      </c>
      <c r="E154" s="385" t="s">
        <v>89</v>
      </c>
      <c r="F154" s="463" t="s">
        <v>68</v>
      </c>
      <c r="G154" s="387"/>
      <c r="H154" s="369">
        <f>H155+H158</f>
        <v>955.5</v>
      </c>
    </row>
    <row r="155" spans="1:8" ht="37.5">
      <c r="A155" s="355"/>
      <c r="B155" s="370" t="s">
        <v>401</v>
      </c>
      <c r="C155" s="223" t="s">
        <v>89</v>
      </c>
      <c r="D155" s="385" t="s">
        <v>120</v>
      </c>
      <c r="E155" s="385" t="s">
        <v>89</v>
      </c>
      <c r="F155" s="386" t="s">
        <v>402</v>
      </c>
      <c r="G155" s="353"/>
      <c r="H155" s="369">
        <f>SUM(H156:H157)</f>
        <v>913.3</v>
      </c>
    </row>
    <row r="156" spans="1:8" ht="37.5">
      <c r="A156" s="355"/>
      <c r="B156" s="207" t="s">
        <v>79</v>
      </c>
      <c r="C156" s="461" t="s">
        <v>89</v>
      </c>
      <c r="D156" s="462" t="s">
        <v>120</v>
      </c>
      <c r="E156" s="462" t="s">
        <v>89</v>
      </c>
      <c r="F156" s="463" t="s">
        <v>402</v>
      </c>
      <c r="G156" s="193" t="s">
        <v>80</v>
      </c>
      <c r="H156" s="369">
        <f>'прил12(ведом 20)'!M518+'прил12(ведом 20)'!M509</f>
        <v>895.5</v>
      </c>
    </row>
    <row r="157" spans="1:8" ht="39.75" customHeight="1">
      <c r="A157" s="355"/>
      <c r="B157" s="370" t="s">
        <v>105</v>
      </c>
      <c r="C157" s="461" t="s">
        <v>89</v>
      </c>
      <c r="D157" s="462" t="s">
        <v>120</v>
      </c>
      <c r="E157" s="462" t="s">
        <v>89</v>
      </c>
      <c r="F157" s="463" t="s">
        <v>402</v>
      </c>
      <c r="G157" s="193" t="s">
        <v>106</v>
      </c>
      <c r="H157" s="369">
        <f>'прил12(ведом 20)'!M510</f>
        <v>17.799999999999997</v>
      </c>
    </row>
    <row r="158" spans="1:8" ht="40.5" customHeight="1">
      <c r="A158" s="355"/>
      <c r="B158" s="211" t="s">
        <v>649</v>
      </c>
      <c r="C158" s="461" t="s">
        <v>89</v>
      </c>
      <c r="D158" s="462" t="s">
        <v>120</v>
      </c>
      <c r="E158" s="462" t="s">
        <v>89</v>
      </c>
      <c r="F158" s="463" t="s">
        <v>650</v>
      </c>
      <c r="G158" s="193"/>
      <c r="H158" s="369">
        <f>H159</f>
        <v>42.2</v>
      </c>
    </row>
    <row r="159" spans="1:8" ht="41.25" customHeight="1">
      <c r="A159" s="355"/>
      <c r="B159" s="211" t="s">
        <v>105</v>
      </c>
      <c r="C159" s="461" t="s">
        <v>89</v>
      </c>
      <c r="D159" s="462" t="s">
        <v>120</v>
      </c>
      <c r="E159" s="462" t="s">
        <v>89</v>
      </c>
      <c r="F159" s="463" t="s">
        <v>650</v>
      </c>
      <c r="G159" s="193" t="s">
        <v>106</v>
      </c>
      <c r="H159" s="369">
        <f>'прил12(ведом 20)'!M512</f>
        <v>42.2</v>
      </c>
    </row>
    <row r="160" spans="1:8" s="367" customFormat="1" ht="42" customHeight="1">
      <c r="A160" s="355"/>
      <c r="B160" s="368" t="s">
        <v>255</v>
      </c>
      <c r="C160" s="461" t="s">
        <v>89</v>
      </c>
      <c r="D160" s="462" t="s">
        <v>54</v>
      </c>
      <c r="E160" s="462" t="s">
        <v>67</v>
      </c>
      <c r="F160" s="463" t="s">
        <v>68</v>
      </c>
      <c r="G160" s="353"/>
      <c r="H160" s="369">
        <f>H161</f>
        <v>8974.4</v>
      </c>
    </row>
    <row r="161" spans="1:8" s="367" customFormat="1" ht="37.5">
      <c r="A161" s="355"/>
      <c r="B161" s="368" t="s">
        <v>344</v>
      </c>
      <c r="C161" s="461" t="s">
        <v>89</v>
      </c>
      <c r="D161" s="462" t="s">
        <v>54</v>
      </c>
      <c r="E161" s="462" t="s">
        <v>61</v>
      </c>
      <c r="F161" s="463" t="s">
        <v>68</v>
      </c>
      <c r="G161" s="193"/>
      <c r="H161" s="369">
        <f>H162+H166</f>
        <v>8974.4</v>
      </c>
    </row>
    <row r="162" spans="1:8" ht="37.5">
      <c r="A162" s="355"/>
      <c r="B162" s="368" t="s">
        <v>71</v>
      </c>
      <c r="C162" s="461" t="s">
        <v>89</v>
      </c>
      <c r="D162" s="462" t="s">
        <v>54</v>
      </c>
      <c r="E162" s="462" t="s">
        <v>61</v>
      </c>
      <c r="F162" s="463" t="s">
        <v>72</v>
      </c>
      <c r="G162" s="387"/>
      <c r="H162" s="369">
        <f>SUM(H163:H165)</f>
        <v>2734.5</v>
      </c>
    </row>
    <row r="163" spans="1:8" ht="93.75">
      <c r="A163" s="355"/>
      <c r="B163" s="368" t="s">
        <v>73</v>
      </c>
      <c r="C163" s="461" t="s">
        <v>89</v>
      </c>
      <c r="D163" s="462" t="s">
        <v>54</v>
      </c>
      <c r="E163" s="462" t="s">
        <v>61</v>
      </c>
      <c r="F163" s="463" t="s">
        <v>72</v>
      </c>
      <c r="G163" s="387" t="s">
        <v>74</v>
      </c>
      <c r="H163" s="369">
        <f>'прил12(ведом 20)'!M522</f>
        <v>2522.5</v>
      </c>
    </row>
    <row r="164" spans="1:8" ht="37.5">
      <c r="A164" s="355"/>
      <c r="B164" s="368" t="s">
        <v>79</v>
      </c>
      <c r="C164" s="461" t="s">
        <v>89</v>
      </c>
      <c r="D164" s="462" t="s">
        <v>54</v>
      </c>
      <c r="E164" s="462" t="s">
        <v>61</v>
      </c>
      <c r="F164" s="463" t="s">
        <v>72</v>
      </c>
      <c r="G164" s="387" t="s">
        <v>80</v>
      </c>
      <c r="H164" s="369">
        <f>'прил12(ведом 20)'!M523</f>
        <v>207.5</v>
      </c>
    </row>
    <row r="165" spans="1:8" ht="18.75">
      <c r="A165" s="355"/>
      <c r="B165" s="368" t="s">
        <v>81</v>
      </c>
      <c r="C165" s="461" t="s">
        <v>89</v>
      </c>
      <c r="D165" s="462" t="s">
        <v>54</v>
      </c>
      <c r="E165" s="462" t="s">
        <v>61</v>
      </c>
      <c r="F165" s="463" t="s">
        <v>72</v>
      </c>
      <c r="G165" s="193" t="s">
        <v>82</v>
      </c>
      <c r="H165" s="369">
        <f>'прил12(ведом 20)'!M524</f>
        <v>4.5</v>
      </c>
    </row>
    <row r="166" spans="1:8" ht="75">
      <c r="A166" s="355"/>
      <c r="B166" s="382" t="s">
        <v>404</v>
      </c>
      <c r="C166" s="461" t="s">
        <v>89</v>
      </c>
      <c r="D166" s="462" t="s">
        <v>54</v>
      </c>
      <c r="E166" s="462" t="s">
        <v>61</v>
      </c>
      <c r="F166" s="463" t="s">
        <v>123</v>
      </c>
      <c r="G166" s="193"/>
      <c r="H166" s="369">
        <f>SUM(H167:H169)</f>
        <v>6239.9</v>
      </c>
    </row>
    <row r="167" spans="1:8" ht="93.75">
      <c r="A167" s="355"/>
      <c r="B167" s="368" t="s">
        <v>73</v>
      </c>
      <c r="C167" s="461" t="s">
        <v>89</v>
      </c>
      <c r="D167" s="462" t="s">
        <v>54</v>
      </c>
      <c r="E167" s="462" t="s">
        <v>61</v>
      </c>
      <c r="F167" s="463" t="s">
        <v>123</v>
      </c>
      <c r="G167" s="387" t="s">
        <v>74</v>
      </c>
      <c r="H167" s="369">
        <f>'прил12(ведом 20)'!M526</f>
        <v>5729.7</v>
      </c>
    </row>
    <row r="168" spans="1:8" ht="37.5">
      <c r="A168" s="355"/>
      <c r="B168" s="368" t="s">
        <v>79</v>
      </c>
      <c r="C168" s="461" t="s">
        <v>89</v>
      </c>
      <c r="D168" s="462" t="s">
        <v>54</v>
      </c>
      <c r="E168" s="462" t="s">
        <v>61</v>
      </c>
      <c r="F168" s="463" t="s">
        <v>123</v>
      </c>
      <c r="G168" s="387" t="s">
        <v>80</v>
      </c>
      <c r="H168" s="369">
        <f>'прил12(ведом 20)'!M527</f>
        <v>508.5</v>
      </c>
    </row>
    <row r="169" spans="1:8" ht="18.75">
      <c r="A169" s="355"/>
      <c r="B169" s="368" t="s">
        <v>81</v>
      </c>
      <c r="C169" s="461" t="s">
        <v>89</v>
      </c>
      <c r="D169" s="462" t="s">
        <v>54</v>
      </c>
      <c r="E169" s="462" t="s">
        <v>61</v>
      </c>
      <c r="F169" s="463" t="s">
        <v>123</v>
      </c>
      <c r="G169" s="193" t="s">
        <v>82</v>
      </c>
      <c r="H169" s="369">
        <f>'прил12(ведом 20)'!M528</f>
        <v>1.7</v>
      </c>
    </row>
    <row r="170" spans="1:8" ht="18.75">
      <c r="A170" s="355"/>
      <c r="B170" s="377"/>
      <c r="C170" s="388"/>
      <c r="D170" s="388"/>
      <c r="E170" s="389"/>
      <c r="F170" s="390"/>
      <c r="G170" s="353"/>
      <c r="H170" s="369"/>
    </row>
    <row r="171" spans="1:8" s="367" customFormat="1" ht="56.25">
      <c r="A171" s="378">
        <v>3</v>
      </c>
      <c r="B171" s="391" t="s">
        <v>256</v>
      </c>
      <c r="C171" s="379" t="s">
        <v>76</v>
      </c>
      <c r="D171" s="379" t="s">
        <v>66</v>
      </c>
      <c r="E171" s="379" t="s">
        <v>67</v>
      </c>
      <c r="F171" s="380" t="s">
        <v>68</v>
      </c>
      <c r="G171" s="365"/>
      <c r="H171" s="366">
        <f>H172+H180+H195</f>
        <v>38301.161370000002</v>
      </c>
    </row>
    <row r="172" spans="1:8" ht="29.25" customHeight="1">
      <c r="A172" s="355"/>
      <c r="B172" s="381" t="s">
        <v>257</v>
      </c>
      <c r="C172" s="461" t="s">
        <v>76</v>
      </c>
      <c r="D172" s="462" t="s">
        <v>69</v>
      </c>
      <c r="E172" s="462" t="s">
        <v>67</v>
      </c>
      <c r="F172" s="463" t="s">
        <v>68</v>
      </c>
      <c r="G172" s="353"/>
      <c r="H172" s="369">
        <f>H173+H176</f>
        <v>768.09999999999991</v>
      </c>
    </row>
    <row r="173" spans="1:8" ht="18.75">
      <c r="A173" s="355"/>
      <c r="B173" s="368" t="s">
        <v>339</v>
      </c>
      <c r="C173" s="461" t="s">
        <v>76</v>
      </c>
      <c r="D173" s="462" t="s">
        <v>69</v>
      </c>
      <c r="E173" s="462" t="s">
        <v>61</v>
      </c>
      <c r="F173" s="463" t="s">
        <v>68</v>
      </c>
      <c r="G173" s="353"/>
      <c r="H173" s="369">
        <f>H174</f>
        <v>171</v>
      </c>
    </row>
    <row r="174" spans="1:8" ht="37.5">
      <c r="A174" s="355"/>
      <c r="B174" s="368" t="s">
        <v>340</v>
      </c>
      <c r="C174" s="461" t="s">
        <v>76</v>
      </c>
      <c r="D174" s="462" t="s">
        <v>69</v>
      </c>
      <c r="E174" s="462" t="s">
        <v>61</v>
      </c>
      <c r="F174" s="463" t="s">
        <v>341</v>
      </c>
      <c r="G174" s="193"/>
      <c r="H174" s="369">
        <f>H175</f>
        <v>171</v>
      </c>
    </row>
    <row r="175" spans="1:8" ht="22.5" customHeight="1">
      <c r="A175" s="355"/>
      <c r="B175" s="368" t="s">
        <v>152</v>
      </c>
      <c r="C175" s="461" t="s">
        <v>76</v>
      </c>
      <c r="D175" s="462" t="s">
        <v>69</v>
      </c>
      <c r="E175" s="462" t="s">
        <v>61</v>
      </c>
      <c r="F175" s="463" t="s">
        <v>341</v>
      </c>
      <c r="G175" s="193" t="s">
        <v>153</v>
      </c>
      <c r="H175" s="369">
        <f>'прил12(ведом 20)'!M537</f>
        <v>171</v>
      </c>
    </row>
    <row r="176" spans="1:8" ht="34.15" customHeight="1">
      <c r="A176" s="355"/>
      <c r="B176" s="368" t="s">
        <v>354</v>
      </c>
      <c r="C176" s="461" t="s">
        <v>76</v>
      </c>
      <c r="D176" s="462" t="s">
        <v>69</v>
      </c>
      <c r="E176" s="462" t="s">
        <v>63</v>
      </c>
      <c r="F176" s="463" t="s">
        <v>68</v>
      </c>
      <c r="G176" s="193"/>
      <c r="H176" s="369">
        <f>H177</f>
        <v>597.09999999999991</v>
      </c>
    </row>
    <row r="177" spans="1:8" ht="42" customHeight="1">
      <c r="A177" s="355"/>
      <c r="B177" s="368" t="s">
        <v>258</v>
      </c>
      <c r="C177" s="461" t="s">
        <v>76</v>
      </c>
      <c r="D177" s="462" t="s">
        <v>69</v>
      </c>
      <c r="E177" s="462" t="s">
        <v>63</v>
      </c>
      <c r="F177" s="463" t="s">
        <v>355</v>
      </c>
      <c r="G177" s="193"/>
      <c r="H177" s="369">
        <f>SUM(H178:H179)</f>
        <v>597.09999999999991</v>
      </c>
    </row>
    <row r="178" spans="1:8" ht="93.75">
      <c r="A178" s="355"/>
      <c r="B178" s="207" t="s">
        <v>73</v>
      </c>
      <c r="C178" s="461" t="s">
        <v>76</v>
      </c>
      <c r="D178" s="462" t="s">
        <v>69</v>
      </c>
      <c r="E178" s="462" t="s">
        <v>63</v>
      </c>
      <c r="F178" s="463" t="s">
        <v>355</v>
      </c>
      <c r="G178" s="193" t="s">
        <v>74</v>
      </c>
      <c r="H178" s="369">
        <f>'прил12(ведом 20)'!M557</f>
        <v>549.79999999999995</v>
      </c>
    </row>
    <row r="179" spans="1:8" ht="37.5">
      <c r="A179" s="355"/>
      <c r="B179" s="368" t="s">
        <v>79</v>
      </c>
      <c r="C179" s="461" t="s">
        <v>76</v>
      </c>
      <c r="D179" s="462" t="s">
        <v>69</v>
      </c>
      <c r="E179" s="462" t="s">
        <v>63</v>
      </c>
      <c r="F179" s="463" t="s">
        <v>355</v>
      </c>
      <c r="G179" s="193" t="s">
        <v>80</v>
      </c>
      <c r="H179" s="369">
        <f>'прил12(ведом 20)'!M558</f>
        <v>47.3</v>
      </c>
    </row>
    <row r="180" spans="1:8" ht="22.5" customHeight="1">
      <c r="A180" s="355"/>
      <c r="B180" s="368" t="s">
        <v>259</v>
      </c>
      <c r="C180" s="461" t="s">
        <v>76</v>
      </c>
      <c r="D180" s="462" t="s">
        <v>120</v>
      </c>
      <c r="E180" s="462" t="s">
        <v>67</v>
      </c>
      <c r="F180" s="463" t="s">
        <v>68</v>
      </c>
      <c r="G180" s="353"/>
      <c r="H180" s="369">
        <f>H181+H186</f>
        <v>29390.3</v>
      </c>
    </row>
    <row r="181" spans="1:8" ht="37.5">
      <c r="A181" s="355"/>
      <c r="B181" s="368" t="s">
        <v>344</v>
      </c>
      <c r="C181" s="461" t="s">
        <v>76</v>
      </c>
      <c r="D181" s="462" t="s">
        <v>120</v>
      </c>
      <c r="E181" s="462" t="s">
        <v>61</v>
      </c>
      <c r="F181" s="463" t="s">
        <v>68</v>
      </c>
      <c r="G181" s="193"/>
      <c r="H181" s="369">
        <f>H182</f>
        <v>2437.1</v>
      </c>
    </row>
    <row r="182" spans="1:8" ht="37.5">
      <c r="A182" s="355"/>
      <c r="B182" s="368" t="s">
        <v>71</v>
      </c>
      <c r="C182" s="461" t="s">
        <v>76</v>
      </c>
      <c r="D182" s="462" t="s">
        <v>120</v>
      </c>
      <c r="E182" s="462" t="s">
        <v>61</v>
      </c>
      <c r="F182" s="463" t="s">
        <v>72</v>
      </c>
      <c r="G182" s="193"/>
      <c r="H182" s="369">
        <f>SUM(H183:H185)</f>
        <v>2437.1</v>
      </c>
    </row>
    <row r="183" spans="1:8" ht="93.75">
      <c r="A183" s="355"/>
      <c r="B183" s="368" t="s">
        <v>73</v>
      </c>
      <c r="C183" s="461" t="s">
        <v>76</v>
      </c>
      <c r="D183" s="462" t="s">
        <v>120</v>
      </c>
      <c r="E183" s="462" t="s">
        <v>61</v>
      </c>
      <c r="F183" s="463" t="s">
        <v>72</v>
      </c>
      <c r="G183" s="193" t="s">
        <v>74</v>
      </c>
      <c r="H183" s="369">
        <f>'прил12(ведом 20)'!M568</f>
        <v>2348.3000000000002</v>
      </c>
    </row>
    <row r="184" spans="1:8" ht="37.5">
      <c r="A184" s="355"/>
      <c r="B184" s="368" t="s">
        <v>79</v>
      </c>
      <c r="C184" s="461" t="s">
        <v>76</v>
      </c>
      <c r="D184" s="462" t="s">
        <v>120</v>
      </c>
      <c r="E184" s="462" t="s">
        <v>61</v>
      </c>
      <c r="F184" s="463" t="s">
        <v>72</v>
      </c>
      <c r="G184" s="193" t="s">
        <v>80</v>
      </c>
      <c r="H184" s="369">
        <f>'прил12(ведом 20)'!M569</f>
        <v>86.6</v>
      </c>
    </row>
    <row r="185" spans="1:8" ht="18.75">
      <c r="A185" s="355"/>
      <c r="B185" s="368" t="s">
        <v>81</v>
      </c>
      <c r="C185" s="461" t="s">
        <v>76</v>
      </c>
      <c r="D185" s="462" t="s">
        <v>120</v>
      </c>
      <c r="E185" s="462" t="s">
        <v>61</v>
      </c>
      <c r="F185" s="463" t="s">
        <v>72</v>
      </c>
      <c r="G185" s="193" t="s">
        <v>82</v>
      </c>
      <c r="H185" s="369">
        <f>'прил12(ведом 20)'!M570</f>
        <v>2.2000000000000002</v>
      </c>
    </row>
    <row r="186" spans="1:8" ht="18.75">
      <c r="A186" s="355"/>
      <c r="B186" s="368" t="s">
        <v>469</v>
      </c>
      <c r="C186" s="461" t="s">
        <v>76</v>
      </c>
      <c r="D186" s="462" t="s">
        <v>120</v>
      </c>
      <c r="E186" s="462" t="s">
        <v>63</v>
      </c>
      <c r="F186" s="463" t="s">
        <v>68</v>
      </c>
      <c r="G186" s="193"/>
      <c r="H186" s="369">
        <f>H187+H191+H193</f>
        <v>26953.200000000001</v>
      </c>
    </row>
    <row r="187" spans="1:8" ht="75">
      <c r="A187" s="355"/>
      <c r="B187" s="368" t="s">
        <v>121</v>
      </c>
      <c r="C187" s="461" t="s">
        <v>76</v>
      </c>
      <c r="D187" s="462" t="s">
        <v>120</v>
      </c>
      <c r="E187" s="462" t="s">
        <v>63</v>
      </c>
      <c r="F187" s="463" t="s">
        <v>123</v>
      </c>
      <c r="G187" s="193"/>
      <c r="H187" s="369">
        <f>SUM(H188:H190)</f>
        <v>24154.400000000001</v>
      </c>
    </row>
    <row r="188" spans="1:8" ht="93.75">
      <c r="A188" s="355"/>
      <c r="B188" s="368" t="s">
        <v>73</v>
      </c>
      <c r="C188" s="461" t="s">
        <v>76</v>
      </c>
      <c r="D188" s="462" t="s">
        <v>120</v>
      </c>
      <c r="E188" s="462" t="s">
        <v>63</v>
      </c>
      <c r="F188" s="463" t="s">
        <v>123</v>
      </c>
      <c r="G188" s="193" t="s">
        <v>74</v>
      </c>
      <c r="H188" s="369">
        <f>'прил12(ведом 20)'!M541</f>
        <v>20690</v>
      </c>
    </row>
    <row r="189" spans="1:8" ht="37.5">
      <c r="A189" s="355"/>
      <c r="B189" s="368" t="s">
        <v>79</v>
      </c>
      <c r="C189" s="461" t="s">
        <v>76</v>
      </c>
      <c r="D189" s="462" t="s">
        <v>120</v>
      </c>
      <c r="E189" s="462" t="s">
        <v>63</v>
      </c>
      <c r="F189" s="463" t="s">
        <v>123</v>
      </c>
      <c r="G189" s="193" t="s">
        <v>80</v>
      </c>
      <c r="H189" s="369">
        <f>'прил12(ведом 20)'!M542</f>
        <v>3395.4</v>
      </c>
    </row>
    <row r="190" spans="1:8" ht="18.75">
      <c r="A190" s="355"/>
      <c r="B190" s="368" t="s">
        <v>81</v>
      </c>
      <c r="C190" s="461" t="s">
        <v>76</v>
      </c>
      <c r="D190" s="462" t="s">
        <v>120</v>
      </c>
      <c r="E190" s="462" t="s">
        <v>63</v>
      </c>
      <c r="F190" s="463" t="s">
        <v>123</v>
      </c>
      <c r="G190" s="193" t="s">
        <v>82</v>
      </c>
      <c r="H190" s="369">
        <f>'прил12(ведом 20)'!M543</f>
        <v>69</v>
      </c>
    </row>
    <row r="191" spans="1:8" ht="37.5">
      <c r="A191" s="355"/>
      <c r="B191" s="207" t="s">
        <v>516</v>
      </c>
      <c r="C191" s="461" t="s">
        <v>76</v>
      </c>
      <c r="D191" s="462" t="s">
        <v>120</v>
      </c>
      <c r="E191" s="462" t="s">
        <v>63</v>
      </c>
      <c r="F191" s="463" t="s">
        <v>515</v>
      </c>
      <c r="G191" s="193"/>
      <c r="H191" s="369">
        <f>H192</f>
        <v>1901</v>
      </c>
    </row>
    <row r="192" spans="1:8" ht="37.5">
      <c r="A192" s="355"/>
      <c r="B192" s="207" t="s">
        <v>79</v>
      </c>
      <c r="C192" s="461" t="s">
        <v>76</v>
      </c>
      <c r="D192" s="462" t="s">
        <v>120</v>
      </c>
      <c r="E192" s="462" t="s">
        <v>63</v>
      </c>
      <c r="F192" s="463" t="s">
        <v>515</v>
      </c>
      <c r="G192" s="193" t="s">
        <v>80</v>
      </c>
      <c r="H192" s="369">
        <f>'прил12(ведом 20)'!M545</f>
        <v>1901</v>
      </c>
    </row>
    <row r="193" spans="1:8" ht="58.15" customHeight="1">
      <c r="A193" s="355"/>
      <c r="B193" s="634" t="s">
        <v>874</v>
      </c>
      <c r="C193" s="461" t="s">
        <v>76</v>
      </c>
      <c r="D193" s="462" t="s">
        <v>120</v>
      </c>
      <c r="E193" s="462" t="s">
        <v>63</v>
      </c>
      <c r="F193" s="463" t="s">
        <v>643</v>
      </c>
      <c r="G193" s="193"/>
      <c r="H193" s="369">
        <f>H194</f>
        <v>897.8</v>
      </c>
    </row>
    <row r="194" spans="1:8" ht="93.75">
      <c r="A194" s="355"/>
      <c r="B194" s="207" t="s">
        <v>73</v>
      </c>
      <c r="C194" s="461" t="s">
        <v>76</v>
      </c>
      <c r="D194" s="462" t="s">
        <v>120</v>
      </c>
      <c r="E194" s="462" t="s">
        <v>63</v>
      </c>
      <c r="F194" s="463" t="s">
        <v>643</v>
      </c>
      <c r="G194" s="193" t="s">
        <v>74</v>
      </c>
      <c r="H194" s="369">
        <f>'прил12(ведом 20)'!M547</f>
        <v>897.8</v>
      </c>
    </row>
    <row r="195" spans="1:8" ht="25.5" customHeight="1">
      <c r="A195" s="355"/>
      <c r="B195" s="207" t="s">
        <v>428</v>
      </c>
      <c r="C195" s="461" t="s">
        <v>76</v>
      </c>
      <c r="D195" s="462" t="s">
        <v>55</v>
      </c>
      <c r="E195" s="462" t="s">
        <v>67</v>
      </c>
      <c r="F195" s="463" t="s">
        <v>68</v>
      </c>
      <c r="G195" s="193"/>
      <c r="H195" s="369">
        <f>H196+H199</f>
        <v>8142.7613700000002</v>
      </c>
    </row>
    <row r="196" spans="1:8" ht="56.25">
      <c r="A196" s="355"/>
      <c r="B196" s="207" t="s">
        <v>644</v>
      </c>
      <c r="C196" s="461" t="s">
        <v>76</v>
      </c>
      <c r="D196" s="462" t="s">
        <v>55</v>
      </c>
      <c r="E196" s="462" t="s">
        <v>89</v>
      </c>
      <c r="F196" s="463" t="s">
        <v>68</v>
      </c>
      <c r="G196" s="193"/>
      <c r="H196" s="369">
        <f>H197</f>
        <v>7242.7613700000002</v>
      </c>
    </row>
    <row r="197" spans="1:8" ht="41.25" customHeight="1">
      <c r="A197" s="355"/>
      <c r="B197" s="207" t="s">
        <v>258</v>
      </c>
      <c r="C197" s="461" t="s">
        <v>76</v>
      </c>
      <c r="D197" s="462" t="s">
        <v>55</v>
      </c>
      <c r="E197" s="462" t="s">
        <v>89</v>
      </c>
      <c r="F197" s="463" t="s">
        <v>355</v>
      </c>
      <c r="G197" s="193"/>
      <c r="H197" s="369">
        <f>H198</f>
        <v>7242.7613700000002</v>
      </c>
    </row>
    <row r="198" spans="1:8" ht="37.5">
      <c r="A198" s="355"/>
      <c r="B198" s="207" t="s">
        <v>242</v>
      </c>
      <c r="C198" s="461" t="s">
        <v>76</v>
      </c>
      <c r="D198" s="462" t="s">
        <v>55</v>
      </c>
      <c r="E198" s="462" t="s">
        <v>89</v>
      </c>
      <c r="F198" s="463" t="s">
        <v>355</v>
      </c>
      <c r="G198" s="193" t="s">
        <v>243</v>
      </c>
      <c r="H198" s="369">
        <f>'прил12(ведом 20)'!M551+'прил12(ведом 20)'!M329</f>
        <v>7242.7613700000002</v>
      </c>
    </row>
    <row r="199" spans="1:8" ht="75">
      <c r="A199" s="355"/>
      <c r="B199" s="207" t="s">
        <v>490</v>
      </c>
      <c r="C199" s="735" t="s">
        <v>76</v>
      </c>
      <c r="D199" s="736" t="s">
        <v>55</v>
      </c>
      <c r="E199" s="736" t="s">
        <v>76</v>
      </c>
      <c r="F199" s="737" t="s">
        <v>68</v>
      </c>
      <c r="G199" s="193"/>
      <c r="H199" s="369">
        <f>H200</f>
        <v>900</v>
      </c>
    </row>
    <row r="200" spans="1:8" ht="37.5">
      <c r="A200" s="355"/>
      <c r="B200" s="207" t="s">
        <v>103</v>
      </c>
      <c r="C200" s="735" t="s">
        <v>76</v>
      </c>
      <c r="D200" s="736" t="s">
        <v>55</v>
      </c>
      <c r="E200" s="736" t="s">
        <v>76</v>
      </c>
      <c r="F200" s="737" t="s">
        <v>104</v>
      </c>
      <c r="G200" s="193"/>
      <c r="H200" s="369">
        <f>H201</f>
        <v>900</v>
      </c>
    </row>
    <row r="201" spans="1:8" ht="56.25">
      <c r="A201" s="355"/>
      <c r="B201" s="207" t="s">
        <v>105</v>
      </c>
      <c r="C201" s="735" t="s">
        <v>76</v>
      </c>
      <c r="D201" s="736" t="s">
        <v>55</v>
      </c>
      <c r="E201" s="736" t="s">
        <v>76</v>
      </c>
      <c r="F201" s="737" t="s">
        <v>104</v>
      </c>
      <c r="G201" s="193" t="s">
        <v>106</v>
      </c>
      <c r="H201" s="369">
        <f>'прил12(ведом 20)'!M562</f>
        <v>900</v>
      </c>
    </row>
    <row r="202" spans="1:8" ht="18.75">
      <c r="A202" s="355"/>
      <c r="B202" s="377"/>
      <c r="C202" s="458"/>
      <c r="D202" s="459"/>
      <c r="E202" s="459"/>
      <c r="F202" s="460"/>
      <c r="G202" s="353"/>
      <c r="H202" s="369"/>
    </row>
    <row r="203" spans="1:8" s="367" customFormat="1" ht="56.25">
      <c r="A203" s="378">
        <v>4</v>
      </c>
      <c r="B203" s="362" t="s">
        <v>260</v>
      </c>
      <c r="C203" s="363" t="s">
        <v>91</v>
      </c>
      <c r="D203" s="363" t="s">
        <v>66</v>
      </c>
      <c r="E203" s="363" t="s">
        <v>67</v>
      </c>
      <c r="F203" s="364" t="s">
        <v>68</v>
      </c>
      <c r="G203" s="365"/>
      <c r="H203" s="366">
        <f>H204+H212</f>
        <v>6124.5196599999999</v>
      </c>
    </row>
    <row r="204" spans="1:8" s="367" customFormat="1" ht="18.75">
      <c r="A204" s="355"/>
      <c r="B204" s="368" t="s">
        <v>261</v>
      </c>
      <c r="C204" s="461" t="s">
        <v>91</v>
      </c>
      <c r="D204" s="462" t="s">
        <v>69</v>
      </c>
      <c r="E204" s="462" t="s">
        <v>67</v>
      </c>
      <c r="F204" s="463" t="s">
        <v>68</v>
      </c>
      <c r="G204" s="353"/>
      <c r="H204" s="369">
        <f>H205</f>
        <v>3146.7196600000007</v>
      </c>
    </row>
    <row r="205" spans="1:8" s="367" customFormat="1" ht="75">
      <c r="A205" s="355"/>
      <c r="B205" s="368" t="s">
        <v>350</v>
      </c>
      <c r="C205" s="461" t="s">
        <v>91</v>
      </c>
      <c r="D205" s="462" t="s">
        <v>69</v>
      </c>
      <c r="E205" s="462" t="s">
        <v>61</v>
      </c>
      <c r="F205" s="463" t="s">
        <v>68</v>
      </c>
      <c r="G205" s="193"/>
      <c r="H205" s="369">
        <f>H206+H210</f>
        <v>3146.7196600000007</v>
      </c>
    </row>
    <row r="206" spans="1:8" ht="75">
      <c r="A206" s="355"/>
      <c r="B206" s="368" t="s">
        <v>121</v>
      </c>
      <c r="C206" s="461" t="s">
        <v>91</v>
      </c>
      <c r="D206" s="462" t="s">
        <v>69</v>
      </c>
      <c r="E206" s="462" t="s">
        <v>61</v>
      </c>
      <c r="F206" s="463" t="s">
        <v>123</v>
      </c>
      <c r="G206" s="193"/>
      <c r="H206" s="369">
        <f>H207+H208+H209</f>
        <v>2743.9196600000005</v>
      </c>
    </row>
    <row r="207" spans="1:8" ht="93.75">
      <c r="A207" s="355"/>
      <c r="B207" s="368" t="s">
        <v>73</v>
      </c>
      <c r="C207" s="461" t="s">
        <v>91</v>
      </c>
      <c r="D207" s="462" t="s">
        <v>69</v>
      </c>
      <c r="E207" s="462" t="s">
        <v>61</v>
      </c>
      <c r="F207" s="463" t="s">
        <v>123</v>
      </c>
      <c r="G207" s="193" t="s">
        <v>74</v>
      </c>
      <c r="H207" s="369">
        <f>'прил12(ведом 20)'!M579</f>
        <v>2380.4</v>
      </c>
    </row>
    <row r="208" spans="1:8" ht="37.5">
      <c r="A208" s="355"/>
      <c r="B208" s="368" t="s">
        <v>79</v>
      </c>
      <c r="C208" s="461" t="s">
        <v>91</v>
      </c>
      <c r="D208" s="462" t="s">
        <v>69</v>
      </c>
      <c r="E208" s="462" t="s">
        <v>61</v>
      </c>
      <c r="F208" s="463" t="s">
        <v>123</v>
      </c>
      <c r="G208" s="193" t="s">
        <v>80</v>
      </c>
      <c r="H208" s="369">
        <f>'прил12(ведом 20)'!M580</f>
        <v>361.71966000000009</v>
      </c>
    </row>
    <row r="209" spans="1:8" ht="18.75">
      <c r="A209" s="355"/>
      <c r="B209" s="207" t="s">
        <v>81</v>
      </c>
      <c r="C209" s="754" t="s">
        <v>91</v>
      </c>
      <c r="D209" s="755" t="s">
        <v>69</v>
      </c>
      <c r="E209" s="755" t="s">
        <v>61</v>
      </c>
      <c r="F209" s="756" t="s">
        <v>123</v>
      </c>
      <c r="G209" s="193" t="s">
        <v>82</v>
      </c>
      <c r="H209" s="369">
        <f>'прил12(ведом 20)'!M581</f>
        <v>1.8</v>
      </c>
    </row>
    <row r="210" spans="1:8" ht="37.5">
      <c r="A210" s="355"/>
      <c r="B210" s="368" t="s">
        <v>351</v>
      </c>
      <c r="C210" s="461" t="s">
        <v>91</v>
      </c>
      <c r="D210" s="462" t="s">
        <v>69</v>
      </c>
      <c r="E210" s="462" t="s">
        <v>61</v>
      </c>
      <c r="F210" s="463" t="s">
        <v>352</v>
      </c>
      <c r="G210" s="193"/>
      <c r="H210" s="369">
        <f>H211</f>
        <v>402.79999999999995</v>
      </c>
    </row>
    <row r="211" spans="1:8" ht="37.5">
      <c r="A211" s="355"/>
      <c r="B211" s="368" t="s">
        <v>79</v>
      </c>
      <c r="C211" s="461" t="s">
        <v>91</v>
      </c>
      <c r="D211" s="462" t="s">
        <v>69</v>
      </c>
      <c r="E211" s="462" t="s">
        <v>61</v>
      </c>
      <c r="F211" s="463" t="s">
        <v>352</v>
      </c>
      <c r="G211" s="193" t="s">
        <v>80</v>
      </c>
      <c r="H211" s="369">
        <f>'прил12(ведом 20)'!M583</f>
        <v>402.79999999999995</v>
      </c>
    </row>
    <row r="212" spans="1:8" s="367" customFormat="1" ht="24" customHeight="1">
      <c r="A212" s="355"/>
      <c r="B212" s="368" t="s">
        <v>259</v>
      </c>
      <c r="C212" s="461" t="s">
        <v>91</v>
      </c>
      <c r="D212" s="462" t="s">
        <v>120</v>
      </c>
      <c r="E212" s="462" t="s">
        <v>67</v>
      </c>
      <c r="F212" s="463" t="s">
        <v>68</v>
      </c>
      <c r="G212" s="193"/>
      <c r="H212" s="369">
        <f>H213</f>
        <v>2977.7999999999997</v>
      </c>
    </row>
    <row r="213" spans="1:8" s="367" customFormat="1" ht="37.5">
      <c r="A213" s="355"/>
      <c r="B213" s="368" t="s">
        <v>344</v>
      </c>
      <c r="C213" s="461" t="s">
        <v>91</v>
      </c>
      <c r="D213" s="462" t="s">
        <v>120</v>
      </c>
      <c r="E213" s="462" t="s">
        <v>61</v>
      </c>
      <c r="F213" s="463" t="s">
        <v>68</v>
      </c>
      <c r="G213" s="193"/>
      <c r="H213" s="369">
        <f>H214</f>
        <v>2977.7999999999997</v>
      </c>
    </row>
    <row r="214" spans="1:8" s="367" customFormat="1" ht="37.5">
      <c r="A214" s="355"/>
      <c r="B214" s="368" t="s">
        <v>71</v>
      </c>
      <c r="C214" s="461" t="s">
        <v>91</v>
      </c>
      <c r="D214" s="462" t="s">
        <v>120</v>
      </c>
      <c r="E214" s="462" t="s">
        <v>61</v>
      </c>
      <c r="F214" s="463" t="s">
        <v>72</v>
      </c>
      <c r="G214" s="193"/>
      <c r="H214" s="369">
        <f>SUM(H215:H217)</f>
        <v>2977.7999999999997</v>
      </c>
    </row>
    <row r="215" spans="1:8" s="367" customFormat="1" ht="93.75">
      <c r="A215" s="355"/>
      <c r="B215" s="368" t="s">
        <v>73</v>
      </c>
      <c r="C215" s="461" t="s">
        <v>91</v>
      </c>
      <c r="D215" s="462" t="s">
        <v>120</v>
      </c>
      <c r="E215" s="462" t="s">
        <v>61</v>
      </c>
      <c r="F215" s="463" t="s">
        <v>72</v>
      </c>
      <c r="G215" s="193" t="s">
        <v>74</v>
      </c>
      <c r="H215" s="369">
        <f>'прил12(ведом 20)'!M589</f>
        <v>2630.7</v>
      </c>
    </row>
    <row r="216" spans="1:8" ht="37.5">
      <c r="A216" s="355"/>
      <c r="B216" s="368" t="s">
        <v>79</v>
      </c>
      <c r="C216" s="461" t="s">
        <v>91</v>
      </c>
      <c r="D216" s="462" t="s">
        <v>120</v>
      </c>
      <c r="E216" s="462" t="s">
        <v>61</v>
      </c>
      <c r="F216" s="463" t="s">
        <v>72</v>
      </c>
      <c r="G216" s="193" t="s">
        <v>80</v>
      </c>
      <c r="H216" s="369">
        <f>'прил12(ведом 20)'!M590</f>
        <v>343.5</v>
      </c>
    </row>
    <row r="217" spans="1:8" ht="18.75">
      <c r="A217" s="355"/>
      <c r="B217" s="368" t="s">
        <v>81</v>
      </c>
      <c r="C217" s="461" t="s">
        <v>91</v>
      </c>
      <c r="D217" s="462" t="s">
        <v>120</v>
      </c>
      <c r="E217" s="462" t="s">
        <v>61</v>
      </c>
      <c r="F217" s="463" t="s">
        <v>72</v>
      </c>
      <c r="G217" s="193" t="s">
        <v>82</v>
      </c>
      <c r="H217" s="369">
        <f>'прил12(ведом 20)'!M591</f>
        <v>3.6</v>
      </c>
    </row>
    <row r="218" spans="1:8" ht="18.75">
      <c r="A218" s="355"/>
      <c r="B218" s="377"/>
      <c r="C218" s="459"/>
      <c r="D218" s="459"/>
      <c r="E218" s="389"/>
      <c r="F218" s="390"/>
      <c r="G218" s="353"/>
      <c r="H218" s="369"/>
    </row>
    <row r="219" spans="1:8" s="367" customFormat="1" ht="56.25">
      <c r="A219" s="378">
        <v>5</v>
      </c>
      <c r="B219" s="362" t="s">
        <v>110</v>
      </c>
      <c r="C219" s="379" t="s">
        <v>111</v>
      </c>
      <c r="D219" s="379" t="s">
        <v>66</v>
      </c>
      <c r="E219" s="379" t="s">
        <v>67</v>
      </c>
      <c r="F219" s="380" t="s">
        <v>68</v>
      </c>
      <c r="G219" s="365"/>
      <c r="H219" s="366">
        <f>H230+H220+H239</f>
        <v>13480.2</v>
      </c>
    </row>
    <row r="220" spans="1:8" ht="56.25">
      <c r="A220" s="355"/>
      <c r="B220" s="381" t="s">
        <v>112</v>
      </c>
      <c r="C220" s="461" t="s">
        <v>111</v>
      </c>
      <c r="D220" s="462" t="s">
        <v>69</v>
      </c>
      <c r="E220" s="462" t="s">
        <v>67</v>
      </c>
      <c r="F220" s="463" t="s">
        <v>68</v>
      </c>
      <c r="G220" s="353"/>
      <c r="H220" s="369">
        <f>H221</f>
        <v>3447.8</v>
      </c>
    </row>
    <row r="221" spans="1:8" ht="75">
      <c r="A221" s="355"/>
      <c r="B221" s="368" t="s">
        <v>113</v>
      </c>
      <c r="C221" s="461" t="s">
        <v>111</v>
      </c>
      <c r="D221" s="462" t="s">
        <v>69</v>
      </c>
      <c r="E221" s="462" t="s">
        <v>61</v>
      </c>
      <c r="F221" s="463" t="s">
        <v>68</v>
      </c>
      <c r="G221" s="193"/>
      <c r="H221" s="369">
        <f>H222+H224+H226+H228</f>
        <v>3447.8</v>
      </c>
    </row>
    <row r="222" spans="1:8" ht="75">
      <c r="A222" s="355"/>
      <c r="B222" s="381" t="s">
        <v>114</v>
      </c>
      <c r="C222" s="461" t="s">
        <v>111</v>
      </c>
      <c r="D222" s="462" t="s">
        <v>69</v>
      </c>
      <c r="E222" s="462" t="s">
        <v>61</v>
      </c>
      <c r="F222" s="463" t="s">
        <v>115</v>
      </c>
      <c r="G222" s="193"/>
      <c r="H222" s="369">
        <f>H223</f>
        <v>298.39999999999998</v>
      </c>
    </row>
    <row r="223" spans="1:8" ht="37.5">
      <c r="A223" s="355"/>
      <c r="B223" s="368" t="s">
        <v>79</v>
      </c>
      <c r="C223" s="461" t="s">
        <v>111</v>
      </c>
      <c r="D223" s="462" t="s">
        <v>69</v>
      </c>
      <c r="E223" s="462" t="s">
        <v>61</v>
      </c>
      <c r="F223" s="463" t="s">
        <v>115</v>
      </c>
      <c r="G223" s="193" t="s">
        <v>80</v>
      </c>
      <c r="H223" s="369">
        <f>'прил12(ведом 20)'!M94</f>
        <v>298.39999999999998</v>
      </c>
    </row>
    <row r="224" spans="1:8" ht="41.25" customHeight="1">
      <c r="A224" s="355"/>
      <c r="B224" s="368" t="s">
        <v>116</v>
      </c>
      <c r="C224" s="461" t="s">
        <v>111</v>
      </c>
      <c r="D224" s="462" t="s">
        <v>69</v>
      </c>
      <c r="E224" s="462" t="s">
        <v>61</v>
      </c>
      <c r="F224" s="463" t="s">
        <v>117</v>
      </c>
      <c r="G224" s="193"/>
      <c r="H224" s="369">
        <f>H225</f>
        <v>180.1</v>
      </c>
    </row>
    <row r="225" spans="1:8" ht="37.5">
      <c r="A225" s="355"/>
      <c r="B225" s="368" t="s">
        <v>79</v>
      </c>
      <c r="C225" s="461" t="s">
        <v>111</v>
      </c>
      <c r="D225" s="462" t="s">
        <v>69</v>
      </c>
      <c r="E225" s="462" t="s">
        <v>61</v>
      </c>
      <c r="F225" s="463" t="s">
        <v>117</v>
      </c>
      <c r="G225" s="193" t="s">
        <v>80</v>
      </c>
      <c r="H225" s="369">
        <f>'прил12(ведом 20)'!M96</f>
        <v>180.1</v>
      </c>
    </row>
    <row r="226" spans="1:8" ht="76.5" customHeight="1">
      <c r="A226" s="355"/>
      <c r="B226" s="368" t="s">
        <v>429</v>
      </c>
      <c r="C226" s="461" t="s">
        <v>111</v>
      </c>
      <c r="D226" s="462" t="s">
        <v>69</v>
      </c>
      <c r="E226" s="462" t="s">
        <v>61</v>
      </c>
      <c r="F226" s="463" t="s">
        <v>417</v>
      </c>
      <c r="G226" s="193"/>
      <c r="H226" s="369">
        <f>H227</f>
        <v>2956.9</v>
      </c>
    </row>
    <row r="227" spans="1:8" ht="18.75">
      <c r="A227" s="355"/>
      <c r="B227" s="368" t="s">
        <v>155</v>
      </c>
      <c r="C227" s="461" t="s">
        <v>111</v>
      </c>
      <c r="D227" s="462" t="s">
        <v>69</v>
      </c>
      <c r="E227" s="462" t="s">
        <v>61</v>
      </c>
      <c r="F227" s="463" t="s">
        <v>417</v>
      </c>
      <c r="G227" s="193" t="s">
        <v>156</v>
      </c>
      <c r="H227" s="369">
        <f>'прил12(ведом 20)'!M98</f>
        <v>2956.9</v>
      </c>
    </row>
    <row r="228" spans="1:8" ht="112.5">
      <c r="A228" s="355"/>
      <c r="B228" s="368" t="s">
        <v>431</v>
      </c>
      <c r="C228" s="461" t="s">
        <v>111</v>
      </c>
      <c r="D228" s="462" t="s">
        <v>69</v>
      </c>
      <c r="E228" s="462" t="s">
        <v>61</v>
      </c>
      <c r="F228" s="463" t="s">
        <v>418</v>
      </c>
      <c r="G228" s="193"/>
      <c r="H228" s="369">
        <f>H229</f>
        <v>12.4</v>
      </c>
    </row>
    <row r="229" spans="1:8" ht="18.75">
      <c r="A229" s="355"/>
      <c r="B229" s="368" t="s">
        <v>155</v>
      </c>
      <c r="C229" s="461" t="s">
        <v>111</v>
      </c>
      <c r="D229" s="462" t="s">
        <v>69</v>
      </c>
      <c r="E229" s="462" t="s">
        <v>61</v>
      </c>
      <c r="F229" s="463" t="s">
        <v>418</v>
      </c>
      <c r="G229" s="193" t="s">
        <v>156</v>
      </c>
      <c r="H229" s="369">
        <f>'прил12(ведом 20)'!M100</f>
        <v>12.4</v>
      </c>
    </row>
    <row r="230" spans="1:8" ht="37.5">
      <c r="A230" s="355"/>
      <c r="B230" s="392" t="s">
        <v>157</v>
      </c>
      <c r="C230" s="461" t="s">
        <v>111</v>
      </c>
      <c r="D230" s="462" t="s">
        <v>120</v>
      </c>
      <c r="E230" s="462" t="s">
        <v>67</v>
      </c>
      <c r="F230" s="463" t="s">
        <v>68</v>
      </c>
      <c r="G230" s="353"/>
      <c r="H230" s="369">
        <f>H231+H236</f>
        <v>1155.6000000000001</v>
      </c>
    </row>
    <row r="231" spans="1:8" ht="37.5">
      <c r="A231" s="355"/>
      <c r="B231" s="368" t="s">
        <v>333</v>
      </c>
      <c r="C231" s="461" t="s">
        <v>111</v>
      </c>
      <c r="D231" s="462" t="s">
        <v>120</v>
      </c>
      <c r="E231" s="462" t="s">
        <v>61</v>
      </c>
      <c r="F231" s="463" t="s">
        <v>68</v>
      </c>
      <c r="G231" s="193"/>
      <c r="H231" s="369">
        <f>H232+H234</f>
        <v>788.40000000000009</v>
      </c>
    </row>
    <row r="232" spans="1:8" ht="37.5">
      <c r="A232" s="355"/>
      <c r="B232" s="368" t="s">
        <v>159</v>
      </c>
      <c r="C232" s="461" t="s">
        <v>111</v>
      </c>
      <c r="D232" s="462" t="s">
        <v>120</v>
      </c>
      <c r="E232" s="462" t="s">
        <v>61</v>
      </c>
      <c r="F232" s="463" t="s">
        <v>122</v>
      </c>
      <c r="G232" s="193"/>
      <c r="H232" s="369">
        <f>SUM(H233:H233)</f>
        <v>665.7</v>
      </c>
    </row>
    <row r="233" spans="1:8" ht="37.5">
      <c r="A233" s="355"/>
      <c r="B233" s="368" t="s">
        <v>79</v>
      </c>
      <c r="C233" s="461" t="s">
        <v>111</v>
      </c>
      <c r="D233" s="462" t="s">
        <v>120</v>
      </c>
      <c r="E233" s="462" t="s">
        <v>61</v>
      </c>
      <c r="F233" s="463" t="s">
        <v>122</v>
      </c>
      <c r="G233" s="193" t="s">
        <v>80</v>
      </c>
      <c r="H233" s="369">
        <f>'прил12(ведом 20)'!M106</f>
        <v>665.7</v>
      </c>
    </row>
    <row r="234" spans="1:8" ht="93.75">
      <c r="A234" s="355"/>
      <c r="B234" s="392" t="s">
        <v>430</v>
      </c>
      <c r="C234" s="461" t="s">
        <v>111</v>
      </c>
      <c r="D234" s="462" t="s">
        <v>120</v>
      </c>
      <c r="E234" s="462" t="s">
        <v>61</v>
      </c>
      <c r="F234" s="463" t="s">
        <v>419</v>
      </c>
      <c r="G234" s="193"/>
      <c r="H234" s="369">
        <f>H235</f>
        <v>122.7</v>
      </c>
    </row>
    <row r="235" spans="1:8" ht="18.75">
      <c r="A235" s="355"/>
      <c r="B235" s="392" t="s">
        <v>155</v>
      </c>
      <c r="C235" s="461" t="s">
        <v>111</v>
      </c>
      <c r="D235" s="462" t="s">
        <v>120</v>
      </c>
      <c r="E235" s="462" t="s">
        <v>61</v>
      </c>
      <c r="F235" s="463" t="s">
        <v>419</v>
      </c>
      <c r="G235" s="193" t="s">
        <v>156</v>
      </c>
      <c r="H235" s="369">
        <f>'прил12(ведом 20)'!M108</f>
        <v>122.7</v>
      </c>
    </row>
    <row r="236" spans="1:8" ht="56.25">
      <c r="A236" s="355"/>
      <c r="B236" s="382" t="s">
        <v>158</v>
      </c>
      <c r="C236" s="461" t="s">
        <v>111</v>
      </c>
      <c r="D236" s="462" t="s">
        <v>120</v>
      </c>
      <c r="E236" s="462" t="s">
        <v>63</v>
      </c>
      <c r="F236" s="463" t="s">
        <v>68</v>
      </c>
      <c r="G236" s="193"/>
      <c r="H236" s="369">
        <f>H237</f>
        <v>367.20000000000005</v>
      </c>
    </row>
    <row r="237" spans="1:8" ht="37.5">
      <c r="A237" s="355"/>
      <c r="B237" s="382" t="s">
        <v>159</v>
      </c>
      <c r="C237" s="461" t="s">
        <v>111</v>
      </c>
      <c r="D237" s="462" t="s">
        <v>120</v>
      </c>
      <c r="E237" s="462" t="s">
        <v>63</v>
      </c>
      <c r="F237" s="463" t="s">
        <v>122</v>
      </c>
      <c r="G237" s="193"/>
      <c r="H237" s="369">
        <f>H238</f>
        <v>367.20000000000005</v>
      </c>
    </row>
    <row r="238" spans="1:8" ht="37.5">
      <c r="A238" s="355"/>
      <c r="B238" s="368" t="s">
        <v>79</v>
      </c>
      <c r="C238" s="461" t="s">
        <v>111</v>
      </c>
      <c r="D238" s="462" t="s">
        <v>120</v>
      </c>
      <c r="E238" s="462" t="s">
        <v>63</v>
      </c>
      <c r="F238" s="463" t="s">
        <v>122</v>
      </c>
      <c r="G238" s="193" t="s">
        <v>80</v>
      </c>
      <c r="H238" s="369">
        <f>'прил12(ведом 20)'!M111</f>
        <v>367.20000000000005</v>
      </c>
    </row>
    <row r="239" spans="1:8" ht="56.25">
      <c r="A239" s="355"/>
      <c r="B239" s="212" t="s">
        <v>481</v>
      </c>
      <c r="C239" s="461" t="s">
        <v>111</v>
      </c>
      <c r="D239" s="462" t="s">
        <v>54</v>
      </c>
      <c r="E239" s="462" t="s">
        <v>67</v>
      </c>
      <c r="F239" s="463" t="s">
        <v>68</v>
      </c>
      <c r="G239" s="193"/>
      <c r="H239" s="369">
        <f>H240</f>
        <v>8876.8000000000011</v>
      </c>
    </row>
    <row r="240" spans="1:8" ht="75">
      <c r="A240" s="355"/>
      <c r="B240" s="382" t="s">
        <v>410</v>
      </c>
      <c r="C240" s="461" t="s">
        <v>111</v>
      </c>
      <c r="D240" s="462" t="s">
        <v>54</v>
      </c>
      <c r="E240" s="462" t="s">
        <v>61</v>
      </c>
      <c r="F240" s="463" t="s">
        <v>68</v>
      </c>
      <c r="G240" s="193"/>
      <c r="H240" s="369">
        <f>H241</f>
        <v>8876.8000000000011</v>
      </c>
    </row>
    <row r="241" spans="1:8" ht="75">
      <c r="A241" s="355"/>
      <c r="B241" s="382" t="s">
        <v>121</v>
      </c>
      <c r="C241" s="461" t="s">
        <v>111</v>
      </c>
      <c r="D241" s="462" t="s">
        <v>54</v>
      </c>
      <c r="E241" s="462" t="s">
        <v>61</v>
      </c>
      <c r="F241" s="463" t="s">
        <v>123</v>
      </c>
      <c r="G241" s="193"/>
      <c r="H241" s="369">
        <f>SUM(H242:H244)</f>
        <v>8876.8000000000011</v>
      </c>
    </row>
    <row r="242" spans="1:8" s="367" customFormat="1" ht="93.75">
      <c r="A242" s="355"/>
      <c r="B242" s="368" t="s">
        <v>73</v>
      </c>
      <c r="C242" s="461" t="s">
        <v>111</v>
      </c>
      <c r="D242" s="462" t="s">
        <v>54</v>
      </c>
      <c r="E242" s="462" t="s">
        <v>61</v>
      </c>
      <c r="F242" s="463" t="s">
        <v>123</v>
      </c>
      <c r="G242" s="193" t="s">
        <v>74</v>
      </c>
      <c r="H242" s="369">
        <f>'прил12(ведом 20)'!M115</f>
        <v>6943.3</v>
      </c>
    </row>
    <row r="243" spans="1:8" ht="37.5">
      <c r="A243" s="355"/>
      <c r="B243" s="368" t="s">
        <v>79</v>
      </c>
      <c r="C243" s="461" t="s">
        <v>111</v>
      </c>
      <c r="D243" s="462" t="s">
        <v>54</v>
      </c>
      <c r="E243" s="462" t="s">
        <v>61</v>
      </c>
      <c r="F243" s="463" t="s">
        <v>123</v>
      </c>
      <c r="G243" s="193" t="s">
        <v>80</v>
      </c>
      <c r="H243" s="369">
        <f>'прил12(ведом 20)'!M116</f>
        <v>1919.9</v>
      </c>
    </row>
    <row r="244" spans="1:8" s="367" customFormat="1" ht="18.75">
      <c r="A244" s="355"/>
      <c r="B244" s="368" t="s">
        <v>81</v>
      </c>
      <c r="C244" s="461" t="s">
        <v>111</v>
      </c>
      <c r="D244" s="462" t="s">
        <v>54</v>
      </c>
      <c r="E244" s="462" t="s">
        <v>61</v>
      </c>
      <c r="F244" s="463" t="s">
        <v>123</v>
      </c>
      <c r="G244" s="193" t="s">
        <v>82</v>
      </c>
      <c r="H244" s="369">
        <f>'прил12(ведом 20)'!M117</f>
        <v>13.6</v>
      </c>
    </row>
    <row r="245" spans="1:8" ht="18.75">
      <c r="A245" s="393"/>
      <c r="B245" s="370"/>
      <c r="C245" s="218"/>
      <c r="D245" s="459"/>
      <c r="E245" s="459"/>
      <c r="F245" s="460"/>
      <c r="G245" s="353"/>
      <c r="H245" s="369"/>
    </row>
    <row r="246" spans="1:8" s="367" customFormat="1" ht="56.25">
      <c r="A246" s="378">
        <v>6</v>
      </c>
      <c r="B246" s="391" t="s">
        <v>262</v>
      </c>
      <c r="C246" s="363" t="s">
        <v>263</v>
      </c>
      <c r="D246" s="363" t="s">
        <v>66</v>
      </c>
      <c r="E246" s="363" t="s">
        <v>67</v>
      </c>
      <c r="F246" s="364" t="s">
        <v>68</v>
      </c>
      <c r="G246" s="365"/>
      <c r="H246" s="366">
        <f>H247</f>
        <v>32039.400000000005</v>
      </c>
    </row>
    <row r="247" spans="1:8" ht="29.25" customHeight="1">
      <c r="A247" s="355"/>
      <c r="B247" s="368" t="s">
        <v>428</v>
      </c>
      <c r="C247" s="215" t="s">
        <v>263</v>
      </c>
      <c r="D247" s="216" t="s">
        <v>69</v>
      </c>
      <c r="E247" s="462" t="s">
        <v>67</v>
      </c>
      <c r="F247" s="463" t="s">
        <v>68</v>
      </c>
      <c r="G247" s="193"/>
      <c r="H247" s="369">
        <f>H248+H253+H256+H259</f>
        <v>32039.400000000005</v>
      </c>
    </row>
    <row r="248" spans="1:8" ht="56.25">
      <c r="A248" s="355"/>
      <c r="B248" s="368" t="s">
        <v>377</v>
      </c>
      <c r="C248" s="215" t="s">
        <v>263</v>
      </c>
      <c r="D248" s="216" t="s">
        <v>69</v>
      </c>
      <c r="E248" s="462" t="s">
        <v>61</v>
      </c>
      <c r="F248" s="463" t="s">
        <v>68</v>
      </c>
      <c r="G248" s="193"/>
      <c r="H248" s="369">
        <f>H249</f>
        <v>24366.000000000004</v>
      </c>
    </row>
    <row r="249" spans="1:8" ht="37.5">
      <c r="A249" s="355"/>
      <c r="B249" s="368" t="s">
        <v>71</v>
      </c>
      <c r="C249" s="215" t="s">
        <v>263</v>
      </c>
      <c r="D249" s="216" t="s">
        <v>69</v>
      </c>
      <c r="E249" s="462" t="s">
        <v>61</v>
      </c>
      <c r="F249" s="463" t="s">
        <v>72</v>
      </c>
      <c r="G249" s="193"/>
      <c r="H249" s="369">
        <f>SUM(H250:H252)</f>
        <v>24366.000000000004</v>
      </c>
    </row>
    <row r="250" spans="1:8" ht="93.75">
      <c r="A250" s="355"/>
      <c r="B250" s="368" t="s">
        <v>73</v>
      </c>
      <c r="C250" s="215" t="s">
        <v>263</v>
      </c>
      <c r="D250" s="216" t="s">
        <v>69</v>
      </c>
      <c r="E250" s="462" t="s">
        <v>61</v>
      </c>
      <c r="F250" s="463" t="s">
        <v>72</v>
      </c>
      <c r="G250" s="193" t="s">
        <v>74</v>
      </c>
      <c r="H250" s="369">
        <f>'прил12(ведом 20)'!M199</f>
        <v>23325.200000000001</v>
      </c>
    </row>
    <row r="251" spans="1:8" ht="37.5">
      <c r="A251" s="355"/>
      <c r="B251" s="368" t="s">
        <v>79</v>
      </c>
      <c r="C251" s="215" t="s">
        <v>263</v>
      </c>
      <c r="D251" s="216" t="s">
        <v>69</v>
      </c>
      <c r="E251" s="462" t="s">
        <v>61</v>
      </c>
      <c r="F251" s="463" t="s">
        <v>72</v>
      </c>
      <c r="G251" s="193" t="s">
        <v>80</v>
      </c>
      <c r="H251" s="369">
        <f>'прил12(ведом 20)'!M200</f>
        <v>1035.9000000000001</v>
      </c>
    </row>
    <row r="252" spans="1:8" ht="18.75">
      <c r="A252" s="355"/>
      <c r="B252" s="368" t="s">
        <v>81</v>
      </c>
      <c r="C252" s="215" t="s">
        <v>263</v>
      </c>
      <c r="D252" s="216" t="s">
        <v>69</v>
      </c>
      <c r="E252" s="462" t="s">
        <v>61</v>
      </c>
      <c r="F252" s="463" t="s">
        <v>72</v>
      </c>
      <c r="G252" s="193" t="s">
        <v>82</v>
      </c>
      <c r="H252" s="369">
        <f>'прил12(ведом 20)'!M201</f>
        <v>4.9000000000000004</v>
      </c>
    </row>
    <row r="253" spans="1:8" ht="24.75" customHeight="1">
      <c r="A253" s="355"/>
      <c r="B253" s="368" t="s">
        <v>378</v>
      </c>
      <c r="C253" s="215" t="s">
        <v>263</v>
      </c>
      <c r="D253" s="216" t="s">
        <v>69</v>
      </c>
      <c r="E253" s="462" t="s">
        <v>63</v>
      </c>
      <c r="F253" s="463" t="s">
        <v>68</v>
      </c>
      <c r="G253" s="193"/>
      <c r="H253" s="369">
        <f>H254</f>
        <v>5250</v>
      </c>
    </row>
    <row r="254" spans="1:8" ht="37.5">
      <c r="A254" s="355"/>
      <c r="B254" s="207" t="s">
        <v>320</v>
      </c>
      <c r="C254" s="215" t="s">
        <v>263</v>
      </c>
      <c r="D254" s="216" t="s">
        <v>69</v>
      </c>
      <c r="E254" s="462" t="s">
        <v>63</v>
      </c>
      <c r="F254" s="463" t="s">
        <v>620</v>
      </c>
      <c r="G254" s="193"/>
      <c r="H254" s="369">
        <f>H255</f>
        <v>5250</v>
      </c>
    </row>
    <row r="255" spans="1:8" ht="18.75">
      <c r="A255" s="355"/>
      <c r="B255" s="207" t="s">
        <v>155</v>
      </c>
      <c r="C255" s="215" t="s">
        <v>263</v>
      </c>
      <c r="D255" s="216" t="s">
        <v>69</v>
      </c>
      <c r="E255" s="462" t="s">
        <v>63</v>
      </c>
      <c r="F255" s="463" t="s">
        <v>620</v>
      </c>
      <c r="G255" s="193" t="s">
        <v>156</v>
      </c>
      <c r="H255" s="369">
        <f>'прил12(ведом 20)'!M217</f>
        <v>5250</v>
      </c>
    </row>
    <row r="256" spans="1:8" ht="37.5">
      <c r="A256" s="355"/>
      <c r="B256" s="368" t="s">
        <v>452</v>
      </c>
      <c r="C256" s="215" t="s">
        <v>263</v>
      </c>
      <c r="D256" s="216" t="s">
        <v>69</v>
      </c>
      <c r="E256" s="462" t="s">
        <v>89</v>
      </c>
      <c r="F256" s="463" t="s">
        <v>68</v>
      </c>
      <c r="G256" s="193"/>
      <c r="H256" s="369">
        <f>H257</f>
        <v>2222.6999999999998</v>
      </c>
    </row>
    <row r="257" spans="1:8" ht="56.25">
      <c r="A257" s="355"/>
      <c r="B257" s="368" t="s">
        <v>453</v>
      </c>
      <c r="C257" s="215" t="s">
        <v>263</v>
      </c>
      <c r="D257" s="216" t="s">
        <v>69</v>
      </c>
      <c r="E257" s="462" t="s">
        <v>89</v>
      </c>
      <c r="F257" s="463" t="s">
        <v>137</v>
      </c>
      <c r="G257" s="193"/>
      <c r="H257" s="369">
        <f>H258</f>
        <v>2222.6999999999998</v>
      </c>
    </row>
    <row r="258" spans="1:8" ht="37.5">
      <c r="A258" s="355"/>
      <c r="B258" s="368" t="s">
        <v>79</v>
      </c>
      <c r="C258" s="215" t="s">
        <v>263</v>
      </c>
      <c r="D258" s="216" t="s">
        <v>69</v>
      </c>
      <c r="E258" s="462" t="s">
        <v>89</v>
      </c>
      <c r="F258" s="463" t="s">
        <v>137</v>
      </c>
      <c r="G258" s="193" t="s">
        <v>80</v>
      </c>
      <c r="H258" s="369">
        <f>'прил12(ведом 20)'!M210</f>
        <v>2222.6999999999998</v>
      </c>
    </row>
    <row r="259" spans="1:8" ht="56.25">
      <c r="A259" s="355"/>
      <c r="B259" s="207" t="s">
        <v>411</v>
      </c>
      <c r="C259" s="215" t="s">
        <v>263</v>
      </c>
      <c r="D259" s="216" t="s">
        <v>69</v>
      </c>
      <c r="E259" s="462" t="s">
        <v>76</v>
      </c>
      <c r="F259" s="463" t="s">
        <v>68</v>
      </c>
      <c r="G259" s="193"/>
      <c r="H259" s="369">
        <f>H260</f>
        <v>200.7</v>
      </c>
    </row>
    <row r="260" spans="1:8" ht="37.5">
      <c r="A260" s="355"/>
      <c r="B260" s="207" t="s">
        <v>492</v>
      </c>
      <c r="C260" s="215" t="s">
        <v>263</v>
      </c>
      <c r="D260" s="216" t="s">
        <v>69</v>
      </c>
      <c r="E260" s="462" t="s">
        <v>76</v>
      </c>
      <c r="F260" s="463" t="s">
        <v>491</v>
      </c>
      <c r="G260" s="193"/>
      <c r="H260" s="369">
        <f>H261</f>
        <v>200.7</v>
      </c>
    </row>
    <row r="261" spans="1:8" ht="37.5">
      <c r="A261" s="355"/>
      <c r="B261" s="207" t="s">
        <v>79</v>
      </c>
      <c r="C261" s="215" t="s">
        <v>263</v>
      </c>
      <c r="D261" s="216" t="s">
        <v>69</v>
      </c>
      <c r="E261" s="462" t="s">
        <v>76</v>
      </c>
      <c r="F261" s="463" t="s">
        <v>491</v>
      </c>
      <c r="G261" s="193" t="s">
        <v>80</v>
      </c>
      <c r="H261" s="369">
        <f>'прил12(ведом 20)'!M204</f>
        <v>200.7</v>
      </c>
    </row>
    <row r="262" spans="1:8" ht="18.75">
      <c r="A262" s="355"/>
      <c r="B262" s="368"/>
      <c r="C262" s="216"/>
      <c r="D262" s="216"/>
      <c r="E262" s="216"/>
      <c r="F262" s="394"/>
      <c r="G262" s="193"/>
      <c r="H262" s="369"/>
    </row>
    <row r="263" spans="1:8" s="367" customFormat="1" ht="56.25">
      <c r="A263" s="361">
        <v>7</v>
      </c>
      <c r="B263" s="395" t="s">
        <v>264</v>
      </c>
      <c r="C263" s="396" t="s">
        <v>265</v>
      </c>
      <c r="D263" s="379" t="s">
        <v>66</v>
      </c>
      <c r="E263" s="379" t="s">
        <v>67</v>
      </c>
      <c r="F263" s="380" t="s">
        <v>68</v>
      </c>
      <c r="G263" s="397"/>
      <c r="H263" s="366">
        <f>H264+H274+H292</f>
        <v>34432.274999999994</v>
      </c>
    </row>
    <row r="264" spans="1:8" ht="37.5">
      <c r="A264" s="393"/>
      <c r="B264" s="398" t="s">
        <v>266</v>
      </c>
      <c r="C264" s="399" t="s">
        <v>265</v>
      </c>
      <c r="D264" s="221" t="s">
        <v>69</v>
      </c>
      <c r="E264" s="221" t="s">
        <v>67</v>
      </c>
      <c r="F264" s="222" t="s">
        <v>68</v>
      </c>
      <c r="G264" s="400"/>
      <c r="H264" s="369">
        <f>H265+H270</f>
        <v>11434.474999999999</v>
      </c>
    </row>
    <row r="265" spans="1:8" ht="75" customHeight="1">
      <c r="A265" s="393"/>
      <c r="B265" s="398" t="s">
        <v>371</v>
      </c>
      <c r="C265" s="401" t="s">
        <v>265</v>
      </c>
      <c r="D265" s="218" t="s">
        <v>69</v>
      </c>
      <c r="E265" s="218" t="s">
        <v>61</v>
      </c>
      <c r="F265" s="219" t="s">
        <v>68</v>
      </c>
      <c r="G265" s="217"/>
      <c r="H265" s="369">
        <f>H266+H268</f>
        <v>682.3</v>
      </c>
    </row>
    <row r="266" spans="1:8" ht="33" customHeight="1">
      <c r="A266" s="393"/>
      <c r="B266" s="398" t="s">
        <v>267</v>
      </c>
      <c r="C266" s="401" t="s">
        <v>265</v>
      </c>
      <c r="D266" s="218" t="s">
        <v>69</v>
      </c>
      <c r="E266" s="218" t="s">
        <v>61</v>
      </c>
      <c r="F266" s="219" t="s">
        <v>372</v>
      </c>
      <c r="G266" s="217"/>
      <c r="H266" s="369">
        <f>H267</f>
        <v>172.49999999999997</v>
      </c>
    </row>
    <row r="267" spans="1:8" ht="37.5">
      <c r="A267" s="393"/>
      <c r="B267" s="368" t="s">
        <v>79</v>
      </c>
      <c r="C267" s="401" t="s">
        <v>265</v>
      </c>
      <c r="D267" s="218" t="s">
        <v>69</v>
      </c>
      <c r="E267" s="218" t="s">
        <v>61</v>
      </c>
      <c r="F267" s="219" t="s">
        <v>372</v>
      </c>
      <c r="G267" s="217" t="s">
        <v>80</v>
      </c>
      <c r="H267" s="369">
        <f>'прил12(ведом 20)'!M243</f>
        <v>172.49999999999997</v>
      </c>
    </row>
    <row r="268" spans="1:8" ht="37.5">
      <c r="A268" s="393"/>
      <c r="B268" s="214" t="s">
        <v>487</v>
      </c>
      <c r="C268" s="223" t="s">
        <v>265</v>
      </c>
      <c r="D268" s="218" t="s">
        <v>69</v>
      </c>
      <c r="E268" s="218" t="s">
        <v>61</v>
      </c>
      <c r="F268" s="219" t="s">
        <v>486</v>
      </c>
      <c r="G268" s="217"/>
      <c r="H268" s="369">
        <f>H269</f>
        <v>509.8</v>
      </c>
    </row>
    <row r="269" spans="1:8" ht="37.5">
      <c r="A269" s="393"/>
      <c r="B269" s="207" t="s">
        <v>79</v>
      </c>
      <c r="C269" s="223" t="s">
        <v>265</v>
      </c>
      <c r="D269" s="218" t="s">
        <v>69</v>
      </c>
      <c r="E269" s="218" t="s">
        <v>61</v>
      </c>
      <c r="F269" s="219" t="s">
        <v>486</v>
      </c>
      <c r="G269" s="217" t="s">
        <v>80</v>
      </c>
      <c r="H269" s="369">
        <f>'прил12(ведом 20)'!M284</f>
        <v>509.8</v>
      </c>
    </row>
    <row r="270" spans="1:8" ht="37.5">
      <c r="A270" s="393"/>
      <c r="B270" s="368" t="s">
        <v>427</v>
      </c>
      <c r="C270" s="401" t="s">
        <v>265</v>
      </c>
      <c r="D270" s="218" t="s">
        <v>69</v>
      </c>
      <c r="E270" s="218" t="s">
        <v>63</v>
      </c>
      <c r="F270" s="219" t="s">
        <v>68</v>
      </c>
      <c r="G270" s="217"/>
      <c r="H270" s="369">
        <f>H271</f>
        <v>10752.174999999999</v>
      </c>
    </row>
    <row r="271" spans="1:8" ht="37.5">
      <c r="A271" s="393"/>
      <c r="B271" s="368" t="s">
        <v>426</v>
      </c>
      <c r="C271" s="401" t="s">
        <v>265</v>
      </c>
      <c r="D271" s="218" t="s">
        <v>69</v>
      </c>
      <c r="E271" s="218" t="s">
        <v>63</v>
      </c>
      <c r="F271" s="219" t="s">
        <v>425</v>
      </c>
      <c r="G271" s="217"/>
      <c r="H271" s="369">
        <f>SUM(H272:H273)</f>
        <v>10752.174999999999</v>
      </c>
    </row>
    <row r="272" spans="1:8" ht="37.5">
      <c r="A272" s="393"/>
      <c r="B272" s="368" t="s">
        <v>79</v>
      </c>
      <c r="C272" s="401" t="s">
        <v>265</v>
      </c>
      <c r="D272" s="218" t="s">
        <v>69</v>
      </c>
      <c r="E272" s="218" t="s">
        <v>63</v>
      </c>
      <c r="F272" s="219" t="s">
        <v>425</v>
      </c>
      <c r="G272" s="217" t="s">
        <v>80</v>
      </c>
      <c r="H272" s="369">
        <f>'прил12(ведом 20)'!M246</f>
        <v>3606.8</v>
      </c>
    </row>
    <row r="273" spans="1:8" ht="37.5">
      <c r="A273" s="393"/>
      <c r="B273" s="207" t="s">
        <v>242</v>
      </c>
      <c r="C273" s="401" t="s">
        <v>265</v>
      </c>
      <c r="D273" s="218" t="s">
        <v>69</v>
      </c>
      <c r="E273" s="218" t="s">
        <v>63</v>
      </c>
      <c r="F273" s="219" t="s">
        <v>425</v>
      </c>
      <c r="G273" s="217" t="s">
        <v>243</v>
      </c>
      <c r="H273" s="369">
        <f>'прил12(ведом 20)'!M247</f>
        <v>7145.375</v>
      </c>
    </row>
    <row r="274" spans="1:8" ht="37.5">
      <c r="A274" s="393"/>
      <c r="B274" s="398" t="s">
        <v>268</v>
      </c>
      <c r="C274" s="223" t="s">
        <v>265</v>
      </c>
      <c r="D274" s="218" t="s">
        <v>120</v>
      </c>
      <c r="E274" s="218" t="s">
        <v>67</v>
      </c>
      <c r="F274" s="219" t="s">
        <v>68</v>
      </c>
      <c r="G274" s="217"/>
      <c r="H274" s="369">
        <f>H275+H286+H289</f>
        <v>18580.699999999997</v>
      </c>
    </row>
    <row r="275" spans="1:8" ht="75">
      <c r="A275" s="393"/>
      <c r="B275" s="398" t="s">
        <v>375</v>
      </c>
      <c r="C275" s="223" t="s">
        <v>265</v>
      </c>
      <c r="D275" s="218" t="s">
        <v>120</v>
      </c>
      <c r="E275" s="218" t="s">
        <v>61</v>
      </c>
      <c r="F275" s="219" t="s">
        <v>68</v>
      </c>
      <c r="G275" s="217"/>
      <c r="H275" s="369">
        <f>H276+H280+H284</f>
        <v>18090.399999999998</v>
      </c>
    </row>
    <row r="276" spans="1:8" ht="37.5">
      <c r="A276" s="393"/>
      <c r="B276" s="398" t="s">
        <v>71</v>
      </c>
      <c r="C276" s="220" t="s">
        <v>265</v>
      </c>
      <c r="D276" s="221" t="s">
        <v>120</v>
      </c>
      <c r="E276" s="221" t="s">
        <v>61</v>
      </c>
      <c r="F276" s="222" t="s">
        <v>72</v>
      </c>
      <c r="G276" s="217"/>
      <c r="H276" s="369">
        <f>SUM(H277:H279)</f>
        <v>12910</v>
      </c>
    </row>
    <row r="277" spans="1:8" ht="93.75">
      <c r="A277" s="393"/>
      <c r="B277" s="398" t="s">
        <v>73</v>
      </c>
      <c r="C277" s="223" t="s">
        <v>265</v>
      </c>
      <c r="D277" s="218" t="s">
        <v>120</v>
      </c>
      <c r="E277" s="218" t="s">
        <v>61</v>
      </c>
      <c r="F277" s="219" t="s">
        <v>72</v>
      </c>
      <c r="G277" s="217" t="s">
        <v>74</v>
      </c>
      <c r="H277" s="369">
        <f>'прил12(ведом 20)'!M251</f>
        <v>12340</v>
      </c>
    </row>
    <row r="278" spans="1:8" ht="37.5">
      <c r="A278" s="393"/>
      <c r="B278" s="368" t="s">
        <v>79</v>
      </c>
      <c r="C278" s="223" t="s">
        <v>265</v>
      </c>
      <c r="D278" s="218" t="s">
        <v>120</v>
      </c>
      <c r="E278" s="218" t="s">
        <v>61</v>
      </c>
      <c r="F278" s="219" t="s">
        <v>72</v>
      </c>
      <c r="G278" s="217" t="s">
        <v>80</v>
      </c>
      <c r="H278" s="369">
        <f>'прил12(ведом 20)'!M252</f>
        <v>568.79999999999995</v>
      </c>
    </row>
    <row r="279" spans="1:8" ht="18.75">
      <c r="A279" s="393"/>
      <c r="B279" s="398" t="s">
        <v>81</v>
      </c>
      <c r="C279" s="223" t="s">
        <v>265</v>
      </c>
      <c r="D279" s="218" t="s">
        <v>120</v>
      </c>
      <c r="E279" s="218" t="s">
        <v>61</v>
      </c>
      <c r="F279" s="219" t="s">
        <v>72</v>
      </c>
      <c r="G279" s="217" t="s">
        <v>82</v>
      </c>
      <c r="H279" s="369">
        <f>'прил12(ведом 20)'!M253</f>
        <v>1.2</v>
      </c>
    </row>
    <row r="280" spans="1:8" ht="75">
      <c r="A280" s="393"/>
      <c r="B280" s="398" t="s">
        <v>121</v>
      </c>
      <c r="C280" s="223" t="s">
        <v>265</v>
      </c>
      <c r="D280" s="218" t="s">
        <v>120</v>
      </c>
      <c r="E280" s="218" t="s">
        <v>61</v>
      </c>
      <c r="F280" s="219" t="s">
        <v>123</v>
      </c>
      <c r="G280" s="217"/>
      <c r="H280" s="369">
        <f>SUM(H281:H283)</f>
        <v>5146.6000000000004</v>
      </c>
    </row>
    <row r="281" spans="1:8" ht="93.75">
      <c r="A281" s="393"/>
      <c r="B281" s="398" t="s">
        <v>73</v>
      </c>
      <c r="C281" s="223" t="s">
        <v>265</v>
      </c>
      <c r="D281" s="218" t="s">
        <v>120</v>
      </c>
      <c r="E281" s="218" t="s">
        <v>61</v>
      </c>
      <c r="F281" s="219" t="s">
        <v>123</v>
      </c>
      <c r="G281" s="217" t="s">
        <v>74</v>
      </c>
      <c r="H281" s="369">
        <f>'прил12(ведом 20)'!M255</f>
        <v>4790.7</v>
      </c>
    </row>
    <row r="282" spans="1:8" ht="37.5">
      <c r="A282" s="393"/>
      <c r="B282" s="368" t="s">
        <v>79</v>
      </c>
      <c r="C282" s="220" t="s">
        <v>265</v>
      </c>
      <c r="D282" s="221" t="s">
        <v>120</v>
      </c>
      <c r="E282" s="221" t="s">
        <v>61</v>
      </c>
      <c r="F282" s="222" t="s">
        <v>123</v>
      </c>
      <c r="G282" s="217" t="s">
        <v>80</v>
      </c>
      <c r="H282" s="369">
        <f>'прил12(ведом 20)'!M256</f>
        <v>329.6</v>
      </c>
    </row>
    <row r="283" spans="1:8" ht="18.75">
      <c r="A283" s="393"/>
      <c r="B283" s="398" t="s">
        <v>81</v>
      </c>
      <c r="C283" s="223" t="s">
        <v>265</v>
      </c>
      <c r="D283" s="218" t="s">
        <v>120</v>
      </c>
      <c r="E283" s="218" t="s">
        <v>61</v>
      </c>
      <c r="F283" s="219" t="s">
        <v>123</v>
      </c>
      <c r="G283" s="217" t="s">
        <v>82</v>
      </c>
      <c r="H283" s="369">
        <f>'прил12(ведом 20)'!M257</f>
        <v>26.3</v>
      </c>
    </row>
    <row r="284" spans="1:8" ht="56.25">
      <c r="A284" s="393"/>
      <c r="B284" s="207" t="s">
        <v>455</v>
      </c>
      <c r="C284" s="223" t="s">
        <v>265</v>
      </c>
      <c r="D284" s="218" t="s">
        <v>120</v>
      </c>
      <c r="E284" s="218" t="s">
        <v>61</v>
      </c>
      <c r="F284" s="219" t="s">
        <v>454</v>
      </c>
      <c r="G284" s="217"/>
      <c r="H284" s="369">
        <f>H285</f>
        <v>33.799999999999997</v>
      </c>
    </row>
    <row r="285" spans="1:8" ht="37.5">
      <c r="A285" s="393"/>
      <c r="B285" s="207" t="s">
        <v>79</v>
      </c>
      <c r="C285" s="223" t="s">
        <v>265</v>
      </c>
      <c r="D285" s="218" t="s">
        <v>120</v>
      </c>
      <c r="E285" s="218" t="s">
        <v>61</v>
      </c>
      <c r="F285" s="402" t="s">
        <v>454</v>
      </c>
      <c r="G285" s="217" t="s">
        <v>80</v>
      </c>
      <c r="H285" s="369">
        <f>'прил12(ведом 20)'!M259</f>
        <v>33.799999999999997</v>
      </c>
    </row>
    <row r="286" spans="1:8" ht="37.5">
      <c r="A286" s="393"/>
      <c r="B286" s="403" t="s">
        <v>452</v>
      </c>
      <c r="C286" s="404" t="s">
        <v>265</v>
      </c>
      <c r="D286" s="405" t="s">
        <v>120</v>
      </c>
      <c r="E286" s="405" t="s">
        <v>63</v>
      </c>
      <c r="F286" s="406" t="s">
        <v>68</v>
      </c>
      <c r="G286" s="407"/>
      <c r="H286" s="369">
        <f>H287</f>
        <v>238</v>
      </c>
    </row>
    <row r="287" spans="1:8" ht="56.25">
      <c r="A287" s="393"/>
      <c r="B287" s="408" t="s">
        <v>453</v>
      </c>
      <c r="C287" s="404" t="s">
        <v>265</v>
      </c>
      <c r="D287" s="405" t="s">
        <v>120</v>
      </c>
      <c r="E287" s="405" t="s">
        <v>63</v>
      </c>
      <c r="F287" s="406" t="s">
        <v>137</v>
      </c>
      <c r="G287" s="409"/>
      <c r="H287" s="369">
        <f>H288</f>
        <v>238</v>
      </c>
    </row>
    <row r="288" spans="1:8" ht="37.5">
      <c r="A288" s="393"/>
      <c r="B288" s="410" t="s">
        <v>79</v>
      </c>
      <c r="C288" s="411" t="s">
        <v>265</v>
      </c>
      <c r="D288" s="405" t="s">
        <v>120</v>
      </c>
      <c r="E288" s="405" t="s">
        <v>63</v>
      </c>
      <c r="F288" s="406" t="s">
        <v>137</v>
      </c>
      <c r="G288" s="409" t="s">
        <v>80</v>
      </c>
      <c r="H288" s="369">
        <f>'прил12(ведом 20)'!M262</f>
        <v>238</v>
      </c>
    </row>
    <row r="289" spans="1:8" ht="27" customHeight="1">
      <c r="A289" s="393"/>
      <c r="B289" s="398" t="s">
        <v>493</v>
      </c>
      <c r="C289" s="412" t="s">
        <v>265</v>
      </c>
      <c r="D289" s="413" t="s">
        <v>120</v>
      </c>
      <c r="E289" s="414" t="s">
        <v>89</v>
      </c>
      <c r="F289" s="415" t="s">
        <v>68</v>
      </c>
      <c r="G289" s="416"/>
      <c r="H289" s="369">
        <f>H290</f>
        <v>252.3</v>
      </c>
    </row>
    <row r="290" spans="1:8" ht="37.5">
      <c r="A290" s="393"/>
      <c r="B290" s="398" t="s">
        <v>426</v>
      </c>
      <c r="C290" s="412" t="s">
        <v>265</v>
      </c>
      <c r="D290" s="413" t="s">
        <v>120</v>
      </c>
      <c r="E290" s="417" t="s">
        <v>89</v>
      </c>
      <c r="F290" s="418" t="s">
        <v>425</v>
      </c>
      <c r="G290" s="416"/>
      <c r="H290" s="369">
        <f>H291</f>
        <v>252.3</v>
      </c>
    </row>
    <row r="291" spans="1:8" ht="18.75">
      <c r="A291" s="393"/>
      <c r="B291" s="214" t="s">
        <v>81</v>
      </c>
      <c r="C291" s="223" t="s">
        <v>265</v>
      </c>
      <c r="D291" s="414" t="s">
        <v>120</v>
      </c>
      <c r="E291" s="414" t="s">
        <v>89</v>
      </c>
      <c r="F291" s="415" t="s">
        <v>425</v>
      </c>
      <c r="G291" s="416" t="s">
        <v>82</v>
      </c>
      <c r="H291" s="369">
        <f>'прил12(ведом 20)'!M265</f>
        <v>252.3</v>
      </c>
    </row>
    <row r="292" spans="1:8" ht="37.5">
      <c r="A292" s="393"/>
      <c r="B292" s="493" t="s">
        <v>428</v>
      </c>
      <c r="C292" s="404" t="s">
        <v>265</v>
      </c>
      <c r="D292" s="405" t="s">
        <v>54</v>
      </c>
      <c r="E292" s="405" t="s">
        <v>67</v>
      </c>
      <c r="F292" s="406" t="s">
        <v>68</v>
      </c>
      <c r="G292" s="409"/>
      <c r="H292" s="369">
        <f>H296+H293</f>
        <v>4417.1000000000004</v>
      </c>
    </row>
    <row r="293" spans="1:8" ht="56.25">
      <c r="A293" s="393"/>
      <c r="B293" s="371" t="s">
        <v>903</v>
      </c>
      <c r="C293" s="404" t="s">
        <v>265</v>
      </c>
      <c r="D293" s="405" t="s">
        <v>54</v>
      </c>
      <c r="E293" s="405" t="s">
        <v>91</v>
      </c>
      <c r="F293" s="406" t="s">
        <v>68</v>
      </c>
      <c r="G293" s="409"/>
      <c r="H293" s="369">
        <f>H294</f>
        <v>2642.6</v>
      </c>
    </row>
    <row r="294" spans="1:8" ht="18.75">
      <c r="A294" s="393"/>
      <c r="B294" s="371" t="s">
        <v>904</v>
      </c>
      <c r="C294" s="404" t="s">
        <v>265</v>
      </c>
      <c r="D294" s="405" t="s">
        <v>54</v>
      </c>
      <c r="E294" s="405" t="s">
        <v>91</v>
      </c>
      <c r="F294" s="406" t="s">
        <v>900</v>
      </c>
      <c r="G294" s="409"/>
      <c r="H294" s="369">
        <f>H295</f>
        <v>2642.6</v>
      </c>
    </row>
    <row r="295" spans="1:8" ht="37.5">
      <c r="A295" s="393"/>
      <c r="B295" s="371" t="s">
        <v>242</v>
      </c>
      <c r="C295" s="404" t="s">
        <v>265</v>
      </c>
      <c r="D295" s="405" t="s">
        <v>54</v>
      </c>
      <c r="E295" s="405" t="s">
        <v>91</v>
      </c>
      <c r="F295" s="406" t="s">
        <v>900</v>
      </c>
      <c r="G295" s="409" t="s">
        <v>243</v>
      </c>
      <c r="H295" s="369">
        <f>'прил12(ведом 20)'!M313</f>
        <v>2642.6</v>
      </c>
    </row>
    <row r="296" spans="1:8" ht="37.5">
      <c r="A296" s="393"/>
      <c r="B296" s="493" t="s">
        <v>493</v>
      </c>
      <c r="C296" s="404" t="s">
        <v>265</v>
      </c>
      <c r="D296" s="405" t="s">
        <v>54</v>
      </c>
      <c r="E296" s="405" t="s">
        <v>265</v>
      </c>
      <c r="F296" s="406" t="s">
        <v>68</v>
      </c>
      <c r="G296" s="409"/>
      <c r="H296" s="369">
        <f>H297</f>
        <v>1774.5</v>
      </c>
    </row>
    <row r="297" spans="1:8" ht="37.5">
      <c r="A297" s="393"/>
      <c r="B297" s="547" t="s">
        <v>426</v>
      </c>
      <c r="C297" s="404" t="s">
        <v>265</v>
      </c>
      <c r="D297" s="405" t="s">
        <v>54</v>
      </c>
      <c r="E297" s="405" t="s">
        <v>265</v>
      </c>
      <c r="F297" s="406" t="s">
        <v>425</v>
      </c>
      <c r="G297" s="409"/>
      <c r="H297" s="369">
        <f>H299+H298</f>
        <v>1774.5</v>
      </c>
    </row>
    <row r="298" spans="1:8" ht="37.5">
      <c r="A298" s="393"/>
      <c r="B298" s="410" t="s">
        <v>79</v>
      </c>
      <c r="C298" s="404" t="s">
        <v>265</v>
      </c>
      <c r="D298" s="405" t="s">
        <v>54</v>
      </c>
      <c r="E298" s="405" t="s">
        <v>265</v>
      </c>
      <c r="F298" s="406" t="s">
        <v>425</v>
      </c>
      <c r="G298" s="409" t="s">
        <v>80</v>
      </c>
      <c r="H298" s="369">
        <f>'прил12(ведом 20)'!M269</f>
        <v>596.1</v>
      </c>
    </row>
    <row r="299" spans="1:8" ht="37.5">
      <c r="A299" s="393"/>
      <c r="B299" s="428" t="s">
        <v>242</v>
      </c>
      <c r="C299" s="404" t="s">
        <v>265</v>
      </c>
      <c r="D299" s="405" t="s">
        <v>54</v>
      </c>
      <c r="E299" s="405" t="s">
        <v>265</v>
      </c>
      <c r="F299" s="406" t="s">
        <v>425</v>
      </c>
      <c r="G299" s="409" t="s">
        <v>243</v>
      </c>
      <c r="H299" s="369">
        <f>'прил12(ведом 20)'!M270</f>
        <v>1178.4000000000001</v>
      </c>
    </row>
    <row r="300" spans="1:8" ht="18.75">
      <c r="A300" s="393"/>
      <c r="B300" s="377"/>
      <c r="C300" s="218"/>
      <c r="D300" s="459"/>
      <c r="E300" s="459"/>
      <c r="F300" s="460"/>
      <c r="G300" s="353"/>
      <c r="H300" s="369"/>
    </row>
    <row r="301" spans="1:8" s="367" customFormat="1" ht="56.25">
      <c r="A301" s="378">
        <v>8</v>
      </c>
      <c r="B301" s="395" t="s">
        <v>361</v>
      </c>
      <c r="C301" s="379" t="s">
        <v>109</v>
      </c>
      <c r="D301" s="379" t="s">
        <v>66</v>
      </c>
      <c r="E301" s="379" t="s">
        <v>67</v>
      </c>
      <c r="F301" s="380" t="s">
        <v>68</v>
      </c>
      <c r="G301" s="365"/>
      <c r="H301" s="366">
        <f>H302</f>
        <v>126943.1</v>
      </c>
    </row>
    <row r="302" spans="1:8" ht="24.75" customHeight="1">
      <c r="A302" s="355"/>
      <c r="B302" s="368" t="s">
        <v>428</v>
      </c>
      <c r="C302" s="401" t="s">
        <v>109</v>
      </c>
      <c r="D302" s="218" t="s">
        <v>69</v>
      </c>
      <c r="E302" s="218" t="s">
        <v>67</v>
      </c>
      <c r="F302" s="463" t="s">
        <v>68</v>
      </c>
      <c r="G302" s="353"/>
      <c r="H302" s="369">
        <f>H303+H318+H325+H335+H338</f>
        <v>126943.1</v>
      </c>
    </row>
    <row r="303" spans="1:8" ht="37.5">
      <c r="A303" s="355"/>
      <c r="B303" s="368" t="s">
        <v>347</v>
      </c>
      <c r="C303" s="461" t="s">
        <v>109</v>
      </c>
      <c r="D303" s="462" t="s">
        <v>69</v>
      </c>
      <c r="E303" s="462" t="s">
        <v>61</v>
      </c>
      <c r="F303" s="463" t="s">
        <v>68</v>
      </c>
      <c r="G303" s="353"/>
      <c r="H303" s="369">
        <f>H304+H307+H310+H313+H316</f>
        <v>62539.100000000006</v>
      </c>
    </row>
    <row r="304" spans="1:8" ht="131.25">
      <c r="A304" s="355"/>
      <c r="B304" s="420" t="s">
        <v>465</v>
      </c>
      <c r="C304" s="461" t="s">
        <v>109</v>
      </c>
      <c r="D304" s="462" t="s">
        <v>69</v>
      </c>
      <c r="E304" s="462" t="s">
        <v>61</v>
      </c>
      <c r="F304" s="463" t="s">
        <v>363</v>
      </c>
      <c r="G304" s="193"/>
      <c r="H304" s="369">
        <f>SUM(H305:H306)</f>
        <v>33951.5</v>
      </c>
    </row>
    <row r="305" spans="1:8" ht="37.5">
      <c r="A305" s="355"/>
      <c r="B305" s="421" t="s">
        <v>79</v>
      </c>
      <c r="C305" s="461" t="s">
        <v>109</v>
      </c>
      <c r="D305" s="462" t="s">
        <v>69</v>
      </c>
      <c r="E305" s="462" t="s">
        <v>61</v>
      </c>
      <c r="F305" s="463" t="s">
        <v>363</v>
      </c>
      <c r="G305" s="193" t="s">
        <v>80</v>
      </c>
      <c r="H305" s="369">
        <f>'прил12(ведом 20)'!M607</f>
        <v>169.5</v>
      </c>
    </row>
    <row r="306" spans="1:8" ht="37.5">
      <c r="A306" s="355"/>
      <c r="B306" s="368" t="s">
        <v>152</v>
      </c>
      <c r="C306" s="461" t="s">
        <v>109</v>
      </c>
      <c r="D306" s="462" t="s">
        <v>69</v>
      </c>
      <c r="E306" s="462" t="s">
        <v>61</v>
      </c>
      <c r="F306" s="463" t="s">
        <v>363</v>
      </c>
      <c r="G306" s="193" t="s">
        <v>153</v>
      </c>
      <c r="H306" s="369">
        <f>'прил12(ведом 20)'!M608</f>
        <v>33782</v>
      </c>
    </row>
    <row r="307" spans="1:8" ht="93.75">
      <c r="A307" s="355"/>
      <c r="B307" s="368" t="s">
        <v>466</v>
      </c>
      <c r="C307" s="461" t="s">
        <v>109</v>
      </c>
      <c r="D307" s="462" t="s">
        <v>69</v>
      </c>
      <c r="E307" s="462" t="s">
        <v>61</v>
      </c>
      <c r="F307" s="463" t="s">
        <v>364</v>
      </c>
      <c r="G307" s="193"/>
      <c r="H307" s="369">
        <f>SUM(H308:H309)</f>
        <v>27335.8</v>
      </c>
    </row>
    <row r="308" spans="1:8" ht="37.5">
      <c r="A308" s="355"/>
      <c r="B308" s="421" t="s">
        <v>79</v>
      </c>
      <c r="C308" s="461" t="s">
        <v>109</v>
      </c>
      <c r="D308" s="462" t="s">
        <v>69</v>
      </c>
      <c r="E308" s="462" t="s">
        <v>61</v>
      </c>
      <c r="F308" s="463" t="s">
        <v>364</v>
      </c>
      <c r="G308" s="193" t="s">
        <v>80</v>
      </c>
      <c r="H308" s="369">
        <f>'прил12(ведом 20)'!M610</f>
        <v>135.80000000000001</v>
      </c>
    </row>
    <row r="309" spans="1:8" ht="37.5">
      <c r="A309" s="355"/>
      <c r="B309" s="368" t="s">
        <v>152</v>
      </c>
      <c r="C309" s="461" t="s">
        <v>109</v>
      </c>
      <c r="D309" s="462" t="s">
        <v>69</v>
      </c>
      <c r="E309" s="462" t="s">
        <v>61</v>
      </c>
      <c r="F309" s="463" t="s">
        <v>364</v>
      </c>
      <c r="G309" s="193" t="s">
        <v>153</v>
      </c>
      <c r="H309" s="369">
        <f>'прил12(ведом 20)'!M611</f>
        <v>27200</v>
      </c>
    </row>
    <row r="310" spans="1:8" ht="93.75">
      <c r="A310" s="355"/>
      <c r="B310" s="368" t="s">
        <v>467</v>
      </c>
      <c r="C310" s="461" t="s">
        <v>109</v>
      </c>
      <c r="D310" s="462" t="s">
        <v>69</v>
      </c>
      <c r="E310" s="462" t="s">
        <v>61</v>
      </c>
      <c r="F310" s="463" t="s">
        <v>365</v>
      </c>
      <c r="G310" s="193"/>
      <c r="H310" s="369">
        <f>SUM(H311:H312)</f>
        <v>509.2</v>
      </c>
    </row>
    <row r="311" spans="1:8" ht="37.5">
      <c r="A311" s="355"/>
      <c r="B311" s="368" t="s">
        <v>79</v>
      </c>
      <c r="C311" s="461" t="s">
        <v>109</v>
      </c>
      <c r="D311" s="462" t="s">
        <v>69</v>
      </c>
      <c r="E311" s="462" t="s">
        <v>61</v>
      </c>
      <c r="F311" s="463" t="s">
        <v>365</v>
      </c>
      <c r="G311" s="193" t="s">
        <v>80</v>
      </c>
      <c r="H311" s="369">
        <f>'прил12(ведом 20)'!M613</f>
        <v>2.5</v>
      </c>
    </row>
    <row r="312" spans="1:8" ht="37.5">
      <c r="A312" s="355"/>
      <c r="B312" s="368" t="s">
        <v>152</v>
      </c>
      <c r="C312" s="461" t="s">
        <v>109</v>
      </c>
      <c r="D312" s="462" t="s">
        <v>69</v>
      </c>
      <c r="E312" s="462" t="s">
        <v>61</v>
      </c>
      <c r="F312" s="463" t="s">
        <v>365</v>
      </c>
      <c r="G312" s="193" t="s">
        <v>153</v>
      </c>
      <c r="H312" s="369">
        <f>'прил12(ведом 20)'!M614</f>
        <v>506.7</v>
      </c>
    </row>
    <row r="313" spans="1:8" ht="112.5">
      <c r="A313" s="355"/>
      <c r="B313" s="368" t="s">
        <v>474</v>
      </c>
      <c r="C313" s="461" t="s">
        <v>109</v>
      </c>
      <c r="D313" s="462" t="s">
        <v>69</v>
      </c>
      <c r="E313" s="462" t="s">
        <v>61</v>
      </c>
      <c r="F313" s="463" t="s">
        <v>366</v>
      </c>
      <c r="G313" s="193"/>
      <c r="H313" s="369">
        <f>SUM(H314:H315)</f>
        <v>726.3</v>
      </c>
    </row>
    <row r="314" spans="1:8" ht="37.5">
      <c r="A314" s="355"/>
      <c r="B314" s="368" t="s">
        <v>79</v>
      </c>
      <c r="C314" s="461" t="s">
        <v>109</v>
      </c>
      <c r="D314" s="462" t="s">
        <v>69</v>
      </c>
      <c r="E314" s="462" t="s">
        <v>61</v>
      </c>
      <c r="F314" s="463" t="s">
        <v>366</v>
      </c>
      <c r="G314" s="193" t="s">
        <v>80</v>
      </c>
      <c r="H314" s="369">
        <f>'прил12(ведом 20)'!M616</f>
        <v>3.3</v>
      </c>
    </row>
    <row r="315" spans="1:8" ht="29.25" customHeight="1">
      <c r="A315" s="355"/>
      <c r="B315" s="368" t="s">
        <v>152</v>
      </c>
      <c r="C315" s="461" t="s">
        <v>109</v>
      </c>
      <c r="D315" s="462" t="s">
        <v>69</v>
      </c>
      <c r="E315" s="462" t="s">
        <v>61</v>
      </c>
      <c r="F315" s="463" t="s">
        <v>366</v>
      </c>
      <c r="G315" s="193" t="s">
        <v>153</v>
      </c>
      <c r="H315" s="369">
        <f>'прил12(ведом 20)'!M617</f>
        <v>723</v>
      </c>
    </row>
    <row r="316" spans="1:8" ht="133.5" customHeight="1">
      <c r="A316" s="355"/>
      <c r="B316" s="422" t="s">
        <v>464</v>
      </c>
      <c r="C316" s="461" t="s">
        <v>109</v>
      </c>
      <c r="D316" s="462" t="s">
        <v>69</v>
      </c>
      <c r="E316" s="462" t="s">
        <v>61</v>
      </c>
      <c r="F316" s="463" t="s">
        <v>362</v>
      </c>
      <c r="G316" s="193"/>
      <c r="H316" s="369">
        <f>H317</f>
        <v>16.3</v>
      </c>
    </row>
    <row r="317" spans="1:8" ht="25.5" customHeight="1">
      <c r="A317" s="355"/>
      <c r="B317" s="368" t="s">
        <v>152</v>
      </c>
      <c r="C317" s="461" t="s">
        <v>109</v>
      </c>
      <c r="D317" s="462" t="s">
        <v>69</v>
      </c>
      <c r="E317" s="462" t="s">
        <v>61</v>
      </c>
      <c r="F317" s="463" t="s">
        <v>362</v>
      </c>
      <c r="G317" s="193" t="s">
        <v>153</v>
      </c>
      <c r="H317" s="369">
        <f>'прил12(ведом 20)'!M600</f>
        <v>16.3</v>
      </c>
    </row>
    <row r="318" spans="1:8" ht="75">
      <c r="A318" s="355"/>
      <c r="B318" s="423" t="s">
        <v>374</v>
      </c>
      <c r="C318" s="424" t="s">
        <v>109</v>
      </c>
      <c r="D318" s="425" t="s">
        <v>69</v>
      </c>
      <c r="E318" s="425" t="s">
        <v>63</v>
      </c>
      <c r="F318" s="426" t="s">
        <v>68</v>
      </c>
      <c r="G318" s="427"/>
      <c r="H318" s="369">
        <f>H323+H321+H319</f>
        <v>55670.499999999993</v>
      </c>
    </row>
    <row r="319" spans="1:8" ht="18.75">
      <c r="A319" s="355"/>
      <c r="B319" s="207" t="s">
        <v>899</v>
      </c>
      <c r="C319" s="698" t="s">
        <v>109</v>
      </c>
      <c r="D319" s="699" t="s">
        <v>69</v>
      </c>
      <c r="E319" s="699" t="s">
        <v>63</v>
      </c>
      <c r="F319" s="700" t="s">
        <v>898</v>
      </c>
      <c r="G319" s="193"/>
      <c r="H319" s="369">
        <f>H320</f>
        <v>5.2</v>
      </c>
    </row>
    <row r="320" spans="1:8" ht="37.5">
      <c r="A320" s="355"/>
      <c r="B320" s="207" t="s">
        <v>152</v>
      </c>
      <c r="C320" s="698" t="s">
        <v>109</v>
      </c>
      <c r="D320" s="699" t="s">
        <v>69</v>
      </c>
      <c r="E320" s="699" t="s">
        <v>63</v>
      </c>
      <c r="F320" s="700" t="s">
        <v>898</v>
      </c>
      <c r="G320" s="193" t="s">
        <v>153</v>
      </c>
      <c r="H320" s="369">
        <f>'прил12(ведом 20)'!M620</f>
        <v>5.2</v>
      </c>
    </row>
    <row r="321" spans="1:8" ht="97.5" customHeight="1">
      <c r="A321" s="355"/>
      <c r="B321" s="428" t="s">
        <v>654</v>
      </c>
      <c r="C321" s="372" t="s">
        <v>109</v>
      </c>
      <c r="D321" s="373" t="s">
        <v>69</v>
      </c>
      <c r="E321" s="373" t="s">
        <v>63</v>
      </c>
      <c r="F321" s="429" t="s">
        <v>656</v>
      </c>
      <c r="G321" s="375"/>
      <c r="H321" s="369">
        <f>H322</f>
        <v>9268.6</v>
      </c>
    </row>
    <row r="322" spans="1:8" ht="37.5">
      <c r="A322" s="355"/>
      <c r="B322" s="428" t="s">
        <v>242</v>
      </c>
      <c r="C322" s="372" t="s">
        <v>109</v>
      </c>
      <c r="D322" s="373" t="s">
        <v>69</v>
      </c>
      <c r="E322" s="373" t="s">
        <v>63</v>
      </c>
      <c r="F322" s="429" t="s">
        <v>656</v>
      </c>
      <c r="G322" s="375" t="s">
        <v>243</v>
      </c>
      <c r="H322" s="369">
        <f>'прил12(ведом 20)'!M320</f>
        <v>9268.6</v>
      </c>
    </row>
    <row r="323" spans="1:8" ht="95.25" customHeight="1">
      <c r="A323" s="355"/>
      <c r="B323" s="428" t="s">
        <v>654</v>
      </c>
      <c r="C323" s="372" t="s">
        <v>109</v>
      </c>
      <c r="D323" s="373" t="s">
        <v>69</v>
      </c>
      <c r="E323" s="373" t="s">
        <v>63</v>
      </c>
      <c r="F323" s="429" t="s">
        <v>655</v>
      </c>
      <c r="G323" s="375"/>
      <c r="H323" s="369">
        <f>H324</f>
        <v>46396.7</v>
      </c>
    </row>
    <row r="324" spans="1:8" ht="37.5">
      <c r="A324" s="355"/>
      <c r="B324" s="428" t="s">
        <v>242</v>
      </c>
      <c r="C324" s="372" t="s">
        <v>109</v>
      </c>
      <c r="D324" s="373" t="s">
        <v>69</v>
      </c>
      <c r="E324" s="373" t="s">
        <v>63</v>
      </c>
      <c r="F324" s="429" t="s">
        <v>655</v>
      </c>
      <c r="G324" s="375" t="s">
        <v>243</v>
      </c>
      <c r="H324" s="369">
        <f>'прил12(ведом 20)'!M322</f>
        <v>46396.7</v>
      </c>
    </row>
    <row r="325" spans="1:8" ht="37.5">
      <c r="A325" s="355"/>
      <c r="B325" s="368" t="s">
        <v>268</v>
      </c>
      <c r="C325" s="461" t="s">
        <v>109</v>
      </c>
      <c r="D325" s="462" t="s">
        <v>69</v>
      </c>
      <c r="E325" s="462" t="s">
        <v>89</v>
      </c>
      <c r="F325" s="463" t="s">
        <v>68</v>
      </c>
      <c r="G325" s="193"/>
      <c r="H325" s="369">
        <f>H326+H329+H332</f>
        <v>7905.5</v>
      </c>
    </row>
    <row r="326" spans="1:8" ht="75">
      <c r="A326" s="355"/>
      <c r="B326" s="368" t="s">
        <v>270</v>
      </c>
      <c r="C326" s="461" t="s">
        <v>109</v>
      </c>
      <c r="D326" s="462" t="s">
        <v>69</v>
      </c>
      <c r="E326" s="462" t="s">
        <v>89</v>
      </c>
      <c r="F326" s="463" t="s">
        <v>368</v>
      </c>
      <c r="G326" s="193"/>
      <c r="H326" s="369">
        <f>SUM(H327:H328)</f>
        <v>6385.5</v>
      </c>
    </row>
    <row r="327" spans="1:8" ht="93.75">
      <c r="A327" s="355"/>
      <c r="B327" s="368" t="s">
        <v>73</v>
      </c>
      <c r="C327" s="461" t="s">
        <v>109</v>
      </c>
      <c r="D327" s="462" t="s">
        <v>69</v>
      </c>
      <c r="E327" s="462" t="s">
        <v>89</v>
      </c>
      <c r="F327" s="463" t="s">
        <v>368</v>
      </c>
      <c r="G327" s="193" t="s">
        <v>74</v>
      </c>
      <c r="H327" s="369">
        <f>'прил12(ведом 20)'!M626</f>
        <v>5725.5</v>
      </c>
    </row>
    <row r="328" spans="1:8" ht="37.5">
      <c r="A328" s="355"/>
      <c r="B328" s="368" t="s">
        <v>79</v>
      </c>
      <c r="C328" s="430" t="s">
        <v>109</v>
      </c>
      <c r="D328" s="431" t="s">
        <v>69</v>
      </c>
      <c r="E328" s="431" t="s">
        <v>89</v>
      </c>
      <c r="F328" s="432" t="s">
        <v>368</v>
      </c>
      <c r="G328" s="193" t="s">
        <v>80</v>
      </c>
      <c r="H328" s="369">
        <f>'прил12(ведом 20)'!M627</f>
        <v>660</v>
      </c>
    </row>
    <row r="329" spans="1:8" ht="56.25">
      <c r="A329" s="355"/>
      <c r="B329" s="207" t="s">
        <v>504</v>
      </c>
      <c r="C329" s="461" t="s">
        <v>109</v>
      </c>
      <c r="D329" s="462" t="s">
        <v>69</v>
      </c>
      <c r="E329" s="462" t="s">
        <v>89</v>
      </c>
      <c r="F329" s="463" t="s">
        <v>369</v>
      </c>
      <c r="G329" s="193"/>
      <c r="H329" s="369">
        <f>SUM(H330:H331)</f>
        <v>640.79999999999995</v>
      </c>
    </row>
    <row r="330" spans="1:8" ht="93.75">
      <c r="A330" s="355"/>
      <c r="B330" s="368" t="s">
        <v>73</v>
      </c>
      <c r="C330" s="461" t="s">
        <v>109</v>
      </c>
      <c r="D330" s="462" t="s">
        <v>69</v>
      </c>
      <c r="E330" s="462" t="s">
        <v>89</v>
      </c>
      <c r="F330" s="463" t="s">
        <v>369</v>
      </c>
      <c r="G330" s="193" t="s">
        <v>74</v>
      </c>
      <c r="H330" s="369">
        <f>'прил12(ведом 20)'!M629</f>
        <v>580.79999999999995</v>
      </c>
    </row>
    <row r="331" spans="1:8" ht="37.5">
      <c r="A331" s="355"/>
      <c r="B331" s="368" t="s">
        <v>79</v>
      </c>
      <c r="C331" s="461" t="s">
        <v>109</v>
      </c>
      <c r="D331" s="462" t="s">
        <v>69</v>
      </c>
      <c r="E331" s="462" t="s">
        <v>89</v>
      </c>
      <c r="F331" s="463" t="s">
        <v>369</v>
      </c>
      <c r="G331" s="193" t="s">
        <v>80</v>
      </c>
      <c r="H331" s="369">
        <f>'прил12(ведом 20)'!M630</f>
        <v>60</v>
      </c>
    </row>
    <row r="332" spans="1:8" ht="246" customHeight="1">
      <c r="A332" s="355"/>
      <c r="B332" s="368" t="s">
        <v>271</v>
      </c>
      <c r="C332" s="461" t="s">
        <v>109</v>
      </c>
      <c r="D332" s="462" t="s">
        <v>69</v>
      </c>
      <c r="E332" s="462" t="s">
        <v>89</v>
      </c>
      <c r="F332" s="463" t="s">
        <v>370</v>
      </c>
      <c r="G332" s="193"/>
      <c r="H332" s="369">
        <f>H333+H334</f>
        <v>879.2</v>
      </c>
    </row>
    <row r="333" spans="1:8" ht="93.75">
      <c r="A333" s="355"/>
      <c r="B333" s="368" t="s">
        <v>73</v>
      </c>
      <c r="C333" s="461" t="s">
        <v>109</v>
      </c>
      <c r="D333" s="462" t="s">
        <v>69</v>
      </c>
      <c r="E333" s="462" t="s">
        <v>89</v>
      </c>
      <c r="F333" s="463" t="s">
        <v>370</v>
      </c>
      <c r="G333" s="193" t="s">
        <v>74</v>
      </c>
      <c r="H333" s="369">
        <f>'прил12(ведом 20)'!M632</f>
        <v>789.2</v>
      </c>
    </row>
    <row r="334" spans="1:8" ht="37.5">
      <c r="A334" s="355"/>
      <c r="B334" s="368" t="s">
        <v>79</v>
      </c>
      <c r="C334" s="461" t="s">
        <v>109</v>
      </c>
      <c r="D334" s="462" t="s">
        <v>69</v>
      </c>
      <c r="E334" s="462" t="s">
        <v>89</v>
      </c>
      <c r="F334" s="463" t="s">
        <v>370</v>
      </c>
      <c r="G334" s="193" t="s">
        <v>80</v>
      </c>
      <c r="H334" s="369">
        <f>'прил12(ведом 20)'!M633</f>
        <v>90</v>
      </c>
    </row>
    <row r="335" spans="1:8" ht="81.75" customHeight="1">
      <c r="A335" s="393"/>
      <c r="B335" s="382" t="s">
        <v>470</v>
      </c>
      <c r="C335" s="461" t="s">
        <v>109</v>
      </c>
      <c r="D335" s="462" t="s">
        <v>69</v>
      </c>
      <c r="E335" s="462" t="s">
        <v>76</v>
      </c>
      <c r="F335" s="463" t="s">
        <v>68</v>
      </c>
      <c r="G335" s="193"/>
      <c r="H335" s="369">
        <f>H336</f>
        <v>552</v>
      </c>
    </row>
    <row r="336" spans="1:8" ht="75">
      <c r="A336" s="393"/>
      <c r="B336" s="382" t="s">
        <v>458</v>
      </c>
      <c r="C336" s="461" t="s">
        <v>109</v>
      </c>
      <c r="D336" s="462" t="s">
        <v>69</v>
      </c>
      <c r="E336" s="462" t="s">
        <v>76</v>
      </c>
      <c r="F336" s="463" t="s">
        <v>457</v>
      </c>
      <c r="G336" s="193"/>
      <c r="H336" s="369">
        <f>H337</f>
        <v>552</v>
      </c>
    </row>
    <row r="337" spans="1:8" ht="23.25" customHeight="1">
      <c r="A337" s="393"/>
      <c r="B337" s="370" t="s">
        <v>152</v>
      </c>
      <c r="C337" s="461" t="s">
        <v>109</v>
      </c>
      <c r="D337" s="462" t="s">
        <v>69</v>
      </c>
      <c r="E337" s="462" t="s">
        <v>76</v>
      </c>
      <c r="F337" s="463" t="s">
        <v>457</v>
      </c>
      <c r="G337" s="193" t="s">
        <v>153</v>
      </c>
      <c r="H337" s="369">
        <f>'прил12(ведом 20)'!M163</f>
        <v>552</v>
      </c>
    </row>
    <row r="338" spans="1:8" ht="37.5">
      <c r="A338" s="393"/>
      <c r="B338" s="210" t="s">
        <v>639</v>
      </c>
      <c r="C338" s="461" t="s">
        <v>109</v>
      </c>
      <c r="D338" s="462" t="s">
        <v>69</v>
      </c>
      <c r="E338" s="462" t="s">
        <v>91</v>
      </c>
      <c r="F338" s="463" t="s">
        <v>68</v>
      </c>
      <c r="G338" s="193"/>
      <c r="H338" s="369">
        <f>H339</f>
        <v>276</v>
      </c>
    </row>
    <row r="339" spans="1:8" ht="56.25">
      <c r="A339" s="393"/>
      <c r="B339" s="210" t="s">
        <v>800</v>
      </c>
      <c r="C339" s="461" t="s">
        <v>109</v>
      </c>
      <c r="D339" s="462" t="s">
        <v>69</v>
      </c>
      <c r="E339" s="462" t="s">
        <v>91</v>
      </c>
      <c r="F339" s="463" t="s">
        <v>640</v>
      </c>
      <c r="G339" s="193"/>
      <c r="H339" s="369">
        <f>H340</f>
        <v>276</v>
      </c>
    </row>
    <row r="340" spans="1:8" ht="22.5" customHeight="1">
      <c r="A340" s="393"/>
      <c r="B340" s="211" t="s">
        <v>152</v>
      </c>
      <c r="C340" s="461" t="s">
        <v>109</v>
      </c>
      <c r="D340" s="462" t="s">
        <v>69</v>
      </c>
      <c r="E340" s="462" t="s">
        <v>91</v>
      </c>
      <c r="F340" s="463" t="s">
        <v>640</v>
      </c>
      <c r="G340" s="193" t="s">
        <v>153</v>
      </c>
      <c r="H340" s="369">
        <f>'прил12(ведом 20)'!M178</f>
        <v>276</v>
      </c>
    </row>
    <row r="341" spans="1:8" ht="18.75">
      <c r="A341" s="355"/>
      <c r="B341" s="368"/>
      <c r="C341" s="462"/>
      <c r="D341" s="462"/>
      <c r="E341" s="462"/>
      <c r="F341" s="463"/>
      <c r="G341" s="193"/>
      <c r="H341" s="369"/>
    </row>
    <row r="342" spans="1:8" ht="75">
      <c r="A342" s="378">
        <v>9</v>
      </c>
      <c r="B342" s="391" t="s">
        <v>421</v>
      </c>
      <c r="C342" s="379" t="s">
        <v>136</v>
      </c>
      <c r="D342" s="379" t="s">
        <v>66</v>
      </c>
      <c r="E342" s="379" t="s">
        <v>67</v>
      </c>
      <c r="F342" s="380" t="s">
        <v>68</v>
      </c>
      <c r="G342" s="433"/>
      <c r="H342" s="366">
        <f>H343</f>
        <v>23837.1</v>
      </c>
    </row>
    <row r="343" spans="1:8" ht="37.5">
      <c r="A343" s="378"/>
      <c r="B343" s="368" t="s">
        <v>423</v>
      </c>
      <c r="C343" s="461" t="s">
        <v>136</v>
      </c>
      <c r="D343" s="462" t="s">
        <v>69</v>
      </c>
      <c r="E343" s="462" t="s">
        <v>67</v>
      </c>
      <c r="F343" s="463" t="s">
        <v>68</v>
      </c>
      <c r="G343" s="193"/>
      <c r="H343" s="369">
        <f>H344</f>
        <v>23837.1</v>
      </c>
    </row>
    <row r="344" spans="1:8" ht="56.25">
      <c r="A344" s="378"/>
      <c r="B344" s="207" t="s">
        <v>488</v>
      </c>
      <c r="C344" s="461" t="s">
        <v>136</v>
      </c>
      <c r="D344" s="462" t="s">
        <v>69</v>
      </c>
      <c r="E344" s="462" t="s">
        <v>61</v>
      </c>
      <c r="F344" s="463" t="s">
        <v>68</v>
      </c>
      <c r="G344" s="193"/>
      <c r="H344" s="369">
        <f>H345</f>
        <v>23837.1</v>
      </c>
    </row>
    <row r="345" spans="1:8" ht="37.15" customHeight="1">
      <c r="A345" s="378"/>
      <c r="B345" s="423" t="s">
        <v>652</v>
      </c>
      <c r="C345" s="372" t="s">
        <v>136</v>
      </c>
      <c r="D345" s="373" t="s">
        <v>69</v>
      </c>
      <c r="E345" s="373" t="s">
        <v>61</v>
      </c>
      <c r="F345" s="429" t="s">
        <v>653</v>
      </c>
      <c r="G345" s="375"/>
      <c r="H345" s="369">
        <f>SUM(H346:H346)</f>
        <v>23837.1</v>
      </c>
    </row>
    <row r="346" spans="1:8" ht="37.5">
      <c r="A346" s="378"/>
      <c r="B346" s="423" t="s">
        <v>242</v>
      </c>
      <c r="C346" s="372" t="s">
        <v>136</v>
      </c>
      <c r="D346" s="373" t="s">
        <v>69</v>
      </c>
      <c r="E346" s="373" t="s">
        <v>61</v>
      </c>
      <c r="F346" s="429" t="s">
        <v>653</v>
      </c>
      <c r="G346" s="375" t="s">
        <v>243</v>
      </c>
      <c r="H346" s="369">
        <f>'прил12(ведом 20)'!M291</f>
        <v>23837.1</v>
      </c>
    </row>
    <row r="347" spans="1:8" ht="18.75">
      <c r="A347" s="393"/>
      <c r="B347" s="370"/>
      <c r="C347" s="218"/>
      <c r="D347" s="459"/>
      <c r="E347" s="459"/>
      <c r="F347" s="460"/>
      <c r="G347" s="353"/>
      <c r="H347" s="369"/>
    </row>
    <row r="348" spans="1:8" s="367" customFormat="1" ht="56.25">
      <c r="A348" s="378">
        <v>10</v>
      </c>
      <c r="B348" s="391" t="s">
        <v>126</v>
      </c>
      <c r="C348" s="379" t="s">
        <v>93</v>
      </c>
      <c r="D348" s="379" t="s">
        <v>66</v>
      </c>
      <c r="E348" s="379" t="s">
        <v>67</v>
      </c>
      <c r="F348" s="380" t="s">
        <v>68</v>
      </c>
      <c r="G348" s="433"/>
      <c r="H348" s="366">
        <f>H349</f>
        <v>17803.599999999999</v>
      </c>
    </row>
    <row r="349" spans="1:8" ht="27" customHeight="1">
      <c r="A349" s="355"/>
      <c r="B349" s="368" t="s">
        <v>428</v>
      </c>
      <c r="C349" s="461" t="s">
        <v>93</v>
      </c>
      <c r="D349" s="462" t="s">
        <v>69</v>
      </c>
      <c r="E349" s="462" t="s">
        <v>67</v>
      </c>
      <c r="F349" s="463" t="s">
        <v>68</v>
      </c>
      <c r="G349" s="387"/>
      <c r="H349" s="369">
        <f>H350+H353</f>
        <v>17803.599999999999</v>
      </c>
    </row>
    <row r="350" spans="1:8" ht="37.5">
      <c r="A350" s="355"/>
      <c r="B350" s="368" t="s">
        <v>127</v>
      </c>
      <c r="C350" s="461" t="s">
        <v>93</v>
      </c>
      <c r="D350" s="462" t="s">
        <v>69</v>
      </c>
      <c r="E350" s="462" t="s">
        <v>61</v>
      </c>
      <c r="F350" s="463" t="s">
        <v>68</v>
      </c>
      <c r="G350" s="387"/>
      <c r="H350" s="369">
        <f>H351</f>
        <v>17620</v>
      </c>
    </row>
    <row r="351" spans="1:8" ht="56.25">
      <c r="A351" s="355"/>
      <c r="B351" s="250" t="s">
        <v>638</v>
      </c>
      <c r="C351" s="461" t="s">
        <v>93</v>
      </c>
      <c r="D351" s="462" t="s">
        <v>69</v>
      </c>
      <c r="E351" s="462" t="s">
        <v>61</v>
      </c>
      <c r="F351" s="463" t="s">
        <v>86</v>
      </c>
      <c r="G351" s="193"/>
      <c r="H351" s="369">
        <f>H352</f>
        <v>17620</v>
      </c>
    </row>
    <row r="352" spans="1:8" ht="18.75">
      <c r="A352" s="355"/>
      <c r="B352" s="368" t="s">
        <v>81</v>
      </c>
      <c r="C352" s="461" t="s">
        <v>93</v>
      </c>
      <c r="D352" s="462" t="s">
        <v>69</v>
      </c>
      <c r="E352" s="462" t="s">
        <v>61</v>
      </c>
      <c r="F352" s="463" t="s">
        <v>86</v>
      </c>
      <c r="G352" s="193" t="s">
        <v>82</v>
      </c>
      <c r="H352" s="369">
        <f>'прил12(ведом 20)'!M124</f>
        <v>17620</v>
      </c>
    </row>
    <row r="353" spans="1:8" ht="56.25">
      <c r="A353" s="355"/>
      <c r="B353" s="368" t="s">
        <v>128</v>
      </c>
      <c r="C353" s="461" t="s">
        <v>93</v>
      </c>
      <c r="D353" s="462" t="s">
        <v>69</v>
      </c>
      <c r="E353" s="462" t="s">
        <v>63</v>
      </c>
      <c r="F353" s="463" t="s">
        <v>68</v>
      </c>
      <c r="G353" s="193"/>
      <c r="H353" s="369">
        <f>H354</f>
        <v>183.6</v>
      </c>
    </row>
    <row r="354" spans="1:8" ht="18.75">
      <c r="A354" s="355"/>
      <c r="B354" s="207" t="s">
        <v>784</v>
      </c>
      <c r="C354" s="461" t="s">
        <v>93</v>
      </c>
      <c r="D354" s="462" t="s">
        <v>69</v>
      </c>
      <c r="E354" s="462" t="s">
        <v>63</v>
      </c>
      <c r="F354" s="463" t="s">
        <v>129</v>
      </c>
      <c r="G354" s="193"/>
      <c r="H354" s="369">
        <f>H355</f>
        <v>183.6</v>
      </c>
    </row>
    <row r="355" spans="1:8" ht="37.5">
      <c r="A355" s="355"/>
      <c r="B355" s="368" t="s">
        <v>79</v>
      </c>
      <c r="C355" s="461" t="s">
        <v>93</v>
      </c>
      <c r="D355" s="462" t="s">
        <v>69</v>
      </c>
      <c r="E355" s="462" t="s">
        <v>63</v>
      </c>
      <c r="F355" s="463" t="s">
        <v>129</v>
      </c>
      <c r="G355" s="193" t="s">
        <v>80</v>
      </c>
      <c r="H355" s="369">
        <f>'прил12(ведом 20)'!M127</f>
        <v>183.6</v>
      </c>
    </row>
    <row r="356" spans="1:8" ht="18.75">
      <c r="A356" s="355"/>
      <c r="B356" s="377"/>
      <c r="C356" s="459"/>
      <c r="D356" s="459"/>
      <c r="E356" s="459"/>
      <c r="F356" s="460"/>
      <c r="G356" s="353"/>
      <c r="H356" s="369"/>
    </row>
    <row r="357" spans="1:8" s="367" customFormat="1" ht="56.25">
      <c r="A357" s="378">
        <v>11</v>
      </c>
      <c r="B357" s="391" t="s">
        <v>131</v>
      </c>
      <c r="C357" s="379" t="s">
        <v>132</v>
      </c>
      <c r="D357" s="379" t="s">
        <v>66</v>
      </c>
      <c r="E357" s="379" t="s">
        <v>67</v>
      </c>
      <c r="F357" s="380" t="s">
        <v>68</v>
      </c>
      <c r="G357" s="365"/>
      <c r="H357" s="366">
        <f>H358</f>
        <v>9186.7875899999999</v>
      </c>
    </row>
    <row r="358" spans="1:8" s="367" customFormat="1" ht="27.75" customHeight="1">
      <c r="A358" s="355"/>
      <c r="B358" s="368" t="s">
        <v>428</v>
      </c>
      <c r="C358" s="461" t="s">
        <v>132</v>
      </c>
      <c r="D358" s="462" t="s">
        <v>69</v>
      </c>
      <c r="E358" s="462" t="s">
        <v>67</v>
      </c>
      <c r="F358" s="463" t="s">
        <v>68</v>
      </c>
      <c r="G358" s="193"/>
      <c r="H358" s="369">
        <f>H359</f>
        <v>9186.7875899999999</v>
      </c>
    </row>
    <row r="359" spans="1:8" s="367" customFormat="1" ht="75">
      <c r="A359" s="355"/>
      <c r="B359" s="368" t="s">
        <v>133</v>
      </c>
      <c r="C359" s="461" t="s">
        <v>132</v>
      </c>
      <c r="D359" s="462" t="s">
        <v>69</v>
      </c>
      <c r="E359" s="462" t="s">
        <v>61</v>
      </c>
      <c r="F359" s="463" t="s">
        <v>68</v>
      </c>
      <c r="G359" s="193"/>
      <c r="H359" s="369">
        <f>H360</f>
        <v>9186.7875899999999</v>
      </c>
    </row>
    <row r="360" spans="1:8" s="367" customFormat="1" ht="75">
      <c r="A360" s="355"/>
      <c r="B360" s="381" t="s">
        <v>134</v>
      </c>
      <c r="C360" s="461" t="s">
        <v>132</v>
      </c>
      <c r="D360" s="462" t="s">
        <v>69</v>
      </c>
      <c r="E360" s="462" t="s">
        <v>61</v>
      </c>
      <c r="F360" s="463" t="s">
        <v>135</v>
      </c>
      <c r="G360" s="193"/>
      <c r="H360" s="369">
        <f>H361</f>
        <v>9186.7875899999999</v>
      </c>
    </row>
    <row r="361" spans="1:8" ht="37.5">
      <c r="A361" s="355"/>
      <c r="B361" s="368" t="s">
        <v>79</v>
      </c>
      <c r="C361" s="461" t="s">
        <v>132</v>
      </c>
      <c r="D361" s="462" t="s">
        <v>69</v>
      </c>
      <c r="E361" s="462" t="s">
        <v>61</v>
      </c>
      <c r="F361" s="463" t="s">
        <v>135</v>
      </c>
      <c r="G361" s="193" t="s">
        <v>80</v>
      </c>
      <c r="H361" s="369">
        <f>'прил12(ведом 20)'!M133</f>
        <v>9186.7875899999999</v>
      </c>
    </row>
    <row r="362" spans="1:8" ht="18.75">
      <c r="A362" s="355"/>
      <c r="B362" s="377"/>
      <c r="C362" s="459"/>
      <c r="D362" s="459"/>
      <c r="E362" s="459"/>
      <c r="F362" s="460"/>
      <c r="G362" s="353"/>
      <c r="H362" s="369"/>
    </row>
    <row r="363" spans="1:8" s="367" customFormat="1" ht="75">
      <c r="A363" s="378">
        <v>12</v>
      </c>
      <c r="B363" s="391" t="s">
        <v>139</v>
      </c>
      <c r="C363" s="379" t="s">
        <v>100</v>
      </c>
      <c r="D363" s="379" t="s">
        <v>66</v>
      </c>
      <c r="E363" s="379" t="s">
        <v>67</v>
      </c>
      <c r="F363" s="380" t="s">
        <v>68</v>
      </c>
      <c r="G363" s="365"/>
      <c r="H363" s="366">
        <f>H364+H368</f>
        <v>1087</v>
      </c>
    </row>
    <row r="364" spans="1:8" s="367" customFormat="1" ht="37.5">
      <c r="A364" s="355"/>
      <c r="B364" s="392" t="s">
        <v>140</v>
      </c>
      <c r="C364" s="461" t="s">
        <v>100</v>
      </c>
      <c r="D364" s="462" t="s">
        <v>69</v>
      </c>
      <c r="E364" s="462" t="s">
        <v>67</v>
      </c>
      <c r="F364" s="463" t="s">
        <v>68</v>
      </c>
      <c r="G364" s="193"/>
      <c r="H364" s="369">
        <f>H365</f>
        <v>310</v>
      </c>
    </row>
    <row r="365" spans="1:8" s="367" customFormat="1" ht="37.5">
      <c r="A365" s="355"/>
      <c r="B365" s="368" t="s">
        <v>141</v>
      </c>
      <c r="C365" s="461" t="s">
        <v>100</v>
      </c>
      <c r="D365" s="462" t="s">
        <v>69</v>
      </c>
      <c r="E365" s="462" t="s">
        <v>61</v>
      </c>
      <c r="F365" s="463" t="s">
        <v>68</v>
      </c>
      <c r="G365" s="193"/>
      <c r="H365" s="369">
        <f>H366</f>
        <v>310</v>
      </c>
    </row>
    <row r="366" spans="1:8" s="367" customFormat="1" ht="37.5">
      <c r="A366" s="355"/>
      <c r="B366" s="392" t="s">
        <v>142</v>
      </c>
      <c r="C366" s="461" t="s">
        <v>100</v>
      </c>
      <c r="D366" s="462" t="s">
        <v>69</v>
      </c>
      <c r="E366" s="462" t="s">
        <v>61</v>
      </c>
      <c r="F366" s="463" t="s">
        <v>143</v>
      </c>
      <c r="G366" s="193"/>
      <c r="H366" s="369">
        <f>SUM(H367:H367)</f>
        <v>310</v>
      </c>
    </row>
    <row r="367" spans="1:8" s="367" customFormat="1" ht="37.5">
      <c r="A367" s="355"/>
      <c r="B367" s="368" t="s">
        <v>79</v>
      </c>
      <c r="C367" s="461" t="s">
        <v>100</v>
      </c>
      <c r="D367" s="462" t="s">
        <v>69</v>
      </c>
      <c r="E367" s="462" t="s">
        <v>61</v>
      </c>
      <c r="F367" s="463" t="s">
        <v>143</v>
      </c>
      <c r="G367" s="193" t="s">
        <v>80</v>
      </c>
      <c r="H367" s="369">
        <f>'прил12(ведом 20)'!M139</f>
        <v>310</v>
      </c>
    </row>
    <row r="368" spans="1:8" s="367" customFormat="1" ht="19.149999999999999" customHeight="1">
      <c r="A368" s="355"/>
      <c r="B368" s="392" t="s">
        <v>144</v>
      </c>
      <c r="C368" s="461" t="s">
        <v>100</v>
      </c>
      <c r="D368" s="462" t="s">
        <v>120</v>
      </c>
      <c r="E368" s="462" t="s">
        <v>67</v>
      </c>
      <c r="F368" s="463" t="s">
        <v>68</v>
      </c>
      <c r="G368" s="193"/>
      <c r="H368" s="369">
        <f>H369</f>
        <v>777</v>
      </c>
    </row>
    <row r="369" spans="1:8" s="367" customFormat="1" ht="37.5">
      <c r="A369" s="355"/>
      <c r="B369" s="392" t="s">
        <v>145</v>
      </c>
      <c r="C369" s="461" t="s">
        <v>100</v>
      </c>
      <c r="D369" s="462" t="s">
        <v>120</v>
      </c>
      <c r="E369" s="462" t="s">
        <v>61</v>
      </c>
      <c r="F369" s="463" t="s">
        <v>68</v>
      </c>
      <c r="G369" s="193"/>
      <c r="H369" s="369">
        <f>H370</f>
        <v>777</v>
      </c>
    </row>
    <row r="370" spans="1:8" s="367" customFormat="1" ht="75">
      <c r="A370" s="355"/>
      <c r="B370" s="392" t="s">
        <v>146</v>
      </c>
      <c r="C370" s="461" t="s">
        <v>100</v>
      </c>
      <c r="D370" s="462" t="s">
        <v>120</v>
      </c>
      <c r="E370" s="462" t="s">
        <v>61</v>
      </c>
      <c r="F370" s="463" t="s">
        <v>147</v>
      </c>
      <c r="G370" s="193"/>
      <c r="H370" s="369">
        <f>H371</f>
        <v>777</v>
      </c>
    </row>
    <row r="371" spans="1:8" ht="37.5">
      <c r="A371" s="355"/>
      <c r="B371" s="368" t="s">
        <v>79</v>
      </c>
      <c r="C371" s="461" t="s">
        <v>100</v>
      </c>
      <c r="D371" s="462" t="s">
        <v>120</v>
      </c>
      <c r="E371" s="462" t="s">
        <v>61</v>
      </c>
      <c r="F371" s="463" t="s">
        <v>147</v>
      </c>
      <c r="G371" s="193" t="s">
        <v>80</v>
      </c>
      <c r="H371" s="369">
        <f>'прил12(ведом 20)'!M143</f>
        <v>777</v>
      </c>
    </row>
    <row r="372" spans="1:8" ht="18.75">
      <c r="A372" s="355"/>
      <c r="B372" s="377"/>
      <c r="C372" s="459"/>
      <c r="D372" s="459"/>
      <c r="E372" s="459"/>
      <c r="F372" s="460"/>
      <c r="G372" s="353"/>
      <c r="H372" s="369"/>
    </row>
    <row r="373" spans="1:8" s="367" customFormat="1" ht="59.25" customHeight="1">
      <c r="A373" s="378">
        <v>13</v>
      </c>
      <c r="B373" s="391" t="s">
        <v>148</v>
      </c>
      <c r="C373" s="379" t="s">
        <v>119</v>
      </c>
      <c r="D373" s="379" t="s">
        <v>66</v>
      </c>
      <c r="E373" s="379" t="s">
        <v>67</v>
      </c>
      <c r="F373" s="380" t="s">
        <v>68</v>
      </c>
      <c r="G373" s="365"/>
      <c r="H373" s="366">
        <f>H374</f>
        <v>1386.9</v>
      </c>
    </row>
    <row r="374" spans="1:8" s="367" customFormat="1" ht="31.5" customHeight="1">
      <c r="A374" s="355"/>
      <c r="B374" s="368" t="s">
        <v>428</v>
      </c>
      <c r="C374" s="461" t="s">
        <v>119</v>
      </c>
      <c r="D374" s="462" t="s">
        <v>69</v>
      </c>
      <c r="E374" s="462" t="s">
        <v>67</v>
      </c>
      <c r="F374" s="463" t="s">
        <v>68</v>
      </c>
      <c r="G374" s="193"/>
      <c r="H374" s="369">
        <f>H375</f>
        <v>1386.9</v>
      </c>
    </row>
    <row r="375" spans="1:8" s="367" customFormat="1" ht="56.25">
      <c r="A375" s="355"/>
      <c r="B375" s="392" t="s">
        <v>382</v>
      </c>
      <c r="C375" s="461" t="s">
        <v>119</v>
      </c>
      <c r="D375" s="462" t="s">
        <v>69</v>
      </c>
      <c r="E375" s="462" t="s">
        <v>61</v>
      </c>
      <c r="F375" s="463" t="s">
        <v>68</v>
      </c>
      <c r="G375" s="193"/>
      <c r="H375" s="369">
        <f>H376+H378</f>
        <v>1386.9</v>
      </c>
    </row>
    <row r="376" spans="1:8" s="367" customFormat="1" ht="56.25">
      <c r="A376" s="355"/>
      <c r="B376" s="392" t="s">
        <v>149</v>
      </c>
      <c r="C376" s="461" t="s">
        <v>119</v>
      </c>
      <c r="D376" s="462" t="s">
        <v>69</v>
      </c>
      <c r="E376" s="462" t="s">
        <v>61</v>
      </c>
      <c r="F376" s="463" t="s">
        <v>150</v>
      </c>
      <c r="G376" s="193"/>
      <c r="H376" s="369">
        <f>H377</f>
        <v>607.9</v>
      </c>
    </row>
    <row r="377" spans="1:8" ht="37.5">
      <c r="A377" s="355"/>
      <c r="B377" s="368" t="s">
        <v>79</v>
      </c>
      <c r="C377" s="461" t="s">
        <v>119</v>
      </c>
      <c r="D377" s="462" t="s">
        <v>69</v>
      </c>
      <c r="E377" s="462" t="s">
        <v>61</v>
      </c>
      <c r="F377" s="463" t="s">
        <v>150</v>
      </c>
      <c r="G377" s="193" t="s">
        <v>80</v>
      </c>
      <c r="H377" s="369">
        <f>'прил12(ведом 20)'!M148</f>
        <v>607.9</v>
      </c>
    </row>
    <row r="378" spans="1:8" ht="56.25">
      <c r="A378" s="355"/>
      <c r="B378" s="207" t="s">
        <v>537</v>
      </c>
      <c r="C378" s="461" t="s">
        <v>119</v>
      </c>
      <c r="D378" s="462" t="s">
        <v>69</v>
      </c>
      <c r="E378" s="462" t="s">
        <v>61</v>
      </c>
      <c r="F378" s="463" t="s">
        <v>536</v>
      </c>
      <c r="G378" s="193"/>
      <c r="H378" s="369">
        <f>H379</f>
        <v>779</v>
      </c>
    </row>
    <row r="379" spans="1:8" ht="37.5">
      <c r="A379" s="355"/>
      <c r="B379" s="207" t="s">
        <v>79</v>
      </c>
      <c r="C379" s="461" t="s">
        <v>119</v>
      </c>
      <c r="D379" s="462" t="s">
        <v>69</v>
      </c>
      <c r="E379" s="462" t="s">
        <v>61</v>
      </c>
      <c r="F379" s="463" t="s">
        <v>536</v>
      </c>
      <c r="G379" s="193" t="s">
        <v>80</v>
      </c>
      <c r="H379" s="369">
        <f>'прил12(ведом 20)'!M150</f>
        <v>779</v>
      </c>
    </row>
    <row r="380" spans="1:8" s="367" customFormat="1" ht="18.75">
      <c r="A380" s="355"/>
      <c r="B380" s="370"/>
      <c r="C380" s="459"/>
      <c r="D380" s="459"/>
      <c r="E380" s="459"/>
      <c r="F380" s="460"/>
      <c r="G380" s="353"/>
      <c r="H380" s="369"/>
    </row>
    <row r="381" spans="1:8" s="367" customFormat="1" ht="75">
      <c r="A381" s="378">
        <v>14</v>
      </c>
      <c r="B381" s="391" t="s">
        <v>101</v>
      </c>
      <c r="C381" s="379" t="s">
        <v>102</v>
      </c>
      <c r="D381" s="379" t="s">
        <v>66</v>
      </c>
      <c r="E381" s="379" t="s">
        <v>67</v>
      </c>
      <c r="F381" s="380" t="s">
        <v>68</v>
      </c>
      <c r="G381" s="365"/>
      <c r="H381" s="366">
        <f>H382</f>
        <v>1481.2</v>
      </c>
    </row>
    <row r="382" spans="1:8" ht="37.5">
      <c r="A382" s="355"/>
      <c r="B382" s="368" t="s">
        <v>428</v>
      </c>
      <c r="C382" s="461" t="s">
        <v>102</v>
      </c>
      <c r="D382" s="462" t="s">
        <v>69</v>
      </c>
      <c r="E382" s="462" t="s">
        <v>67</v>
      </c>
      <c r="F382" s="463" t="s">
        <v>68</v>
      </c>
      <c r="G382" s="193"/>
      <c r="H382" s="369">
        <f>H383</f>
        <v>1481.2</v>
      </c>
    </row>
    <row r="383" spans="1:8" ht="37.5">
      <c r="A383" s="355"/>
      <c r="B383" s="382" t="s">
        <v>328</v>
      </c>
      <c r="C383" s="461" t="s">
        <v>102</v>
      </c>
      <c r="D383" s="462" t="s">
        <v>69</v>
      </c>
      <c r="E383" s="462" t="s">
        <v>61</v>
      </c>
      <c r="F383" s="463" t="s">
        <v>68</v>
      </c>
      <c r="G383" s="193"/>
      <c r="H383" s="369">
        <f>H384</f>
        <v>1481.2</v>
      </c>
    </row>
    <row r="384" spans="1:8" ht="37.5">
      <c r="A384" s="355"/>
      <c r="B384" s="382" t="s">
        <v>103</v>
      </c>
      <c r="C384" s="461" t="s">
        <v>102</v>
      </c>
      <c r="D384" s="462" t="s">
        <v>69</v>
      </c>
      <c r="E384" s="462" t="s">
        <v>61</v>
      </c>
      <c r="F384" s="463" t="s">
        <v>104</v>
      </c>
      <c r="G384" s="193"/>
      <c r="H384" s="369">
        <f>H385</f>
        <v>1481.2</v>
      </c>
    </row>
    <row r="385" spans="1:8" ht="40.5" customHeight="1">
      <c r="A385" s="355"/>
      <c r="B385" s="370" t="s">
        <v>105</v>
      </c>
      <c r="C385" s="461" t="s">
        <v>102</v>
      </c>
      <c r="D385" s="462" t="s">
        <v>69</v>
      </c>
      <c r="E385" s="462" t="s">
        <v>61</v>
      </c>
      <c r="F385" s="463" t="s">
        <v>104</v>
      </c>
      <c r="G385" s="193" t="s">
        <v>106</v>
      </c>
      <c r="H385" s="369">
        <f>'прил12(ведом 20)'!M69+'прил12(ведом 20)'!M183</f>
        <v>1481.2</v>
      </c>
    </row>
    <row r="386" spans="1:8" ht="18.75">
      <c r="A386" s="355"/>
      <c r="B386" s="370"/>
      <c r="C386" s="459"/>
      <c r="D386" s="459"/>
      <c r="E386" s="459"/>
      <c r="F386" s="460"/>
      <c r="G386" s="353"/>
      <c r="H386" s="369"/>
    </row>
    <row r="387" spans="1:8" s="367" customFormat="1" ht="56.25">
      <c r="A387" s="378">
        <v>15</v>
      </c>
      <c r="B387" s="391" t="s">
        <v>64</v>
      </c>
      <c r="C387" s="379" t="s">
        <v>65</v>
      </c>
      <c r="D387" s="379" t="s">
        <v>66</v>
      </c>
      <c r="E387" s="379" t="s">
        <v>67</v>
      </c>
      <c r="F387" s="380" t="s">
        <v>68</v>
      </c>
      <c r="G387" s="365"/>
      <c r="H387" s="366">
        <f>H388</f>
        <v>89757.963000000018</v>
      </c>
    </row>
    <row r="388" spans="1:8" s="367" customFormat="1" ht="30" customHeight="1">
      <c r="A388" s="355"/>
      <c r="B388" s="368" t="s">
        <v>428</v>
      </c>
      <c r="C388" s="461" t="s">
        <v>65</v>
      </c>
      <c r="D388" s="462" t="s">
        <v>69</v>
      </c>
      <c r="E388" s="462" t="s">
        <v>67</v>
      </c>
      <c r="F388" s="463" t="s">
        <v>68</v>
      </c>
      <c r="G388" s="193"/>
      <c r="H388" s="369">
        <f>H389+H392+H415+H420+H425+H430+H433+H439+H436</f>
        <v>89757.963000000018</v>
      </c>
    </row>
    <row r="389" spans="1:8" s="367" customFormat="1" ht="37.5">
      <c r="A389" s="355"/>
      <c r="B389" s="368" t="s">
        <v>70</v>
      </c>
      <c r="C389" s="461" t="s">
        <v>65</v>
      </c>
      <c r="D389" s="462" t="s">
        <v>69</v>
      </c>
      <c r="E389" s="462" t="s">
        <v>61</v>
      </c>
      <c r="F389" s="463" t="s">
        <v>68</v>
      </c>
      <c r="G389" s="193"/>
      <c r="H389" s="369">
        <f>H390</f>
        <v>2046.6</v>
      </c>
    </row>
    <row r="390" spans="1:8" s="367" customFormat="1" ht="37.5">
      <c r="A390" s="355"/>
      <c r="B390" s="368" t="s">
        <v>71</v>
      </c>
      <c r="C390" s="461" t="s">
        <v>65</v>
      </c>
      <c r="D390" s="462" t="s">
        <v>69</v>
      </c>
      <c r="E390" s="462" t="s">
        <v>61</v>
      </c>
      <c r="F390" s="463" t="s">
        <v>72</v>
      </c>
      <c r="G390" s="193"/>
      <c r="H390" s="369">
        <f>H391</f>
        <v>2046.6</v>
      </c>
    </row>
    <row r="391" spans="1:8" s="367" customFormat="1" ht="93.75">
      <c r="A391" s="355"/>
      <c r="B391" s="368" t="s">
        <v>73</v>
      </c>
      <c r="C391" s="461" t="s">
        <v>65</v>
      </c>
      <c r="D391" s="462" t="s">
        <v>69</v>
      </c>
      <c r="E391" s="462" t="s">
        <v>61</v>
      </c>
      <c r="F391" s="463" t="s">
        <v>72</v>
      </c>
      <c r="G391" s="193" t="s">
        <v>74</v>
      </c>
      <c r="H391" s="369">
        <f>'прил12(ведом 20)'!M22</f>
        <v>2046.6</v>
      </c>
    </row>
    <row r="392" spans="1:8" s="367" customFormat="1" ht="37.5">
      <c r="A392" s="355"/>
      <c r="B392" s="368" t="s">
        <v>78</v>
      </c>
      <c r="C392" s="461" t="s">
        <v>65</v>
      </c>
      <c r="D392" s="462" t="s">
        <v>69</v>
      </c>
      <c r="E392" s="462" t="s">
        <v>63</v>
      </c>
      <c r="F392" s="463" t="s">
        <v>68</v>
      </c>
      <c r="G392" s="193"/>
      <c r="H392" s="369">
        <f>H393+H401+H403+H405+H408+H411+H399+H397+H413</f>
        <v>71117.063000000009</v>
      </c>
    </row>
    <row r="393" spans="1:8" s="367" customFormat="1" ht="37.5">
      <c r="A393" s="355"/>
      <c r="B393" s="368" t="s">
        <v>71</v>
      </c>
      <c r="C393" s="461" t="s">
        <v>65</v>
      </c>
      <c r="D393" s="462" t="s">
        <v>69</v>
      </c>
      <c r="E393" s="462" t="s">
        <v>63</v>
      </c>
      <c r="F393" s="463" t="s">
        <v>72</v>
      </c>
      <c r="G393" s="193"/>
      <c r="H393" s="369">
        <f>SUM(H394:H396)</f>
        <v>65756.963000000003</v>
      </c>
    </row>
    <row r="394" spans="1:8" s="367" customFormat="1" ht="93.75">
      <c r="A394" s="355"/>
      <c r="B394" s="368" t="s">
        <v>73</v>
      </c>
      <c r="C394" s="461" t="s">
        <v>65</v>
      </c>
      <c r="D394" s="462" t="s">
        <v>69</v>
      </c>
      <c r="E394" s="462" t="s">
        <v>63</v>
      </c>
      <c r="F394" s="463" t="s">
        <v>72</v>
      </c>
      <c r="G394" s="193" t="s">
        <v>74</v>
      </c>
      <c r="H394" s="369">
        <f>'прил12(ведом 20)'!M28</f>
        <v>57781.4</v>
      </c>
    </row>
    <row r="395" spans="1:8" ht="37.5">
      <c r="A395" s="355"/>
      <c r="B395" s="368" t="s">
        <v>79</v>
      </c>
      <c r="C395" s="461" t="s">
        <v>65</v>
      </c>
      <c r="D395" s="462" t="s">
        <v>69</v>
      </c>
      <c r="E395" s="462" t="s">
        <v>63</v>
      </c>
      <c r="F395" s="463" t="s">
        <v>72</v>
      </c>
      <c r="G395" s="193" t="s">
        <v>80</v>
      </c>
      <c r="H395" s="369">
        <f>'прил12(ведом 20)'!M29</f>
        <v>7463.2630000000008</v>
      </c>
    </row>
    <row r="396" spans="1:8" s="367" customFormat="1" ht="18.75">
      <c r="A396" s="355"/>
      <c r="B396" s="368" t="s">
        <v>81</v>
      </c>
      <c r="C396" s="461" t="s">
        <v>65</v>
      </c>
      <c r="D396" s="462" t="s">
        <v>69</v>
      </c>
      <c r="E396" s="462" t="s">
        <v>63</v>
      </c>
      <c r="F396" s="463" t="s">
        <v>72</v>
      </c>
      <c r="G396" s="193" t="s">
        <v>82</v>
      </c>
      <c r="H396" s="369">
        <f>'прил12(ведом 20)'!M30</f>
        <v>512.29999999999995</v>
      </c>
    </row>
    <row r="397" spans="1:8" s="367" customFormat="1" ht="18.75">
      <c r="A397" s="355"/>
      <c r="B397" s="211" t="s">
        <v>636</v>
      </c>
      <c r="C397" s="461" t="s">
        <v>65</v>
      </c>
      <c r="D397" s="462" t="s">
        <v>69</v>
      </c>
      <c r="E397" s="462" t="s">
        <v>63</v>
      </c>
      <c r="F397" s="463" t="s">
        <v>637</v>
      </c>
      <c r="G397" s="193"/>
      <c r="H397" s="369">
        <f>H398</f>
        <v>81.199999999999989</v>
      </c>
    </row>
    <row r="398" spans="1:8" s="367" customFormat="1" ht="37.5">
      <c r="A398" s="355"/>
      <c r="B398" s="207" t="s">
        <v>79</v>
      </c>
      <c r="C398" s="461" t="s">
        <v>65</v>
      </c>
      <c r="D398" s="462" t="s">
        <v>69</v>
      </c>
      <c r="E398" s="462" t="s">
        <v>63</v>
      </c>
      <c r="F398" s="463" t="s">
        <v>637</v>
      </c>
      <c r="G398" s="193" t="s">
        <v>80</v>
      </c>
      <c r="H398" s="369">
        <f>'прил12(ведом 20)'!M74</f>
        <v>81.199999999999989</v>
      </c>
    </row>
    <row r="399" spans="1:8" s="367" customFormat="1" ht="75">
      <c r="A399" s="355"/>
      <c r="B399" s="207" t="s">
        <v>530</v>
      </c>
      <c r="C399" s="461" t="s">
        <v>65</v>
      </c>
      <c r="D399" s="462" t="s">
        <v>69</v>
      </c>
      <c r="E399" s="462" t="s">
        <v>63</v>
      </c>
      <c r="F399" s="463" t="s">
        <v>529</v>
      </c>
      <c r="G399" s="193"/>
      <c r="H399" s="369">
        <f>H400</f>
        <v>12.4</v>
      </c>
    </row>
    <row r="400" spans="1:8" s="367" customFormat="1" ht="37.5">
      <c r="A400" s="355"/>
      <c r="B400" s="207" t="s">
        <v>79</v>
      </c>
      <c r="C400" s="461" t="s">
        <v>65</v>
      </c>
      <c r="D400" s="462" t="s">
        <v>69</v>
      </c>
      <c r="E400" s="462" t="s">
        <v>63</v>
      </c>
      <c r="F400" s="463" t="s">
        <v>529</v>
      </c>
      <c r="G400" s="193" t="s">
        <v>80</v>
      </c>
      <c r="H400" s="369">
        <f>'прил12(ведом 20)'!M51</f>
        <v>12.4</v>
      </c>
    </row>
    <row r="401" spans="1:8" ht="78.75" customHeight="1">
      <c r="A401" s="355"/>
      <c r="B401" s="368" t="s">
        <v>87</v>
      </c>
      <c r="C401" s="461" t="s">
        <v>65</v>
      </c>
      <c r="D401" s="462" t="s">
        <v>69</v>
      </c>
      <c r="E401" s="462" t="s">
        <v>63</v>
      </c>
      <c r="F401" s="463" t="s">
        <v>327</v>
      </c>
      <c r="G401" s="193"/>
      <c r="H401" s="369">
        <f>H402</f>
        <v>66</v>
      </c>
    </row>
    <row r="402" spans="1:8" ht="37.5">
      <c r="A402" s="355"/>
      <c r="B402" s="368" t="s">
        <v>79</v>
      </c>
      <c r="C402" s="461" t="s">
        <v>65</v>
      </c>
      <c r="D402" s="462" t="s">
        <v>69</v>
      </c>
      <c r="E402" s="462" t="s">
        <v>63</v>
      </c>
      <c r="F402" s="463" t="s">
        <v>327</v>
      </c>
      <c r="G402" s="193" t="s">
        <v>80</v>
      </c>
      <c r="H402" s="369">
        <f>'прил12(ведом 20)'!M32</f>
        <v>66</v>
      </c>
    </row>
    <row r="403" spans="1:8" ht="194.25" customHeight="1">
      <c r="A403" s="355"/>
      <c r="B403" s="250" t="s">
        <v>631</v>
      </c>
      <c r="C403" s="461" t="s">
        <v>65</v>
      </c>
      <c r="D403" s="462" t="s">
        <v>69</v>
      </c>
      <c r="E403" s="462" t="s">
        <v>63</v>
      </c>
      <c r="F403" s="463" t="s">
        <v>83</v>
      </c>
      <c r="G403" s="193"/>
      <c r="H403" s="369">
        <f>H404</f>
        <v>640.6</v>
      </c>
    </row>
    <row r="404" spans="1:8" ht="93.75">
      <c r="A404" s="355"/>
      <c r="B404" s="207" t="s">
        <v>73</v>
      </c>
      <c r="C404" s="461" t="s">
        <v>65</v>
      </c>
      <c r="D404" s="462" t="s">
        <v>69</v>
      </c>
      <c r="E404" s="462" t="s">
        <v>63</v>
      </c>
      <c r="F404" s="463" t="s">
        <v>83</v>
      </c>
      <c r="G404" s="193" t="s">
        <v>74</v>
      </c>
      <c r="H404" s="369">
        <f>'прил12(ведом 20)'!M34</f>
        <v>640.6</v>
      </c>
    </row>
    <row r="405" spans="1:8" ht="75">
      <c r="A405" s="355"/>
      <c r="B405" s="368" t="s">
        <v>84</v>
      </c>
      <c r="C405" s="461" t="s">
        <v>65</v>
      </c>
      <c r="D405" s="462" t="s">
        <v>69</v>
      </c>
      <c r="E405" s="462" t="s">
        <v>63</v>
      </c>
      <c r="F405" s="463" t="s">
        <v>85</v>
      </c>
      <c r="G405" s="193"/>
      <c r="H405" s="369">
        <f>SUM(H406:H407)</f>
        <v>3458</v>
      </c>
    </row>
    <row r="406" spans="1:8" ht="93.75">
      <c r="A406" s="355"/>
      <c r="B406" s="368" t="s">
        <v>73</v>
      </c>
      <c r="C406" s="461" t="s">
        <v>65</v>
      </c>
      <c r="D406" s="462" t="s">
        <v>69</v>
      </c>
      <c r="E406" s="462" t="s">
        <v>63</v>
      </c>
      <c r="F406" s="463" t="s">
        <v>85</v>
      </c>
      <c r="G406" s="193" t="s">
        <v>74</v>
      </c>
      <c r="H406" s="369">
        <f>'прил12(ведом 20)'!M36</f>
        <v>3296</v>
      </c>
    </row>
    <row r="407" spans="1:8" ht="37.5">
      <c r="A407" s="355"/>
      <c r="B407" s="207" t="s">
        <v>79</v>
      </c>
      <c r="C407" s="461" t="s">
        <v>65</v>
      </c>
      <c r="D407" s="462" t="s">
        <v>69</v>
      </c>
      <c r="E407" s="462" t="s">
        <v>63</v>
      </c>
      <c r="F407" s="463" t="s">
        <v>85</v>
      </c>
      <c r="G407" s="193" t="s">
        <v>80</v>
      </c>
      <c r="H407" s="369">
        <f>'прил12(ведом 20)'!M37</f>
        <v>162</v>
      </c>
    </row>
    <row r="408" spans="1:8" ht="56.25">
      <c r="A408" s="355"/>
      <c r="B408" s="207" t="s">
        <v>638</v>
      </c>
      <c r="C408" s="461" t="s">
        <v>65</v>
      </c>
      <c r="D408" s="462" t="s">
        <v>69</v>
      </c>
      <c r="E408" s="462" t="s">
        <v>63</v>
      </c>
      <c r="F408" s="463" t="s">
        <v>86</v>
      </c>
      <c r="G408" s="193"/>
      <c r="H408" s="369">
        <f>H409+H410</f>
        <v>640.79999999999995</v>
      </c>
    </row>
    <row r="409" spans="1:8" ht="93.75">
      <c r="A409" s="355"/>
      <c r="B409" s="207" t="s">
        <v>73</v>
      </c>
      <c r="C409" s="461" t="s">
        <v>65</v>
      </c>
      <c r="D409" s="462" t="s">
        <v>69</v>
      </c>
      <c r="E409" s="462" t="s">
        <v>63</v>
      </c>
      <c r="F409" s="463" t="s">
        <v>86</v>
      </c>
      <c r="G409" s="193" t="s">
        <v>74</v>
      </c>
      <c r="H409" s="369">
        <f>'прил12(ведом 20)'!M39</f>
        <v>619.68799999999999</v>
      </c>
    </row>
    <row r="410" spans="1:8" ht="37.5">
      <c r="A410" s="355"/>
      <c r="B410" s="207" t="s">
        <v>79</v>
      </c>
      <c r="C410" s="764" t="s">
        <v>65</v>
      </c>
      <c r="D410" s="765" t="s">
        <v>69</v>
      </c>
      <c r="E410" s="765" t="s">
        <v>63</v>
      </c>
      <c r="F410" s="766" t="s">
        <v>86</v>
      </c>
      <c r="G410" s="193" t="s">
        <v>80</v>
      </c>
      <c r="H410" s="369">
        <f>'прил12(ведом 20)'!M40</f>
        <v>21.111999999999998</v>
      </c>
    </row>
    <row r="411" spans="1:8" ht="18.75">
      <c r="A411" s="355"/>
      <c r="B411" s="207" t="s">
        <v>496</v>
      </c>
      <c r="C411" s="461" t="s">
        <v>65</v>
      </c>
      <c r="D411" s="462" t="s">
        <v>69</v>
      </c>
      <c r="E411" s="462" t="s">
        <v>63</v>
      </c>
      <c r="F411" s="463" t="s">
        <v>495</v>
      </c>
      <c r="G411" s="193"/>
      <c r="H411" s="369">
        <f>H412</f>
        <v>66</v>
      </c>
    </row>
    <row r="412" spans="1:8" ht="37.5">
      <c r="A412" s="355"/>
      <c r="B412" s="207" t="s">
        <v>79</v>
      </c>
      <c r="C412" s="461" t="s">
        <v>65</v>
      </c>
      <c r="D412" s="462" t="s">
        <v>69</v>
      </c>
      <c r="E412" s="462" t="s">
        <v>63</v>
      </c>
      <c r="F412" s="463" t="s">
        <v>495</v>
      </c>
      <c r="G412" s="193" t="s">
        <v>80</v>
      </c>
      <c r="H412" s="369">
        <f>'прил12(ведом 20)'!M42</f>
        <v>66</v>
      </c>
    </row>
    <row r="413" spans="1:8" s="367" customFormat="1" ht="37.5">
      <c r="A413" s="355"/>
      <c r="B413" s="207" t="s">
        <v>856</v>
      </c>
      <c r="C413" s="631" t="s">
        <v>65</v>
      </c>
      <c r="D413" s="632" t="s">
        <v>69</v>
      </c>
      <c r="E413" s="632" t="s">
        <v>63</v>
      </c>
      <c r="F413" s="633" t="s">
        <v>857</v>
      </c>
      <c r="G413" s="193"/>
      <c r="H413" s="369">
        <f>H414</f>
        <v>395.09999999999997</v>
      </c>
    </row>
    <row r="414" spans="1:8" s="621" customFormat="1" ht="37.5">
      <c r="A414" s="619"/>
      <c r="B414" s="207" t="s">
        <v>79</v>
      </c>
      <c r="C414" s="575" t="s">
        <v>65</v>
      </c>
      <c r="D414" s="576" t="s">
        <v>69</v>
      </c>
      <c r="E414" s="576" t="s">
        <v>63</v>
      </c>
      <c r="F414" s="617" t="s">
        <v>857</v>
      </c>
      <c r="G414" s="193" t="s">
        <v>80</v>
      </c>
      <c r="H414" s="620">
        <f>'прил12(ведом 20)'!M76</f>
        <v>395.09999999999997</v>
      </c>
    </row>
    <row r="415" spans="1:8" ht="18.75">
      <c r="A415" s="355"/>
      <c r="B415" s="368" t="s">
        <v>88</v>
      </c>
      <c r="C415" s="461" t="s">
        <v>65</v>
      </c>
      <c r="D415" s="462" t="s">
        <v>69</v>
      </c>
      <c r="E415" s="462" t="s">
        <v>89</v>
      </c>
      <c r="F415" s="463" t="s">
        <v>68</v>
      </c>
      <c r="G415" s="193"/>
      <c r="H415" s="369">
        <f>H416+H418</f>
        <v>925.90000000000009</v>
      </c>
    </row>
    <row r="416" spans="1:8" ht="37.5">
      <c r="A416" s="355"/>
      <c r="B416" s="368" t="s">
        <v>71</v>
      </c>
      <c r="C416" s="461" t="s">
        <v>65</v>
      </c>
      <c r="D416" s="462" t="s">
        <v>69</v>
      </c>
      <c r="E416" s="462" t="s">
        <v>89</v>
      </c>
      <c r="F416" s="463" t="s">
        <v>72</v>
      </c>
      <c r="G416" s="193"/>
      <c r="H416" s="369">
        <f>H417</f>
        <v>124.7</v>
      </c>
    </row>
    <row r="417" spans="1:8" ht="37.5">
      <c r="A417" s="355"/>
      <c r="B417" s="368" t="s">
        <v>79</v>
      </c>
      <c r="C417" s="461" t="s">
        <v>65</v>
      </c>
      <c r="D417" s="462" t="s">
        <v>69</v>
      </c>
      <c r="E417" s="462" t="s">
        <v>89</v>
      </c>
      <c r="F417" s="463" t="s">
        <v>72</v>
      </c>
      <c r="G417" s="193" t="s">
        <v>80</v>
      </c>
      <c r="H417" s="369">
        <f>'прил12(ведом 20)'!M45</f>
        <v>124.7</v>
      </c>
    </row>
    <row r="418" spans="1:8" ht="56.25">
      <c r="A418" s="355"/>
      <c r="B418" s="207" t="s">
        <v>514</v>
      </c>
      <c r="C418" s="461" t="s">
        <v>65</v>
      </c>
      <c r="D418" s="462" t="s">
        <v>69</v>
      </c>
      <c r="E418" s="462" t="s">
        <v>89</v>
      </c>
      <c r="F418" s="463" t="s">
        <v>513</v>
      </c>
      <c r="G418" s="193"/>
      <c r="H418" s="369">
        <f>H419</f>
        <v>801.2</v>
      </c>
    </row>
    <row r="419" spans="1:8" ht="37.5">
      <c r="A419" s="355"/>
      <c r="B419" s="207" t="s">
        <v>79</v>
      </c>
      <c r="C419" s="461" t="s">
        <v>65</v>
      </c>
      <c r="D419" s="462" t="s">
        <v>69</v>
      </c>
      <c r="E419" s="462" t="s">
        <v>89</v>
      </c>
      <c r="F419" s="463" t="s">
        <v>513</v>
      </c>
      <c r="G419" s="193" t="s">
        <v>80</v>
      </c>
      <c r="H419" s="369">
        <f>'прил12(ведом 20)'!M79</f>
        <v>801.2</v>
      </c>
    </row>
    <row r="420" spans="1:8" ht="18.75">
      <c r="A420" s="355"/>
      <c r="B420" s="368" t="s">
        <v>90</v>
      </c>
      <c r="C420" s="461" t="s">
        <v>65</v>
      </c>
      <c r="D420" s="462" t="s">
        <v>69</v>
      </c>
      <c r="E420" s="462" t="s">
        <v>76</v>
      </c>
      <c r="F420" s="463" t="s">
        <v>68</v>
      </c>
      <c r="G420" s="193"/>
      <c r="H420" s="369">
        <f>H421+H423</f>
        <v>2354.1</v>
      </c>
    </row>
    <row r="421" spans="1:8" ht="56.25">
      <c r="A421" s="355"/>
      <c r="B421" s="392" t="s">
        <v>453</v>
      </c>
      <c r="C421" s="461" t="s">
        <v>65</v>
      </c>
      <c r="D421" s="462" t="s">
        <v>69</v>
      </c>
      <c r="E421" s="462" t="s">
        <v>76</v>
      </c>
      <c r="F421" s="463" t="s">
        <v>137</v>
      </c>
      <c r="G421" s="193"/>
      <c r="H421" s="369">
        <f>H422</f>
        <v>436.5</v>
      </c>
    </row>
    <row r="422" spans="1:8" ht="37.5">
      <c r="A422" s="355"/>
      <c r="B422" s="368" t="s">
        <v>79</v>
      </c>
      <c r="C422" s="461" t="s">
        <v>65</v>
      </c>
      <c r="D422" s="462" t="s">
        <v>69</v>
      </c>
      <c r="E422" s="462" t="s">
        <v>76</v>
      </c>
      <c r="F422" s="463" t="s">
        <v>137</v>
      </c>
      <c r="G422" s="193" t="s">
        <v>80</v>
      </c>
      <c r="H422" s="369">
        <f>'прил12(ведом 20)'!M82</f>
        <v>436.5</v>
      </c>
    </row>
    <row r="423" spans="1:8" ht="56.25">
      <c r="A423" s="355"/>
      <c r="B423" s="368" t="s">
        <v>455</v>
      </c>
      <c r="C423" s="461" t="s">
        <v>65</v>
      </c>
      <c r="D423" s="462" t="s">
        <v>69</v>
      </c>
      <c r="E423" s="462" t="s">
        <v>76</v>
      </c>
      <c r="F423" s="463" t="s">
        <v>454</v>
      </c>
      <c r="G423" s="193"/>
      <c r="H423" s="369">
        <f>H424</f>
        <v>1917.6</v>
      </c>
    </row>
    <row r="424" spans="1:8" ht="37.5">
      <c r="A424" s="355"/>
      <c r="B424" s="368" t="s">
        <v>79</v>
      </c>
      <c r="C424" s="461" t="s">
        <v>65</v>
      </c>
      <c r="D424" s="462" t="s">
        <v>69</v>
      </c>
      <c r="E424" s="462" t="s">
        <v>76</v>
      </c>
      <c r="F424" s="463" t="s">
        <v>454</v>
      </c>
      <c r="G424" s="193" t="s">
        <v>80</v>
      </c>
      <c r="H424" s="369">
        <f>'прил12(ведом 20)'!M84</f>
        <v>1917.6</v>
      </c>
    </row>
    <row r="425" spans="1:8" ht="51" customHeight="1">
      <c r="A425" s="393"/>
      <c r="B425" s="398" t="s">
        <v>373</v>
      </c>
      <c r="C425" s="223" t="s">
        <v>65</v>
      </c>
      <c r="D425" s="218" t="s">
        <v>69</v>
      </c>
      <c r="E425" s="218" t="s">
        <v>111</v>
      </c>
      <c r="F425" s="219" t="s">
        <v>68</v>
      </c>
      <c r="G425" s="217"/>
      <c r="H425" s="369">
        <f>H426</f>
        <v>4980.2000000000007</v>
      </c>
    </row>
    <row r="426" spans="1:8" ht="75">
      <c r="A426" s="393"/>
      <c r="B426" s="398" t="s">
        <v>121</v>
      </c>
      <c r="C426" s="223" t="s">
        <v>65</v>
      </c>
      <c r="D426" s="218" t="s">
        <v>69</v>
      </c>
      <c r="E426" s="218" t="s">
        <v>111</v>
      </c>
      <c r="F426" s="219" t="s">
        <v>123</v>
      </c>
      <c r="G426" s="217"/>
      <c r="H426" s="369">
        <f>SUM(H427:H429)</f>
        <v>4980.2000000000007</v>
      </c>
    </row>
    <row r="427" spans="1:8" ht="93.75">
      <c r="A427" s="393"/>
      <c r="B427" s="398" t="s">
        <v>73</v>
      </c>
      <c r="C427" s="223" t="s">
        <v>65</v>
      </c>
      <c r="D427" s="218" t="s">
        <v>69</v>
      </c>
      <c r="E427" s="218" t="s">
        <v>111</v>
      </c>
      <c r="F427" s="219" t="s">
        <v>123</v>
      </c>
      <c r="G427" s="217" t="s">
        <v>74</v>
      </c>
      <c r="H427" s="369">
        <f>'прил12(ведом 20)'!M275</f>
        <v>4547.5</v>
      </c>
    </row>
    <row r="428" spans="1:8" ht="37.5">
      <c r="A428" s="393"/>
      <c r="B428" s="368" t="s">
        <v>79</v>
      </c>
      <c r="C428" s="223" t="s">
        <v>65</v>
      </c>
      <c r="D428" s="218" t="s">
        <v>69</v>
      </c>
      <c r="E428" s="218" t="s">
        <v>111</v>
      </c>
      <c r="F428" s="219" t="s">
        <v>123</v>
      </c>
      <c r="G428" s="217" t="s">
        <v>80</v>
      </c>
      <c r="H428" s="369">
        <f>'прил12(ведом 20)'!M276</f>
        <v>432.59999999999997</v>
      </c>
    </row>
    <row r="429" spans="1:8" ht="18.75">
      <c r="A429" s="393"/>
      <c r="B429" s="428" t="s">
        <v>81</v>
      </c>
      <c r="C429" s="223" t="s">
        <v>65</v>
      </c>
      <c r="D429" s="218" t="s">
        <v>69</v>
      </c>
      <c r="E429" s="218" t="s">
        <v>111</v>
      </c>
      <c r="F429" s="219" t="s">
        <v>123</v>
      </c>
      <c r="G429" s="217" t="s">
        <v>82</v>
      </c>
      <c r="H429" s="369">
        <f>'прил12(ведом 20)'!M277</f>
        <v>0.1</v>
      </c>
    </row>
    <row r="430" spans="1:8" ht="18.75">
      <c r="A430" s="393"/>
      <c r="B430" s="207" t="s">
        <v>633</v>
      </c>
      <c r="C430" s="461" t="s">
        <v>65</v>
      </c>
      <c r="D430" s="462" t="s">
        <v>69</v>
      </c>
      <c r="E430" s="462" t="s">
        <v>263</v>
      </c>
      <c r="F430" s="463" t="s">
        <v>68</v>
      </c>
      <c r="G430" s="193"/>
      <c r="H430" s="369">
        <f>H431</f>
        <v>2300</v>
      </c>
    </row>
    <row r="431" spans="1:8" ht="37.5">
      <c r="A431" s="393"/>
      <c r="B431" s="207" t="s">
        <v>634</v>
      </c>
      <c r="C431" s="461" t="s">
        <v>65</v>
      </c>
      <c r="D431" s="462" t="s">
        <v>69</v>
      </c>
      <c r="E431" s="462" t="s">
        <v>263</v>
      </c>
      <c r="F431" s="463" t="s">
        <v>635</v>
      </c>
      <c r="G431" s="193"/>
      <c r="H431" s="369">
        <f>H432</f>
        <v>2300</v>
      </c>
    </row>
    <row r="432" spans="1:8" ht="18.75">
      <c r="A432" s="393"/>
      <c r="B432" s="207" t="s">
        <v>81</v>
      </c>
      <c r="C432" s="461" t="s">
        <v>65</v>
      </c>
      <c r="D432" s="462" t="s">
        <v>69</v>
      </c>
      <c r="E432" s="462" t="s">
        <v>263</v>
      </c>
      <c r="F432" s="463" t="s">
        <v>635</v>
      </c>
      <c r="G432" s="193" t="s">
        <v>82</v>
      </c>
      <c r="H432" s="369">
        <f>'прил12(ведом 20)'!M57</f>
        <v>2300</v>
      </c>
    </row>
    <row r="433" spans="1:8" ht="38.25" customHeight="1">
      <c r="A433" s="393"/>
      <c r="B433" s="211" t="s">
        <v>508</v>
      </c>
      <c r="C433" s="461" t="s">
        <v>65</v>
      </c>
      <c r="D433" s="462" t="s">
        <v>69</v>
      </c>
      <c r="E433" s="462" t="s">
        <v>109</v>
      </c>
      <c r="F433" s="463" t="s">
        <v>68</v>
      </c>
      <c r="G433" s="193"/>
      <c r="H433" s="369">
        <f>H434</f>
        <v>17.100000000000001</v>
      </c>
    </row>
    <row r="434" spans="1:8" ht="18.75">
      <c r="A434" s="393"/>
      <c r="B434" s="211" t="s">
        <v>509</v>
      </c>
      <c r="C434" s="461" t="s">
        <v>65</v>
      </c>
      <c r="D434" s="462" t="s">
        <v>69</v>
      </c>
      <c r="E434" s="462" t="s">
        <v>109</v>
      </c>
      <c r="F434" s="463" t="s">
        <v>510</v>
      </c>
      <c r="G434" s="193"/>
      <c r="H434" s="369">
        <f>H435</f>
        <v>17.100000000000001</v>
      </c>
    </row>
    <row r="435" spans="1:8" ht="37.5">
      <c r="A435" s="393"/>
      <c r="B435" s="211" t="s">
        <v>511</v>
      </c>
      <c r="C435" s="461" t="s">
        <v>65</v>
      </c>
      <c r="D435" s="462" t="s">
        <v>69</v>
      </c>
      <c r="E435" s="462" t="s">
        <v>109</v>
      </c>
      <c r="F435" s="463" t="s">
        <v>510</v>
      </c>
      <c r="G435" s="193" t="s">
        <v>512</v>
      </c>
      <c r="H435" s="369">
        <f>'прил12(ведом 20)'!M190</f>
        <v>17.100000000000001</v>
      </c>
    </row>
    <row r="436" spans="1:8" ht="37.5">
      <c r="A436" s="393"/>
      <c r="B436" s="211" t="s">
        <v>860</v>
      </c>
      <c r="C436" s="615" t="s">
        <v>65</v>
      </c>
      <c r="D436" s="616" t="s">
        <v>69</v>
      </c>
      <c r="E436" s="616" t="s">
        <v>100</v>
      </c>
      <c r="F436" s="617" t="s">
        <v>68</v>
      </c>
      <c r="G436" s="614"/>
      <c r="H436" s="369">
        <f>H437</f>
        <v>1400.1</v>
      </c>
    </row>
    <row r="437" spans="1:8" ht="37.5">
      <c r="A437" s="393"/>
      <c r="B437" s="207" t="s">
        <v>858</v>
      </c>
      <c r="C437" s="631" t="s">
        <v>65</v>
      </c>
      <c r="D437" s="632" t="s">
        <v>69</v>
      </c>
      <c r="E437" s="632" t="s">
        <v>100</v>
      </c>
      <c r="F437" s="633" t="s">
        <v>859</v>
      </c>
      <c r="G437" s="193"/>
      <c r="H437" s="369">
        <f>H438</f>
        <v>1400.1</v>
      </c>
    </row>
    <row r="438" spans="1:8" ht="37.5">
      <c r="A438" s="393"/>
      <c r="B438" s="207" t="s">
        <v>79</v>
      </c>
      <c r="C438" s="615" t="s">
        <v>65</v>
      </c>
      <c r="D438" s="616" t="s">
        <v>69</v>
      </c>
      <c r="E438" s="616" t="s">
        <v>100</v>
      </c>
      <c r="F438" s="617" t="s">
        <v>859</v>
      </c>
      <c r="G438" s="614" t="s">
        <v>80</v>
      </c>
      <c r="H438" s="369">
        <f>'прил12(ведом 20)'!M87</f>
        <v>1400.1</v>
      </c>
    </row>
    <row r="439" spans="1:8" ht="37.5">
      <c r="A439" s="393"/>
      <c r="B439" s="207" t="s">
        <v>420</v>
      </c>
      <c r="C439" s="461" t="s">
        <v>65</v>
      </c>
      <c r="D439" s="462" t="s">
        <v>69</v>
      </c>
      <c r="E439" s="462" t="s">
        <v>119</v>
      </c>
      <c r="F439" s="463" t="s">
        <v>68</v>
      </c>
      <c r="G439" s="217"/>
      <c r="H439" s="369">
        <f>H440</f>
        <v>4616.9000000000005</v>
      </c>
    </row>
    <row r="440" spans="1:8" ht="75">
      <c r="A440" s="393"/>
      <c r="B440" s="210" t="s">
        <v>121</v>
      </c>
      <c r="C440" s="461" t="s">
        <v>65</v>
      </c>
      <c r="D440" s="462" t="s">
        <v>69</v>
      </c>
      <c r="E440" s="462" t="s">
        <v>119</v>
      </c>
      <c r="F440" s="463" t="s">
        <v>123</v>
      </c>
      <c r="G440" s="193"/>
      <c r="H440" s="369">
        <f>SUM(H441:H442)</f>
        <v>4616.9000000000005</v>
      </c>
    </row>
    <row r="441" spans="1:8" ht="93.75">
      <c r="A441" s="393"/>
      <c r="B441" s="207" t="s">
        <v>73</v>
      </c>
      <c r="C441" s="461" t="s">
        <v>65</v>
      </c>
      <c r="D441" s="462" t="s">
        <v>69</v>
      </c>
      <c r="E441" s="462" t="s">
        <v>119</v>
      </c>
      <c r="F441" s="463" t="s">
        <v>123</v>
      </c>
      <c r="G441" s="193" t="s">
        <v>74</v>
      </c>
      <c r="H441" s="369">
        <f>'прил12(ведом 20)'!M155</f>
        <v>4317.1000000000004</v>
      </c>
    </row>
    <row r="442" spans="1:8" ht="37.5">
      <c r="A442" s="393"/>
      <c r="B442" s="207" t="s">
        <v>79</v>
      </c>
      <c r="C442" s="461" t="s">
        <v>65</v>
      </c>
      <c r="D442" s="462" t="s">
        <v>69</v>
      </c>
      <c r="E442" s="462" t="s">
        <v>119</v>
      </c>
      <c r="F442" s="463" t="s">
        <v>123</v>
      </c>
      <c r="G442" s="193" t="s">
        <v>80</v>
      </c>
      <c r="H442" s="369">
        <f>'прил12(ведом 20)'!M156</f>
        <v>299.8</v>
      </c>
    </row>
    <row r="443" spans="1:8" ht="18.75">
      <c r="A443" s="393"/>
      <c r="B443" s="368"/>
      <c r="C443" s="462"/>
      <c r="D443" s="462"/>
      <c r="E443" s="462"/>
      <c r="F443" s="463"/>
      <c r="G443" s="193"/>
      <c r="H443" s="369"/>
    </row>
    <row r="444" spans="1:8" ht="56.25">
      <c r="A444" s="378">
        <v>16</v>
      </c>
      <c r="B444" s="395" t="s">
        <v>272</v>
      </c>
      <c r="C444" s="379" t="s">
        <v>273</v>
      </c>
      <c r="D444" s="379" t="s">
        <v>66</v>
      </c>
      <c r="E444" s="379" t="s">
        <v>67</v>
      </c>
      <c r="F444" s="380" t="s">
        <v>68</v>
      </c>
      <c r="G444" s="365"/>
      <c r="H444" s="366">
        <f>H445</f>
        <v>51.3</v>
      </c>
    </row>
    <row r="445" spans="1:8" ht="30" customHeight="1">
      <c r="A445" s="355"/>
      <c r="B445" s="368" t="s">
        <v>428</v>
      </c>
      <c r="C445" s="461" t="s">
        <v>273</v>
      </c>
      <c r="D445" s="462" t="s">
        <v>69</v>
      </c>
      <c r="E445" s="462" t="s">
        <v>67</v>
      </c>
      <c r="F445" s="463" t="s">
        <v>68</v>
      </c>
      <c r="G445" s="193"/>
      <c r="H445" s="369">
        <f>H446</f>
        <v>51.3</v>
      </c>
    </row>
    <row r="446" spans="1:8" ht="56.25">
      <c r="A446" s="355"/>
      <c r="B446" s="368" t="s">
        <v>348</v>
      </c>
      <c r="C446" s="461" t="s">
        <v>273</v>
      </c>
      <c r="D446" s="462" t="s">
        <v>69</v>
      </c>
      <c r="E446" s="462" t="s">
        <v>61</v>
      </c>
      <c r="F446" s="463" t="s">
        <v>68</v>
      </c>
      <c r="G446" s="193"/>
      <c r="H446" s="369">
        <f>H447</f>
        <v>51.3</v>
      </c>
    </row>
    <row r="447" spans="1:8" ht="37.5">
      <c r="A447" s="355"/>
      <c r="B447" s="368" t="s">
        <v>274</v>
      </c>
      <c r="C447" s="461" t="s">
        <v>273</v>
      </c>
      <c r="D447" s="462" t="s">
        <v>69</v>
      </c>
      <c r="E447" s="462" t="s">
        <v>61</v>
      </c>
      <c r="F447" s="463" t="s">
        <v>342</v>
      </c>
      <c r="G447" s="193"/>
      <c r="H447" s="369">
        <f>H448</f>
        <v>51.3</v>
      </c>
    </row>
    <row r="448" spans="1:8" ht="39" customHeight="1">
      <c r="A448" s="355"/>
      <c r="B448" s="368" t="s">
        <v>105</v>
      </c>
      <c r="C448" s="461" t="s">
        <v>273</v>
      </c>
      <c r="D448" s="462" t="s">
        <v>69</v>
      </c>
      <c r="E448" s="462" t="s">
        <v>61</v>
      </c>
      <c r="F448" s="463" t="s">
        <v>342</v>
      </c>
      <c r="G448" s="193" t="s">
        <v>106</v>
      </c>
      <c r="H448" s="369">
        <f>'прил12(ведом 20)'!M355</f>
        <v>51.3</v>
      </c>
    </row>
    <row r="449" spans="1:8" ht="18.75">
      <c r="A449" s="393"/>
      <c r="B449" s="368"/>
      <c r="C449" s="462"/>
      <c r="D449" s="462"/>
      <c r="E449" s="462"/>
      <c r="F449" s="462"/>
      <c r="G449" s="193"/>
      <c r="H449" s="369"/>
    </row>
    <row r="450" spans="1:8" ht="37.5">
      <c r="A450" s="378">
        <v>17</v>
      </c>
      <c r="B450" s="434" t="s">
        <v>163</v>
      </c>
      <c r="C450" s="379" t="s">
        <v>164</v>
      </c>
      <c r="D450" s="379" t="s">
        <v>66</v>
      </c>
      <c r="E450" s="379" t="s">
        <v>67</v>
      </c>
      <c r="F450" s="379" t="s">
        <v>68</v>
      </c>
      <c r="G450" s="365"/>
      <c r="H450" s="366">
        <f>H451</f>
        <v>4155.3</v>
      </c>
    </row>
    <row r="451" spans="1:8" ht="56.25">
      <c r="A451" s="355"/>
      <c r="B451" s="382" t="s">
        <v>166</v>
      </c>
      <c r="C451" s="461" t="s">
        <v>164</v>
      </c>
      <c r="D451" s="462" t="s">
        <v>69</v>
      </c>
      <c r="E451" s="462" t="s">
        <v>67</v>
      </c>
      <c r="F451" s="463" t="s">
        <v>68</v>
      </c>
      <c r="G451" s="193"/>
      <c r="H451" s="369">
        <f>H452+H455+H460</f>
        <v>4155.3</v>
      </c>
    </row>
    <row r="452" spans="1:8" ht="37.5">
      <c r="A452" s="355"/>
      <c r="B452" s="368" t="s">
        <v>165</v>
      </c>
      <c r="C452" s="461" t="s">
        <v>164</v>
      </c>
      <c r="D452" s="462" t="s">
        <v>69</v>
      </c>
      <c r="E452" s="462" t="s">
        <v>61</v>
      </c>
      <c r="F452" s="463" t="s">
        <v>68</v>
      </c>
      <c r="G452" s="193"/>
      <c r="H452" s="369">
        <f>H453</f>
        <v>1227.7</v>
      </c>
    </row>
    <row r="453" spans="1:8" ht="37.5">
      <c r="A453" s="355"/>
      <c r="B453" s="368" t="s">
        <v>71</v>
      </c>
      <c r="C453" s="461" t="s">
        <v>164</v>
      </c>
      <c r="D453" s="462" t="s">
        <v>69</v>
      </c>
      <c r="E453" s="462" t="s">
        <v>61</v>
      </c>
      <c r="F453" s="463" t="s">
        <v>72</v>
      </c>
      <c r="G453" s="193"/>
      <c r="H453" s="369">
        <f>H454</f>
        <v>1227.7</v>
      </c>
    </row>
    <row r="454" spans="1:8" ht="93.75">
      <c r="A454" s="355"/>
      <c r="B454" s="382" t="s">
        <v>73</v>
      </c>
      <c r="C454" s="461" t="s">
        <v>164</v>
      </c>
      <c r="D454" s="462" t="s">
        <v>69</v>
      </c>
      <c r="E454" s="462" t="s">
        <v>61</v>
      </c>
      <c r="F454" s="463" t="s">
        <v>72</v>
      </c>
      <c r="G454" s="193" t="s">
        <v>74</v>
      </c>
      <c r="H454" s="369">
        <f>'прил12(ведом 20)'!M226</f>
        <v>1227.7</v>
      </c>
    </row>
    <row r="455" spans="1:8" ht="17.45" customHeight="1">
      <c r="A455" s="355"/>
      <c r="B455" s="368" t="s">
        <v>167</v>
      </c>
      <c r="C455" s="461" t="s">
        <v>164</v>
      </c>
      <c r="D455" s="462" t="s">
        <v>69</v>
      </c>
      <c r="E455" s="462" t="s">
        <v>63</v>
      </c>
      <c r="F455" s="463" t="s">
        <v>68</v>
      </c>
      <c r="G455" s="193"/>
      <c r="H455" s="369">
        <f>H456</f>
        <v>2022.3</v>
      </c>
    </row>
    <row r="456" spans="1:8" ht="37.5">
      <c r="A456" s="355"/>
      <c r="B456" s="368" t="s">
        <v>71</v>
      </c>
      <c r="C456" s="461" t="s">
        <v>164</v>
      </c>
      <c r="D456" s="462" t="s">
        <v>69</v>
      </c>
      <c r="E456" s="462" t="s">
        <v>63</v>
      </c>
      <c r="F456" s="463" t="s">
        <v>72</v>
      </c>
      <c r="G456" s="193"/>
      <c r="H456" s="369">
        <f>SUM(H457:H459)</f>
        <v>2022.3</v>
      </c>
    </row>
    <row r="457" spans="1:8" ht="93.75">
      <c r="A457" s="355"/>
      <c r="B457" s="368" t="s">
        <v>73</v>
      </c>
      <c r="C457" s="461" t="s">
        <v>164</v>
      </c>
      <c r="D457" s="462" t="s">
        <v>69</v>
      </c>
      <c r="E457" s="462" t="s">
        <v>63</v>
      </c>
      <c r="F457" s="463" t="s">
        <v>72</v>
      </c>
      <c r="G457" s="193" t="s">
        <v>74</v>
      </c>
      <c r="H457" s="369">
        <f>'прил12(ведом 20)'!M229</f>
        <v>1825.3</v>
      </c>
    </row>
    <row r="458" spans="1:8" ht="37.5">
      <c r="A458" s="355"/>
      <c r="B458" s="368" t="s">
        <v>79</v>
      </c>
      <c r="C458" s="461" t="s">
        <v>164</v>
      </c>
      <c r="D458" s="462" t="s">
        <v>69</v>
      </c>
      <c r="E458" s="462" t="s">
        <v>63</v>
      </c>
      <c r="F458" s="463" t="s">
        <v>72</v>
      </c>
      <c r="G458" s="193" t="s">
        <v>80</v>
      </c>
      <c r="H458" s="369">
        <f>'прил12(ведом 20)'!M230</f>
        <v>186.98</v>
      </c>
    </row>
    <row r="459" spans="1:8" ht="18.75">
      <c r="A459" s="355"/>
      <c r="B459" s="368" t="s">
        <v>81</v>
      </c>
      <c r="C459" s="461" t="s">
        <v>164</v>
      </c>
      <c r="D459" s="462" t="s">
        <v>69</v>
      </c>
      <c r="E459" s="462" t="s">
        <v>63</v>
      </c>
      <c r="F459" s="463" t="s">
        <v>72</v>
      </c>
      <c r="G459" s="193" t="s">
        <v>82</v>
      </c>
      <c r="H459" s="369">
        <f>'прил12(ведом 20)'!M231</f>
        <v>10.02</v>
      </c>
    </row>
    <row r="460" spans="1:8" ht="56.25">
      <c r="A460" s="355"/>
      <c r="B460" s="368" t="s">
        <v>411</v>
      </c>
      <c r="C460" s="461" t="s">
        <v>164</v>
      </c>
      <c r="D460" s="462" t="s">
        <v>69</v>
      </c>
      <c r="E460" s="462" t="s">
        <v>89</v>
      </c>
      <c r="F460" s="463" t="s">
        <v>68</v>
      </c>
      <c r="G460" s="193"/>
      <c r="H460" s="369">
        <f>H461</f>
        <v>905.3</v>
      </c>
    </row>
    <row r="461" spans="1:8" ht="37.5">
      <c r="A461" s="355"/>
      <c r="B461" s="368" t="s">
        <v>275</v>
      </c>
      <c r="C461" s="461" t="s">
        <v>164</v>
      </c>
      <c r="D461" s="462" t="s">
        <v>69</v>
      </c>
      <c r="E461" s="462" t="s">
        <v>89</v>
      </c>
      <c r="F461" s="463" t="s">
        <v>168</v>
      </c>
      <c r="G461" s="193"/>
      <c r="H461" s="369">
        <f>SUM(H462:H462)</f>
        <v>905.3</v>
      </c>
    </row>
    <row r="462" spans="1:8" ht="93.75">
      <c r="A462" s="355"/>
      <c r="B462" s="368" t="s">
        <v>73</v>
      </c>
      <c r="C462" s="461" t="s">
        <v>164</v>
      </c>
      <c r="D462" s="462" t="s">
        <v>69</v>
      </c>
      <c r="E462" s="462" t="s">
        <v>89</v>
      </c>
      <c r="F462" s="463" t="s">
        <v>168</v>
      </c>
      <c r="G462" s="193" t="s">
        <v>74</v>
      </c>
      <c r="H462" s="369">
        <f>'прил12(ведом 20)'!M234</f>
        <v>905.3</v>
      </c>
    </row>
    <row r="463" spans="1:8" ht="18.75">
      <c r="A463" s="355"/>
      <c r="B463" s="377"/>
      <c r="C463" s="459"/>
      <c r="D463" s="459"/>
      <c r="E463" s="459"/>
      <c r="F463" s="459"/>
      <c r="G463" s="353"/>
      <c r="H463" s="369"/>
    </row>
    <row r="464" spans="1:8" ht="37.5">
      <c r="A464" s="694">
        <v>18</v>
      </c>
      <c r="B464" s="695" t="s">
        <v>96</v>
      </c>
      <c r="C464" s="696" t="s">
        <v>892</v>
      </c>
      <c r="D464" s="379" t="s">
        <v>66</v>
      </c>
      <c r="E464" s="379" t="s">
        <v>67</v>
      </c>
      <c r="F464" s="379" t="s">
        <v>68</v>
      </c>
      <c r="G464" s="353"/>
      <c r="H464" s="369">
        <f>H465</f>
        <v>1680</v>
      </c>
    </row>
    <row r="465" spans="1:8" ht="37.5">
      <c r="A465" s="355"/>
      <c r="B465" s="211" t="s">
        <v>893</v>
      </c>
      <c r="C465" s="676" t="s">
        <v>892</v>
      </c>
      <c r="D465" s="677" t="s">
        <v>69</v>
      </c>
      <c r="E465" s="677" t="s">
        <v>67</v>
      </c>
      <c r="F465" s="678" t="s">
        <v>68</v>
      </c>
      <c r="G465" s="353"/>
      <c r="H465" s="369">
        <f>H466+H469</f>
        <v>1680</v>
      </c>
    </row>
    <row r="466" spans="1:8" ht="56.25">
      <c r="A466" s="355"/>
      <c r="B466" s="211" t="s">
        <v>894</v>
      </c>
      <c r="C466" s="676" t="s">
        <v>892</v>
      </c>
      <c r="D466" s="677" t="s">
        <v>69</v>
      </c>
      <c r="E466" s="677" t="s">
        <v>61</v>
      </c>
      <c r="F466" s="678" t="s">
        <v>68</v>
      </c>
      <c r="G466" s="353"/>
      <c r="H466" s="369">
        <f>H467</f>
        <v>630</v>
      </c>
    </row>
    <row r="467" spans="1:8" ht="56.25">
      <c r="A467" s="355"/>
      <c r="B467" s="211" t="s">
        <v>896</v>
      </c>
      <c r="C467" s="676" t="s">
        <v>892</v>
      </c>
      <c r="D467" s="677" t="s">
        <v>69</v>
      </c>
      <c r="E467" s="677" t="s">
        <v>61</v>
      </c>
      <c r="F467" s="678" t="s">
        <v>895</v>
      </c>
      <c r="G467" s="353"/>
      <c r="H467" s="369">
        <f>H468</f>
        <v>630</v>
      </c>
    </row>
    <row r="468" spans="1:8" ht="37.5">
      <c r="A468" s="355"/>
      <c r="B468" s="211" t="s">
        <v>152</v>
      </c>
      <c r="C468" s="676" t="s">
        <v>892</v>
      </c>
      <c r="D468" s="677" t="s">
        <v>69</v>
      </c>
      <c r="E468" s="677" t="s">
        <v>61</v>
      </c>
      <c r="F468" s="678" t="s">
        <v>895</v>
      </c>
      <c r="G468" s="353" t="s">
        <v>153</v>
      </c>
      <c r="H468" s="369">
        <f>'прил12(ведом 20)'!M169</f>
        <v>630</v>
      </c>
    </row>
    <row r="469" spans="1:8" ht="56.25">
      <c r="A469" s="355"/>
      <c r="B469" s="211" t="s">
        <v>897</v>
      </c>
      <c r="C469" s="676" t="s">
        <v>892</v>
      </c>
      <c r="D469" s="677" t="s">
        <v>69</v>
      </c>
      <c r="E469" s="677" t="s">
        <v>63</v>
      </c>
      <c r="F469" s="678" t="s">
        <v>68</v>
      </c>
      <c r="G469" s="193"/>
      <c r="H469" s="369">
        <f>H470</f>
        <v>1050</v>
      </c>
    </row>
    <row r="470" spans="1:8" ht="56.25">
      <c r="A470" s="355"/>
      <c r="B470" s="211" t="s">
        <v>896</v>
      </c>
      <c r="C470" s="676" t="s">
        <v>892</v>
      </c>
      <c r="D470" s="677" t="s">
        <v>69</v>
      </c>
      <c r="E470" s="677" t="s">
        <v>63</v>
      </c>
      <c r="F470" s="678" t="s">
        <v>895</v>
      </c>
      <c r="G470" s="193"/>
      <c r="H470" s="369">
        <f>H471</f>
        <v>1050</v>
      </c>
    </row>
    <row r="471" spans="1:8" ht="37.5">
      <c r="A471" s="355"/>
      <c r="B471" s="211" t="s">
        <v>152</v>
      </c>
      <c r="C471" s="676" t="s">
        <v>892</v>
      </c>
      <c r="D471" s="677" t="s">
        <v>69</v>
      </c>
      <c r="E471" s="677" t="s">
        <v>63</v>
      </c>
      <c r="F471" s="678" t="s">
        <v>895</v>
      </c>
      <c r="G471" s="193" t="s">
        <v>153</v>
      </c>
      <c r="H471" s="369">
        <f>'прил12(ведом 20)'!M172</f>
        <v>1050</v>
      </c>
    </row>
    <row r="472" spans="1:8" ht="18.75">
      <c r="A472" s="355"/>
      <c r="B472" s="377"/>
      <c r="C472" s="674"/>
      <c r="D472" s="674"/>
      <c r="E472" s="674"/>
      <c r="F472" s="674"/>
      <c r="G472" s="353"/>
      <c r="H472" s="369"/>
    </row>
    <row r="473" spans="1:8" s="367" customFormat="1" ht="37.5">
      <c r="A473" s="378">
        <v>19</v>
      </c>
      <c r="B473" s="434" t="s">
        <v>94</v>
      </c>
      <c r="C473" s="379" t="s">
        <v>95</v>
      </c>
      <c r="D473" s="379" t="s">
        <v>66</v>
      </c>
      <c r="E473" s="379" t="s">
        <v>67</v>
      </c>
      <c r="F473" s="379" t="s">
        <v>68</v>
      </c>
      <c r="G473" s="365"/>
      <c r="H473" s="366">
        <f>H474</f>
        <v>1151.5079999999998</v>
      </c>
    </row>
    <row r="474" spans="1:8" ht="28.5" customHeight="1">
      <c r="A474" s="355"/>
      <c r="B474" s="382" t="s">
        <v>96</v>
      </c>
      <c r="C474" s="461" t="s">
        <v>95</v>
      </c>
      <c r="D474" s="462" t="s">
        <v>69</v>
      </c>
      <c r="E474" s="462" t="s">
        <v>67</v>
      </c>
      <c r="F474" s="463" t="s">
        <v>68</v>
      </c>
      <c r="G474" s="193"/>
      <c r="H474" s="369">
        <f>H475</f>
        <v>1151.5079999999998</v>
      </c>
    </row>
    <row r="475" spans="1:8" ht="18.75">
      <c r="A475" s="355"/>
      <c r="B475" s="368" t="s">
        <v>92</v>
      </c>
      <c r="C475" s="461" t="s">
        <v>95</v>
      </c>
      <c r="D475" s="462" t="s">
        <v>69</v>
      </c>
      <c r="E475" s="462" t="s">
        <v>61</v>
      </c>
      <c r="F475" s="463" t="s">
        <v>68</v>
      </c>
      <c r="G475" s="193"/>
      <c r="H475" s="369">
        <f>H476</f>
        <v>1151.5079999999998</v>
      </c>
    </row>
    <row r="476" spans="1:8" ht="18.75">
      <c r="A476" s="355"/>
      <c r="B476" s="368" t="s">
        <v>97</v>
      </c>
      <c r="C476" s="461" t="s">
        <v>95</v>
      </c>
      <c r="D476" s="462" t="s">
        <v>69</v>
      </c>
      <c r="E476" s="462" t="s">
        <v>61</v>
      </c>
      <c r="F476" s="463" t="s">
        <v>98</v>
      </c>
      <c r="G476" s="193"/>
      <c r="H476" s="369">
        <f>H477</f>
        <v>1151.5079999999998</v>
      </c>
    </row>
    <row r="477" spans="1:8" ht="18.75">
      <c r="A477" s="355"/>
      <c r="B477" s="368" t="s">
        <v>81</v>
      </c>
      <c r="C477" s="461" t="s">
        <v>95</v>
      </c>
      <c r="D477" s="462" t="s">
        <v>69</v>
      </c>
      <c r="E477" s="462" t="s">
        <v>61</v>
      </c>
      <c r="F477" s="463" t="s">
        <v>98</v>
      </c>
      <c r="G477" s="193" t="s">
        <v>82</v>
      </c>
      <c r="H477" s="369">
        <f>'прил12(ведом 20)'!M63</f>
        <v>1151.5079999999998</v>
      </c>
    </row>
    <row r="478" spans="1:8" ht="18.75">
      <c r="A478" s="435"/>
      <c r="B478" s="436"/>
      <c r="C478" s="437"/>
      <c r="D478" s="437"/>
      <c r="E478" s="437"/>
      <c r="F478" s="437"/>
      <c r="G478" s="437"/>
      <c r="H478" s="438"/>
    </row>
    <row r="479" spans="1:8" ht="18.75">
      <c r="A479" s="344"/>
      <c r="B479" s="345"/>
      <c r="C479" s="346"/>
      <c r="D479" s="346"/>
      <c r="E479" s="346"/>
      <c r="F479" s="346"/>
      <c r="G479" s="439"/>
    </row>
    <row r="480" spans="1:8" ht="18.75">
      <c r="A480" s="440" t="s">
        <v>497</v>
      </c>
      <c r="B480" s="345"/>
      <c r="C480" s="346"/>
      <c r="D480" s="346"/>
      <c r="E480" s="346"/>
      <c r="F480" s="346"/>
      <c r="G480" s="439"/>
    </row>
    <row r="481" spans="1:8" ht="18.75">
      <c r="A481" s="440" t="s">
        <v>498</v>
      </c>
      <c r="B481" s="345"/>
      <c r="C481" s="346"/>
      <c r="D481" s="346"/>
      <c r="E481" s="346"/>
      <c r="F481" s="346"/>
      <c r="G481" s="439"/>
    </row>
    <row r="482" spans="1:8" ht="18.75">
      <c r="A482" s="441" t="s">
        <v>499</v>
      </c>
      <c r="B482" s="345"/>
      <c r="C482" s="342"/>
      <c r="D482" s="346"/>
      <c r="E482" s="346"/>
      <c r="F482" s="346"/>
      <c r="G482" s="342"/>
      <c r="H482" s="442" t="s">
        <v>534</v>
      </c>
    </row>
    <row r="483" spans="1:8">
      <c r="A483" s="344"/>
      <c r="B483" s="345"/>
      <c r="C483" s="346"/>
      <c r="D483" s="346"/>
      <c r="E483" s="346"/>
      <c r="F483" s="346"/>
    </row>
    <row r="484" spans="1:8">
      <c r="A484" s="344"/>
      <c r="B484" s="345"/>
      <c r="C484" s="346"/>
      <c r="D484" s="346"/>
      <c r="E484" s="346"/>
      <c r="F484" s="346"/>
    </row>
    <row r="485" spans="1:8">
      <c r="A485" s="344"/>
      <c r="B485" s="345"/>
      <c r="C485" s="346"/>
      <c r="D485" s="346"/>
      <c r="E485" s="346"/>
      <c r="F485" s="346"/>
    </row>
    <row r="486" spans="1:8" ht="18.75">
      <c r="A486" s="344"/>
      <c r="B486" s="345"/>
      <c r="C486" s="346"/>
      <c r="D486" s="346"/>
      <c r="E486" s="346"/>
      <c r="F486" s="346"/>
      <c r="G486" s="439"/>
    </row>
    <row r="487" spans="1:8">
      <c r="B487" s="338" t="s">
        <v>276</v>
      </c>
      <c r="H487" s="343">
        <f>H15+H121+H171+H203+H219+H246+H263+H301+H348+H357+H363+H373+H381+H387+H342+H444</f>
        <v>1463955.4306900001</v>
      </c>
    </row>
    <row r="489" spans="1:8">
      <c r="H489" s="343">
        <f>(H487/H14)*100</f>
        <v>99.52501139635352</v>
      </c>
    </row>
    <row r="491" spans="1:8">
      <c r="B491" s="338" t="s">
        <v>277</v>
      </c>
      <c r="H491" s="343">
        <f>H450+H473</f>
        <v>5306.808</v>
      </c>
    </row>
    <row r="492" spans="1:8">
      <c r="H492" s="343">
        <f>(H491/H493)*100</f>
        <v>0.36118861972057287</v>
      </c>
    </row>
    <row r="493" spans="1:8">
      <c r="H493" s="343">
        <f>H487+H491</f>
        <v>1469262.23869</v>
      </c>
    </row>
  </sheetData>
  <autoFilter ref="A1:M493"/>
  <mergeCells count="3">
    <mergeCell ref="A9:H9"/>
    <mergeCell ref="C12:F12"/>
    <mergeCell ref="C13:F13"/>
  </mergeCells>
  <printOptions horizontalCentered="1"/>
  <pageMargins left="1.1811023622047245" right="0.39370078740157483" top="0.78740157480314965" bottom="0.78740157480314965" header="0" footer="0"/>
  <pageSetup paperSize="9" scale="81" fitToHeight="0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L353"/>
  <sheetViews>
    <sheetView zoomScale="70" zoomScaleNormal="70" zoomScaleSheetLayoutView="40" workbookViewId="0">
      <pane ySplit="5" topLeftCell="A6" activePane="bottomLeft" state="frozen"/>
      <selection activeCell="B44" sqref="B44"/>
      <selection pane="bottomLeft" activeCell="I2" sqref="I2"/>
    </sheetView>
  </sheetViews>
  <sheetFormatPr defaultColWidth="9.140625" defaultRowHeight="15.75"/>
  <cols>
    <col min="1" max="1" width="4.5703125" style="337" customWidth="1"/>
    <col min="2" max="2" width="62.42578125" style="338" customWidth="1"/>
    <col min="3" max="3" width="3.140625" style="339" customWidth="1"/>
    <col min="4" max="4" width="2.28515625" style="339" customWidth="1"/>
    <col min="5" max="5" width="3" style="339" customWidth="1"/>
    <col min="6" max="6" width="7.5703125" style="339" customWidth="1"/>
    <col min="7" max="7" width="5.5703125" style="340" customWidth="1"/>
    <col min="8" max="8" width="14.140625" style="510" customWidth="1"/>
    <col min="9" max="9" width="13.28515625" style="342" customWidth="1"/>
    <col min="10" max="10" width="17.7109375" style="342" customWidth="1"/>
    <col min="11" max="11" width="17.28515625" style="342" customWidth="1"/>
    <col min="12" max="12" width="12.7109375" style="342" customWidth="1"/>
    <col min="13" max="16384" width="9.140625" style="342"/>
  </cols>
  <sheetData>
    <row r="1" spans="1:12" s="244" customFormat="1" ht="18.75">
      <c r="I1" s="255" t="s">
        <v>580</v>
      </c>
    </row>
    <row r="2" spans="1:12" s="244" customFormat="1" ht="18.75">
      <c r="I2" s="255" t="s">
        <v>937</v>
      </c>
    </row>
    <row r="4" spans="1:12" ht="18.75">
      <c r="I4" s="341" t="s">
        <v>610</v>
      </c>
    </row>
    <row r="5" spans="1:12" ht="18.75">
      <c r="I5" s="1" t="s">
        <v>884</v>
      </c>
    </row>
    <row r="8" spans="1:12" ht="76.5" customHeight="1">
      <c r="A8" s="794" t="s">
        <v>684</v>
      </c>
      <c r="B8" s="794"/>
      <c r="C8" s="794"/>
      <c r="D8" s="794"/>
      <c r="E8" s="794"/>
      <c r="F8" s="794"/>
      <c r="G8" s="794"/>
      <c r="H8" s="794"/>
      <c r="I8" s="794"/>
    </row>
    <row r="9" spans="1:12">
      <c r="A9" s="342"/>
      <c r="B9" s="342"/>
      <c r="C9" s="337"/>
      <c r="D9" s="337"/>
      <c r="E9" s="337"/>
      <c r="F9" s="337"/>
      <c r="G9" s="343"/>
    </row>
    <row r="10" spans="1:12" ht="18.75">
      <c r="A10" s="344"/>
      <c r="B10" s="345"/>
      <c r="C10" s="346"/>
      <c r="D10" s="346"/>
      <c r="E10" s="346"/>
      <c r="F10" s="346"/>
      <c r="G10" s="342"/>
      <c r="I10" s="563" t="s">
        <v>46</v>
      </c>
    </row>
    <row r="11" spans="1:12" ht="18.75">
      <c r="A11" s="802" t="s">
        <v>47</v>
      </c>
      <c r="B11" s="803" t="s">
        <v>48</v>
      </c>
      <c r="C11" s="803" t="s">
        <v>52</v>
      </c>
      <c r="D11" s="803"/>
      <c r="E11" s="803"/>
      <c r="F11" s="803"/>
      <c r="G11" s="803" t="s">
        <v>53</v>
      </c>
      <c r="H11" s="801" t="s">
        <v>37</v>
      </c>
      <c r="I11" s="801"/>
    </row>
    <row r="12" spans="1:12" ht="40.9" customHeight="1">
      <c r="A12" s="802"/>
      <c r="B12" s="803"/>
      <c r="C12" s="803"/>
      <c r="D12" s="803"/>
      <c r="E12" s="803"/>
      <c r="F12" s="803"/>
      <c r="G12" s="803"/>
      <c r="H12" s="564" t="s">
        <v>594</v>
      </c>
      <c r="I12" s="564" t="s">
        <v>622</v>
      </c>
    </row>
    <row r="13" spans="1:12" ht="18.75">
      <c r="A13" s="351">
        <v>1</v>
      </c>
      <c r="B13" s="352">
        <v>2</v>
      </c>
      <c r="C13" s="798" t="s">
        <v>54</v>
      </c>
      <c r="D13" s="799"/>
      <c r="E13" s="799"/>
      <c r="F13" s="800"/>
      <c r="G13" s="353" t="s">
        <v>55</v>
      </c>
      <c r="H13" s="354">
        <v>5</v>
      </c>
      <c r="I13" s="354">
        <v>6</v>
      </c>
    </row>
    <row r="14" spans="1:12" ht="18.75">
      <c r="A14" s="355"/>
      <c r="B14" s="356" t="s">
        <v>241</v>
      </c>
      <c r="C14" s="357"/>
      <c r="D14" s="357"/>
      <c r="E14" s="357"/>
      <c r="F14" s="357"/>
      <c r="G14" s="358"/>
      <c r="H14" s="359">
        <f>H15+H89+H119+H147+H160+H181+H192+H208+H244+H250+H259+H265+H271+H277+H315+H326+H332</f>
        <v>1343063.9999999998</v>
      </c>
      <c r="I14" s="359">
        <f>I15+I89+I119+I147+I160+I181+I192+I208+I244+I250+I259+I265+I271+I277+I315+I326+I332</f>
        <v>1375418.3000000003</v>
      </c>
      <c r="J14" s="565"/>
      <c r="K14" s="565">
        <f>H14-'прил13(ведом 21-22)'!M15</f>
        <v>0</v>
      </c>
      <c r="L14" s="565">
        <f>I14-'прил13(ведом 21-22)'!N15</f>
        <v>0</v>
      </c>
    </row>
    <row r="15" spans="1:12" s="367" customFormat="1" ht="56.25">
      <c r="A15" s="361">
        <v>1</v>
      </c>
      <c r="B15" s="362" t="s">
        <v>244</v>
      </c>
      <c r="C15" s="363" t="s">
        <v>63</v>
      </c>
      <c r="D15" s="363" t="s">
        <v>66</v>
      </c>
      <c r="E15" s="363" t="s">
        <v>67</v>
      </c>
      <c r="F15" s="364" t="s">
        <v>68</v>
      </c>
      <c r="G15" s="365"/>
      <c r="H15" s="366">
        <f>H16+H52+H68</f>
        <v>890615.39999999991</v>
      </c>
      <c r="I15" s="366">
        <f>I16+I52+I68</f>
        <v>888910.50000000012</v>
      </c>
    </row>
    <row r="16" spans="1:12" ht="24" customHeight="1">
      <c r="A16" s="355"/>
      <c r="B16" s="368" t="s">
        <v>245</v>
      </c>
      <c r="C16" s="459" t="s">
        <v>63</v>
      </c>
      <c r="D16" s="459" t="s">
        <v>69</v>
      </c>
      <c r="E16" s="459" t="s">
        <v>67</v>
      </c>
      <c r="F16" s="460" t="s">
        <v>68</v>
      </c>
      <c r="G16" s="353"/>
      <c r="H16" s="369">
        <f>H17+H27+H46+H49</f>
        <v>770728.5</v>
      </c>
      <c r="I16" s="369">
        <f>I17+I27+I46+I49</f>
        <v>770625.60000000009</v>
      </c>
    </row>
    <row r="17" spans="1:9" ht="18.75">
      <c r="A17" s="355"/>
      <c r="B17" s="368" t="s">
        <v>329</v>
      </c>
      <c r="C17" s="461" t="s">
        <v>63</v>
      </c>
      <c r="D17" s="462" t="s">
        <v>69</v>
      </c>
      <c r="E17" s="462" t="s">
        <v>61</v>
      </c>
      <c r="F17" s="463" t="s">
        <v>68</v>
      </c>
      <c r="G17" s="353"/>
      <c r="H17" s="369">
        <f>H20+H23+H25+H18</f>
        <v>300901</v>
      </c>
      <c r="I17" s="369">
        <f>I20+I23+I25+I18</f>
        <v>297962</v>
      </c>
    </row>
    <row r="18" spans="1:9" ht="75">
      <c r="A18" s="355"/>
      <c r="B18" s="368" t="s">
        <v>121</v>
      </c>
      <c r="C18" s="461" t="s">
        <v>63</v>
      </c>
      <c r="D18" s="462" t="s">
        <v>69</v>
      </c>
      <c r="E18" s="462" t="s">
        <v>61</v>
      </c>
      <c r="F18" s="463" t="s">
        <v>123</v>
      </c>
      <c r="G18" s="193"/>
      <c r="H18" s="369">
        <f>H19</f>
        <v>77566.7</v>
      </c>
      <c r="I18" s="369">
        <f>I19</f>
        <v>74606</v>
      </c>
    </row>
    <row r="19" spans="1:9" ht="42" customHeight="1">
      <c r="A19" s="355"/>
      <c r="B19" s="368" t="s">
        <v>105</v>
      </c>
      <c r="C19" s="461" t="s">
        <v>63</v>
      </c>
      <c r="D19" s="462" t="s">
        <v>69</v>
      </c>
      <c r="E19" s="462" t="s">
        <v>61</v>
      </c>
      <c r="F19" s="463" t="s">
        <v>123</v>
      </c>
      <c r="G19" s="193" t="s">
        <v>106</v>
      </c>
      <c r="H19" s="369">
        <f>'прил13(ведом 21-22)'!M206</f>
        <v>77566.7</v>
      </c>
      <c r="I19" s="369">
        <f>'прил13(ведом 21-22)'!N206</f>
        <v>74606</v>
      </c>
    </row>
    <row r="20" spans="1:9" ht="117.75" customHeight="1">
      <c r="A20" s="355"/>
      <c r="B20" s="368" t="s">
        <v>345</v>
      </c>
      <c r="C20" s="461" t="s">
        <v>63</v>
      </c>
      <c r="D20" s="462" t="s">
        <v>69</v>
      </c>
      <c r="E20" s="462" t="s">
        <v>61</v>
      </c>
      <c r="F20" s="463" t="s">
        <v>346</v>
      </c>
      <c r="G20" s="193"/>
      <c r="H20" s="369">
        <f>SUM(H21:H22)</f>
        <v>7904.9000000000005</v>
      </c>
      <c r="I20" s="369">
        <f>SUM(I21:I22)</f>
        <v>7904.9000000000005</v>
      </c>
    </row>
    <row r="21" spans="1:9" ht="37.5">
      <c r="A21" s="355"/>
      <c r="B21" s="368" t="s">
        <v>79</v>
      </c>
      <c r="C21" s="461" t="s">
        <v>63</v>
      </c>
      <c r="D21" s="462" t="s">
        <v>69</v>
      </c>
      <c r="E21" s="462" t="s">
        <v>61</v>
      </c>
      <c r="F21" s="463" t="s">
        <v>346</v>
      </c>
      <c r="G21" s="193" t="s">
        <v>80</v>
      </c>
      <c r="H21" s="369">
        <f>'прил13(ведом 21-22)'!M304</f>
        <v>116.8</v>
      </c>
      <c r="I21" s="369">
        <f>'прил13(ведом 21-22)'!N304</f>
        <v>116.8</v>
      </c>
    </row>
    <row r="22" spans="1:9" ht="24" customHeight="1">
      <c r="A22" s="355"/>
      <c r="B22" s="370" t="s">
        <v>152</v>
      </c>
      <c r="C22" s="461" t="s">
        <v>63</v>
      </c>
      <c r="D22" s="462" t="s">
        <v>69</v>
      </c>
      <c r="E22" s="462" t="s">
        <v>61</v>
      </c>
      <c r="F22" s="463" t="s">
        <v>346</v>
      </c>
      <c r="G22" s="193" t="s">
        <v>153</v>
      </c>
      <c r="H22" s="369">
        <f>'прил13(ведом 21-22)'!M305</f>
        <v>7788.1</v>
      </c>
      <c r="I22" s="369">
        <f>'прил13(ведом 21-22)'!N305</f>
        <v>7788.1</v>
      </c>
    </row>
    <row r="23" spans="1:9" ht="153.75" customHeight="1">
      <c r="A23" s="355"/>
      <c r="B23" s="368" t="s">
        <v>330</v>
      </c>
      <c r="C23" s="461" t="s">
        <v>63</v>
      </c>
      <c r="D23" s="462" t="s">
        <v>69</v>
      </c>
      <c r="E23" s="462" t="s">
        <v>61</v>
      </c>
      <c r="F23" s="463" t="s">
        <v>331</v>
      </c>
      <c r="G23" s="193"/>
      <c r="H23" s="369">
        <f>H24</f>
        <v>542.9</v>
      </c>
      <c r="I23" s="369">
        <f>I24</f>
        <v>564.6</v>
      </c>
    </row>
    <row r="24" spans="1:9" ht="42.75" customHeight="1">
      <c r="A24" s="355"/>
      <c r="B24" s="368" t="s">
        <v>105</v>
      </c>
      <c r="C24" s="461" t="s">
        <v>63</v>
      </c>
      <c r="D24" s="462" t="s">
        <v>69</v>
      </c>
      <c r="E24" s="462" t="s">
        <v>61</v>
      </c>
      <c r="F24" s="463" t="s">
        <v>331</v>
      </c>
      <c r="G24" s="193" t="s">
        <v>106</v>
      </c>
      <c r="H24" s="369">
        <f>'прил13(ведом 21-22)'!M208</f>
        <v>542.9</v>
      </c>
      <c r="I24" s="369">
        <f>'прил13(ведом 21-22)'!N208</f>
        <v>564.6</v>
      </c>
    </row>
    <row r="25" spans="1:9" ht="97.5" customHeight="1">
      <c r="A25" s="355"/>
      <c r="B25" s="368" t="s">
        <v>439</v>
      </c>
      <c r="C25" s="461" t="s">
        <v>63</v>
      </c>
      <c r="D25" s="462" t="s">
        <v>69</v>
      </c>
      <c r="E25" s="462" t="s">
        <v>61</v>
      </c>
      <c r="F25" s="463" t="s">
        <v>332</v>
      </c>
      <c r="G25" s="193"/>
      <c r="H25" s="369">
        <f>H26</f>
        <v>214886.5</v>
      </c>
      <c r="I25" s="369">
        <f>I26</f>
        <v>214886.5</v>
      </c>
    </row>
    <row r="26" spans="1:9" ht="42.75" customHeight="1">
      <c r="A26" s="355"/>
      <c r="B26" s="370" t="s">
        <v>105</v>
      </c>
      <c r="C26" s="461" t="s">
        <v>63</v>
      </c>
      <c r="D26" s="462" t="s">
        <v>69</v>
      </c>
      <c r="E26" s="462" t="s">
        <v>61</v>
      </c>
      <c r="F26" s="463" t="s">
        <v>332</v>
      </c>
      <c r="G26" s="193" t="s">
        <v>106</v>
      </c>
      <c r="H26" s="369">
        <f>'прил13(ведом 21-22)'!M210</f>
        <v>214886.5</v>
      </c>
      <c r="I26" s="369">
        <f>'прил13(ведом 21-22)'!N210</f>
        <v>214886.5</v>
      </c>
    </row>
    <row r="27" spans="1:9" ht="18.75">
      <c r="A27" s="355"/>
      <c r="B27" s="368" t="s">
        <v>334</v>
      </c>
      <c r="C27" s="461" t="s">
        <v>63</v>
      </c>
      <c r="D27" s="462" t="s">
        <v>69</v>
      </c>
      <c r="E27" s="462" t="s">
        <v>63</v>
      </c>
      <c r="F27" s="463" t="s">
        <v>68</v>
      </c>
      <c r="G27" s="193"/>
      <c r="H27" s="369">
        <f>H33+H37+H41+H28+H44</f>
        <v>469377.5</v>
      </c>
      <c r="I27" s="369">
        <f>I33+I37+I41+I28+I44</f>
        <v>470342.60000000003</v>
      </c>
    </row>
    <row r="28" spans="1:9" ht="75">
      <c r="A28" s="355"/>
      <c r="B28" s="368" t="s">
        <v>121</v>
      </c>
      <c r="C28" s="461" t="s">
        <v>63</v>
      </c>
      <c r="D28" s="462" t="s">
        <v>69</v>
      </c>
      <c r="E28" s="462" t="s">
        <v>63</v>
      </c>
      <c r="F28" s="463" t="s">
        <v>123</v>
      </c>
      <c r="G28" s="193"/>
      <c r="H28" s="369">
        <f>SUM(H29:H32)</f>
        <v>58791.5</v>
      </c>
      <c r="I28" s="369">
        <f>SUM(I29:I32)</f>
        <v>60035.4</v>
      </c>
    </row>
    <row r="29" spans="1:9" ht="93.75">
      <c r="A29" s="355"/>
      <c r="B29" s="207" t="s">
        <v>73</v>
      </c>
      <c r="C29" s="461" t="s">
        <v>63</v>
      </c>
      <c r="D29" s="462" t="s">
        <v>69</v>
      </c>
      <c r="E29" s="462" t="s">
        <v>63</v>
      </c>
      <c r="F29" s="463" t="s">
        <v>123</v>
      </c>
      <c r="G29" s="193" t="s">
        <v>74</v>
      </c>
      <c r="H29" s="369">
        <f>'прил13(ведом 21-22)'!M224</f>
        <v>1985.2</v>
      </c>
      <c r="I29" s="369">
        <f>'прил13(ведом 21-22)'!N224</f>
        <v>1985.2</v>
      </c>
    </row>
    <row r="30" spans="1:9" ht="37.5">
      <c r="A30" s="355"/>
      <c r="B30" s="207" t="s">
        <v>79</v>
      </c>
      <c r="C30" s="461" t="s">
        <v>63</v>
      </c>
      <c r="D30" s="462" t="s">
        <v>69</v>
      </c>
      <c r="E30" s="462" t="s">
        <v>63</v>
      </c>
      <c r="F30" s="463" t="s">
        <v>123</v>
      </c>
      <c r="G30" s="193" t="s">
        <v>80</v>
      </c>
      <c r="H30" s="369">
        <f>'прил13(ведом 21-22)'!M225</f>
        <v>3688</v>
      </c>
      <c r="I30" s="369">
        <f>'прил13(ведом 21-22)'!N225</f>
        <v>3762.4</v>
      </c>
    </row>
    <row r="31" spans="1:9" ht="43.5" customHeight="1">
      <c r="A31" s="355"/>
      <c r="B31" s="368" t="s">
        <v>105</v>
      </c>
      <c r="C31" s="461" t="s">
        <v>63</v>
      </c>
      <c r="D31" s="462" t="s">
        <v>69</v>
      </c>
      <c r="E31" s="462" t="s">
        <v>63</v>
      </c>
      <c r="F31" s="463" t="s">
        <v>123</v>
      </c>
      <c r="G31" s="193" t="s">
        <v>106</v>
      </c>
      <c r="H31" s="369">
        <f>'прил13(ведом 21-22)'!M226</f>
        <v>52486.5</v>
      </c>
      <c r="I31" s="369">
        <f>'прил13(ведом 21-22)'!N226</f>
        <v>53667</v>
      </c>
    </row>
    <row r="32" spans="1:9" ht="18.75">
      <c r="A32" s="355"/>
      <c r="B32" s="368" t="s">
        <v>81</v>
      </c>
      <c r="C32" s="461" t="s">
        <v>63</v>
      </c>
      <c r="D32" s="462" t="s">
        <v>69</v>
      </c>
      <c r="E32" s="462" t="s">
        <v>63</v>
      </c>
      <c r="F32" s="463" t="s">
        <v>123</v>
      </c>
      <c r="G32" s="193" t="s">
        <v>82</v>
      </c>
      <c r="H32" s="369">
        <f>'прил13(ведом 21-22)'!M227</f>
        <v>631.79999999999995</v>
      </c>
      <c r="I32" s="369">
        <f>'прил13(ведом 21-22)'!N227</f>
        <v>620.79999999999995</v>
      </c>
    </row>
    <row r="33" spans="1:9" ht="154.5" customHeight="1">
      <c r="A33" s="355"/>
      <c r="B33" s="368" t="s">
        <v>330</v>
      </c>
      <c r="C33" s="461" t="s">
        <v>63</v>
      </c>
      <c r="D33" s="462" t="s">
        <v>69</v>
      </c>
      <c r="E33" s="462" t="s">
        <v>63</v>
      </c>
      <c r="F33" s="463" t="s">
        <v>331</v>
      </c>
      <c r="G33" s="193"/>
      <c r="H33" s="369">
        <f>SUM(H34:H36)</f>
        <v>1699</v>
      </c>
      <c r="I33" s="369">
        <f>SUM(I34:I36)</f>
        <v>1766.9</v>
      </c>
    </row>
    <row r="34" spans="1:9" ht="93.75">
      <c r="A34" s="355"/>
      <c r="B34" s="207" t="s">
        <v>73</v>
      </c>
      <c r="C34" s="461" t="s">
        <v>63</v>
      </c>
      <c r="D34" s="462" t="s">
        <v>69</v>
      </c>
      <c r="E34" s="462" t="s">
        <v>63</v>
      </c>
      <c r="F34" s="463" t="s">
        <v>331</v>
      </c>
      <c r="G34" s="193" t="s">
        <v>74</v>
      </c>
      <c r="H34" s="369">
        <f>'прил13(ведом 21-22)'!M229</f>
        <v>115.8</v>
      </c>
      <c r="I34" s="369">
        <f>'прил13(ведом 21-22)'!N229</f>
        <v>115.8</v>
      </c>
    </row>
    <row r="35" spans="1:9" ht="26.25" customHeight="1">
      <c r="A35" s="355"/>
      <c r="B35" s="207" t="s">
        <v>152</v>
      </c>
      <c r="C35" s="461" t="s">
        <v>63</v>
      </c>
      <c r="D35" s="462" t="s">
        <v>69</v>
      </c>
      <c r="E35" s="462" t="s">
        <v>63</v>
      </c>
      <c r="F35" s="463" t="s">
        <v>331</v>
      </c>
      <c r="G35" s="193" t="s">
        <v>153</v>
      </c>
      <c r="H35" s="369">
        <f>'прил13(ведом 21-22)'!M230</f>
        <v>13.9</v>
      </c>
      <c r="I35" s="369">
        <f>'прил13(ведом 21-22)'!N230</f>
        <v>13.9</v>
      </c>
    </row>
    <row r="36" spans="1:9" ht="39" customHeight="1">
      <c r="A36" s="355"/>
      <c r="B36" s="368" t="s">
        <v>105</v>
      </c>
      <c r="C36" s="461" t="s">
        <v>63</v>
      </c>
      <c r="D36" s="462" t="s">
        <v>69</v>
      </c>
      <c r="E36" s="462" t="s">
        <v>63</v>
      </c>
      <c r="F36" s="463" t="s">
        <v>331</v>
      </c>
      <c r="G36" s="193" t="s">
        <v>106</v>
      </c>
      <c r="H36" s="369">
        <f>'прил13(ведом 21-22)'!M231</f>
        <v>1569.3</v>
      </c>
      <c r="I36" s="369">
        <f>'прил13(ведом 21-22)'!N231</f>
        <v>1637.2</v>
      </c>
    </row>
    <row r="37" spans="1:9" ht="93" customHeight="1">
      <c r="A37" s="355"/>
      <c r="B37" s="368" t="s">
        <v>439</v>
      </c>
      <c r="C37" s="461" t="s">
        <v>63</v>
      </c>
      <c r="D37" s="462" t="s">
        <v>69</v>
      </c>
      <c r="E37" s="462" t="s">
        <v>63</v>
      </c>
      <c r="F37" s="463" t="s">
        <v>332</v>
      </c>
      <c r="G37" s="193"/>
      <c r="H37" s="369">
        <f>SUM(H38:H40)</f>
        <v>404437.8</v>
      </c>
      <c r="I37" s="369">
        <f>SUM(I38:I40)</f>
        <v>404437.8</v>
      </c>
    </row>
    <row r="38" spans="1:9" ht="93.75">
      <c r="A38" s="355"/>
      <c r="B38" s="368" t="s">
        <v>73</v>
      </c>
      <c r="C38" s="461" t="s">
        <v>63</v>
      </c>
      <c r="D38" s="462" t="s">
        <v>69</v>
      </c>
      <c r="E38" s="462" t="s">
        <v>63</v>
      </c>
      <c r="F38" s="463" t="s">
        <v>332</v>
      </c>
      <c r="G38" s="193" t="s">
        <v>74</v>
      </c>
      <c r="H38" s="369">
        <f>'прил13(ведом 21-22)'!M233</f>
        <v>30026.5</v>
      </c>
      <c r="I38" s="369">
        <f>'прил13(ведом 21-22)'!N233</f>
        <v>30026.5</v>
      </c>
    </row>
    <row r="39" spans="1:9" ht="37.5">
      <c r="A39" s="355"/>
      <c r="B39" s="368" t="s">
        <v>79</v>
      </c>
      <c r="C39" s="461" t="s">
        <v>63</v>
      </c>
      <c r="D39" s="462" t="s">
        <v>69</v>
      </c>
      <c r="E39" s="462" t="s">
        <v>63</v>
      </c>
      <c r="F39" s="463" t="s">
        <v>332</v>
      </c>
      <c r="G39" s="193" t="s">
        <v>80</v>
      </c>
      <c r="H39" s="369">
        <f>'прил13(ведом 21-22)'!M234</f>
        <v>1762.8</v>
      </c>
      <c r="I39" s="369">
        <f>'прил13(ведом 21-22)'!N234</f>
        <v>1762.8</v>
      </c>
    </row>
    <row r="40" spans="1:9" ht="43.5" customHeight="1">
      <c r="A40" s="355"/>
      <c r="B40" s="368" t="s">
        <v>105</v>
      </c>
      <c r="C40" s="461" t="s">
        <v>63</v>
      </c>
      <c r="D40" s="462" t="s">
        <v>69</v>
      </c>
      <c r="E40" s="462" t="s">
        <v>63</v>
      </c>
      <c r="F40" s="463" t="s">
        <v>332</v>
      </c>
      <c r="G40" s="193" t="s">
        <v>106</v>
      </c>
      <c r="H40" s="369">
        <f>'прил13(ведом 21-22)'!M235</f>
        <v>372648.5</v>
      </c>
      <c r="I40" s="369">
        <f>'прил13(ведом 21-22)'!N235</f>
        <v>372648.5</v>
      </c>
    </row>
    <row r="41" spans="1:9" ht="78" customHeight="1">
      <c r="A41" s="355"/>
      <c r="B41" s="368" t="s">
        <v>248</v>
      </c>
      <c r="C41" s="459" t="s">
        <v>63</v>
      </c>
      <c r="D41" s="459" t="s">
        <v>69</v>
      </c>
      <c r="E41" s="459" t="s">
        <v>63</v>
      </c>
      <c r="F41" s="460" t="s">
        <v>337</v>
      </c>
      <c r="G41" s="353"/>
      <c r="H41" s="369">
        <f>SUM(H42:H43)</f>
        <v>3944.7000000000003</v>
      </c>
      <c r="I41" s="369">
        <f>SUM(I42:I43)</f>
        <v>4102.5</v>
      </c>
    </row>
    <row r="42" spans="1:9" ht="37.5">
      <c r="A42" s="355"/>
      <c r="B42" s="207" t="s">
        <v>79</v>
      </c>
      <c r="C42" s="461" t="s">
        <v>63</v>
      </c>
      <c r="D42" s="462" t="s">
        <v>69</v>
      </c>
      <c r="E42" s="462" t="s">
        <v>63</v>
      </c>
      <c r="F42" s="463" t="s">
        <v>337</v>
      </c>
      <c r="G42" s="193" t="s">
        <v>80</v>
      </c>
      <c r="H42" s="369">
        <f>'прил13(ведом 21-22)'!M237</f>
        <v>184.8</v>
      </c>
      <c r="I42" s="369">
        <f>'прил13(ведом 21-22)'!N237</f>
        <v>176.7</v>
      </c>
    </row>
    <row r="43" spans="1:9" ht="45.75" customHeight="1">
      <c r="A43" s="355"/>
      <c r="B43" s="368" t="s">
        <v>105</v>
      </c>
      <c r="C43" s="459" t="s">
        <v>63</v>
      </c>
      <c r="D43" s="459" t="s">
        <v>69</v>
      </c>
      <c r="E43" s="459" t="s">
        <v>63</v>
      </c>
      <c r="F43" s="460" t="s">
        <v>337</v>
      </c>
      <c r="G43" s="353" t="s">
        <v>106</v>
      </c>
      <c r="H43" s="369">
        <f>'прил13(ведом 21-22)'!M238</f>
        <v>3759.9</v>
      </c>
      <c r="I43" s="369">
        <f>'прил13(ведом 21-22)'!N238</f>
        <v>3925.8</v>
      </c>
    </row>
    <row r="44" spans="1:9" ht="56.45" customHeight="1">
      <c r="A44" s="355"/>
      <c r="B44" s="612" t="s">
        <v>774</v>
      </c>
      <c r="C44" s="615" t="s">
        <v>63</v>
      </c>
      <c r="D44" s="616" t="s">
        <v>69</v>
      </c>
      <c r="E44" s="616" t="s">
        <v>63</v>
      </c>
      <c r="F44" s="617" t="s">
        <v>775</v>
      </c>
      <c r="G44" s="614"/>
      <c r="H44" s="620">
        <f>H45</f>
        <v>504.5</v>
      </c>
      <c r="I44" s="620">
        <f>I45</f>
        <v>0</v>
      </c>
    </row>
    <row r="45" spans="1:9" ht="45.75" customHeight="1">
      <c r="A45" s="355"/>
      <c r="B45" s="612" t="s">
        <v>105</v>
      </c>
      <c r="C45" s="615" t="s">
        <v>63</v>
      </c>
      <c r="D45" s="616" t="s">
        <v>69</v>
      </c>
      <c r="E45" s="616" t="s">
        <v>63</v>
      </c>
      <c r="F45" s="617" t="s">
        <v>775</v>
      </c>
      <c r="G45" s="614" t="s">
        <v>106</v>
      </c>
      <c r="H45" s="620">
        <f>'прил13(ведом 21-22)'!M240</f>
        <v>504.5</v>
      </c>
      <c r="I45" s="620">
        <f>'прил13(ведом 21-22)'!N240</f>
        <v>0</v>
      </c>
    </row>
    <row r="46" spans="1:9" ht="32.450000000000003" customHeight="1">
      <c r="A46" s="355"/>
      <c r="B46" s="612" t="s">
        <v>776</v>
      </c>
      <c r="C46" s="615" t="s">
        <v>63</v>
      </c>
      <c r="D46" s="616" t="s">
        <v>69</v>
      </c>
      <c r="E46" s="616" t="s">
        <v>777</v>
      </c>
      <c r="F46" s="617" t="s">
        <v>68</v>
      </c>
      <c r="G46" s="614"/>
      <c r="H46" s="369">
        <f>H47</f>
        <v>0</v>
      </c>
      <c r="I46" s="369">
        <f>I47</f>
        <v>2321</v>
      </c>
    </row>
    <row r="47" spans="1:9" ht="112.9" customHeight="1">
      <c r="A47" s="355"/>
      <c r="B47" s="612" t="s">
        <v>870</v>
      </c>
      <c r="C47" s="615" t="s">
        <v>63</v>
      </c>
      <c r="D47" s="616" t="s">
        <v>69</v>
      </c>
      <c r="E47" s="616" t="s">
        <v>777</v>
      </c>
      <c r="F47" s="617" t="s">
        <v>865</v>
      </c>
      <c r="G47" s="614"/>
      <c r="H47" s="369">
        <f>H48</f>
        <v>0</v>
      </c>
      <c r="I47" s="369">
        <f>I48</f>
        <v>2321</v>
      </c>
    </row>
    <row r="48" spans="1:9" ht="45.6" customHeight="1">
      <c r="A48" s="355"/>
      <c r="B48" s="612" t="s">
        <v>105</v>
      </c>
      <c r="C48" s="615" t="s">
        <v>63</v>
      </c>
      <c r="D48" s="616" t="s">
        <v>69</v>
      </c>
      <c r="E48" s="616" t="s">
        <v>777</v>
      </c>
      <c r="F48" s="617" t="s">
        <v>865</v>
      </c>
      <c r="G48" s="614" t="s">
        <v>106</v>
      </c>
      <c r="H48" s="369">
        <f>'прил13(ведом 21-22)'!M243</f>
        <v>0</v>
      </c>
      <c r="I48" s="369">
        <f>'прил13(ведом 21-22)'!N243</f>
        <v>2321</v>
      </c>
    </row>
    <row r="49" spans="1:9" ht="42.75" customHeight="1">
      <c r="A49" s="355"/>
      <c r="B49" s="634" t="s">
        <v>868</v>
      </c>
      <c r="C49" s="638" t="s">
        <v>63</v>
      </c>
      <c r="D49" s="639" t="s">
        <v>69</v>
      </c>
      <c r="E49" s="639" t="s">
        <v>867</v>
      </c>
      <c r="F49" s="635" t="s">
        <v>68</v>
      </c>
      <c r="G49" s="193"/>
      <c r="H49" s="369">
        <f>H50</f>
        <v>450</v>
      </c>
      <c r="I49" s="369">
        <f>I50</f>
        <v>0</v>
      </c>
    </row>
    <row r="50" spans="1:9" s="640" customFormat="1" ht="37.5">
      <c r="A50" s="637"/>
      <c r="B50" s="634" t="s">
        <v>778</v>
      </c>
      <c r="C50" s="638" t="s">
        <v>63</v>
      </c>
      <c r="D50" s="639" t="s">
        <v>69</v>
      </c>
      <c r="E50" s="639" t="s">
        <v>867</v>
      </c>
      <c r="F50" s="635" t="s">
        <v>779</v>
      </c>
      <c r="G50" s="636"/>
      <c r="H50" s="369">
        <f>H51</f>
        <v>450</v>
      </c>
      <c r="I50" s="369">
        <f>I51</f>
        <v>0</v>
      </c>
    </row>
    <row r="51" spans="1:9" s="640" customFormat="1" ht="43.5" customHeight="1">
      <c r="A51" s="637"/>
      <c r="B51" s="634" t="s">
        <v>105</v>
      </c>
      <c r="C51" s="638" t="s">
        <v>63</v>
      </c>
      <c r="D51" s="639" t="s">
        <v>69</v>
      </c>
      <c r="E51" s="639" t="s">
        <v>867</v>
      </c>
      <c r="F51" s="635" t="s">
        <v>779</v>
      </c>
      <c r="G51" s="636" t="s">
        <v>106</v>
      </c>
      <c r="H51" s="369">
        <f>'прил13(ведом 21-22)'!M213+'прил13(ведом 21-22)'!M246</f>
        <v>450</v>
      </c>
      <c r="I51" s="369">
        <f>'прил13(ведом 21-22)'!N213</f>
        <v>0</v>
      </c>
    </row>
    <row r="52" spans="1:9" ht="18.75">
      <c r="A52" s="355"/>
      <c r="B52" s="368" t="s">
        <v>249</v>
      </c>
      <c r="C52" s="461" t="s">
        <v>63</v>
      </c>
      <c r="D52" s="462" t="s">
        <v>120</v>
      </c>
      <c r="E52" s="462" t="s">
        <v>67</v>
      </c>
      <c r="F52" s="463" t="s">
        <v>68</v>
      </c>
      <c r="G52" s="353"/>
      <c r="H52" s="369">
        <f>H53+H65</f>
        <v>51224.7</v>
      </c>
      <c r="I52" s="369">
        <f>I53+I65</f>
        <v>50591.299999999996</v>
      </c>
    </row>
    <row r="53" spans="1:9" ht="37.5">
      <c r="A53" s="355"/>
      <c r="B53" s="368" t="s">
        <v>338</v>
      </c>
      <c r="C53" s="461" t="s">
        <v>63</v>
      </c>
      <c r="D53" s="462" t="s">
        <v>120</v>
      </c>
      <c r="E53" s="462" t="s">
        <v>61</v>
      </c>
      <c r="F53" s="463" t="s">
        <v>68</v>
      </c>
      <c r="G53" s="353"/>
      <c r="H53" s="369">
        <f>H54+H61+H59+H63</f>
        <v>51074.7</v>
      </c>
      <c r="I53" s="369">
        <f>I54+I61+I59+I63</f>
        <v>50591.299999999996</v>
      </c>
    </row>
    <row r="54" spans="1:9" ht="75">
      <c r="A54" s="355"/>
      <c r="B54" s="368" t="s">
        <v>121</v>
      </c>
      <c r="C54" s="461" t="s">
        <v>63</v>
      </c>
      <c r="D54" s="462" t="s">
        <v>120</v>
      </c>
      <c r="E54" s="462" t="s">
        <v>61</v>
      </c>
      <c r="F54" s="463" t="s">
        <v>123</v>
      </c>
      <c r="G54" s="193"/>
      <c r="H54" s="369">
        <f>SUM(H55:H58)</f>
        <v>44511.199999999997</v>
      </c>
      <c r="I54" s="369">
        <f>SUM(I55:I58)</f>
        <v>44023.399999999994</v>
      </c>
    </row>
    <row r="55" spans="1:9" ht="93.75">
      <c r="A55" s="355"/>
      <c r="B55" s="207" t="s">
        <v>73</v>
      </c>
      <c r="C55" s="461" t="s">
        <v>63</v>
      </c>
      <c r="D55" s="462" t="s">
        <v>120</v>
      </c>
      <c r="E55" s="462" t="s">
        <v>61</v>
      </c>
      <c r="F55" s="463" t="s">
        <v>123</v>
      </c>
      <c r="G55" s="193" t="s">
        <v>74</v>
      </c>
      <c r="H55" s="369">
        <f>'прил13(ведом 21-22)'!M263</f>
        <v>23754.399999999998</v>
      </c>
      <c r="I55" s="369">
        <f>'прил13(ведом 21-22)'!N263</f>
        <v>23754.399999999998</v>
      </c>
    </row>
    <row r="56" spans="1:9" ht="37.5">
      <c r="A56" s="355"/>
      <c r="B56" s="207" t="s">
        <v>79</v>
      </c>
      <c r="C56" s="461" t="s">
        <v>63</v>
      </c>
      <c r="D56" s="462" t="s">
        <v>120</v>
      </c>
      <c r="E56" s="462" t="s">
        <v>61</v>
      </c>
      <c r="F56" s="463" t="s">
        <v>123</v>
      </c>
      <c r="G56" s="193" t="s">
        <v>80</v>
      </c>
      <c r="H56" s="369">
        <f>'прил13(ведом 21-22)'!M264</f>
        <v>1900</v>
      </c>
      <c r="I56" s="369">
        <f>'прил13(ведом 21-22)'!N264</f>
        <v>1589.1</v>
      </c>
    </row>
    <row r="57" spans="1:9" ht="46.5" customHeight="1">
      <c r="A57" s="355"/>
      <c r="B57" s="368" t="s">
        <v>105</v>
      </c>
      <c r="C57" s="461" t="s">
        <v>63</v>
      </c>
      <c r="D57" s="462" t="s">
        <v>120</v>
      </c>
      <c r="E57" s="462" t="s">
        <v>61</v>
      </c>
      <c r="F57" s="463" t="s">
        <v>123</v>
      </c>
      <c r="G57" s="193" t="s">
        <v>106</v>
      </c>
      <c r="H57" s="369">
        <f>'прил13(ведом 21-22)'!M265</f>
        <v>18791.399999999998</v>
      </c>
      <c r="I57" s="369">
        <f>'прил13(ведом 21-22)'!N265</f>
        <v>18615.099999999999</v>
      </c>
    </row>
    <row r="58" spans="1:9" ht="18.75">
      <c r="A58" s="355"/>
      <c r="B58" s="207" t="s">
        <v>81</v>
      </c>
      <c r="C58" s="461" t="s">
        <v>63</v>
      </c>
      <c r="D58" s="462" t="s">
        <v>120</v>
      </c>
      <c r="E58" s="462" t="s">
        <v>61</v>
      </c>
      <c r="F58" s="463" t="s">
        <v>123</v>
      </c>
      <c r="G58" s="193" t="s">
        <v>82</v>
      </c>
      <c r="H58" s="369">
        <f>'прил13(ведом 21-22)'!M266</f>
        <v>65.399999999999991</v>
      </c>
      <c r="I58" s="369">
        <f>'прил13(ведом 21-22)'!N266</f>
        <v>64.8</v>
      </c>
    </row>
    <row r="59" spans="1:9" ht="165" customHeight="1">
      <c r="A59" s="355"/>
      <c r="B59" s="207" t="s">
        <v>794</v>
      </c>
      <c r="C59" s="461" t="s">
        <v>63</v>
      </c>
      <c r="D59" s="462" t="s">
        <v>120</v>
      </c>
      <c r="E59" s="462" t="s">
        <v>61</v>
      </c>
      <c r="F59" s="463" t="s">
        <v>578</v>
      </c>
      <c r="G59" s="193"/>
      <c r="H59" s="369">
        <f>H60</f>
        <v>125</v>
      </c>
      <c r="I59" s="369">
        <f>I60</f>
        <v>125</v>
      </c>
    </row>
    <row r="60" spans="1:9" ht="93.75">
      <c r="A60" s="355"/>
      <c r="B60" s="207" t="s">
        <v>73</v>
      </c>
      <c r="C60" s="461" t="s">
        <v>63</v>
      </c>
      <c r="D60" s="462" t="s">
        <v>120</v>
      </c>
      <c r="E60" s="462" t="s">
        <v>61</v>
      </c>
      <c r="F60" s="463" t="s">
        <v>578</v>
      </c>
      <c r="G60" s="193" t="s">
        <v>74</v>
      </c>
      <c r="H60" s="369">
        <f>'прил13(ведом 21-22)'!M268</f>
        <v>125</v>
      </c>
      <c r="I60" s="369">
        <f>'прил13(ведом 21-22)'!N268</f>
        <v>125</v>
      </c>
    </row>
    <row r="61" spans="1:9" ht="162" customHeight="1">
      <c r="A61" s="355"/>
      <c r="B61" s="368" t="s">
        <v>330</v>
      </c>
      <c r="C61" s="461" t="s">
        <v>63</v>
      </c>
      <c r="D61" s="462" t="s">
        <v>120</v>
      </c>
      <c r="E61" s="462" t="s">
        <v>61</v>
      </c>
      <c r="F61" s="463" t="s">
        <v>331</v>
      </c>
      <c r="G61" s="193"/>
      <c r="H61" s="369">
        <f>H62</f>
        <v>110.1</v>
      </c>
      <c r="I61" s="369">
        <f>I62</f>
        <v>114.5</v>
      </c>
    </row>
    <row r="62" spans="1:9" ht="93.75">
      <c r="A62" s="355"/>
      <c r="B62" s="207" t="s">
        <v>73</v>
      </c>
      <c r="C62" s="461" t="s">
        <v>63</v>
      </c>
      <c r="D62" s="462" t="s">
        <v>120</v>
      </c>
      <c r="E62" s="462" t="s">
        <v>61</v>
      </c>
      <c r="F62" s="463" t="s">
        <v>331</v>
      </c>
      <c r="G62" s="193" t="s">
        <v>74</v>
      </c>
      <c r="H62" s="369">
        <f>'прил13(ведом 21-22)'!M270</f>
        <v>110.1</v>
      </c>
      <c r="I62" s="369">
        <f>'прил13(ведом 21-22)'!N270</f>
        <v>114.5</v>
      </c>
    </row>
    <row r="63" spans="1:9" ht="96.75" customHeight="1">
      <c r="A63" s="355"/>
      <c r="B63" s="207" t="s">
        <v>439</v>
      </c>
      <c r="C63" s="461" t="s">
        <v>63</v>
      </c>
      <c r="D63" s="462" t="s">
        <v>120</v>
      </c>
      <c r="E63" s="462" t="s">
        <v>61</v>
      </c>
      <c r="F63" s="463" t="s">
        <v>332</v>
      </c>
      <c r="G63" s="193"/>
      <c r="H63" s="369">
        <f>H64</f>
        <v>6328.4</v>
      </c>
      <c r="I63" s="369">
        <f>I64</f>
        <v>6328.4</v>
      </c>
    </row>
    <row r="64" spans="1:9" ht="45" customHeight="1">
      <c r="A64" s="355"/>
      <c r="B64" s="207" t="s">
        <v>105</v>
      </c>
      <c r="C64" s="461" t="s">
        <v>63</v>
      </c>
      <c r="D64" s="462" t="s">
        <v>120</v>
      </c>
      <c r="E64" s="462" t="s">
        <v>61</v>
      </c>
      <c r="F64" s="463" t="s">
        <v>332</v>
      </c>
      <c r="G64" s="193" t="s">
        <v>106</v>
      </c>
      <c r="H64" s="369">
        <f>'прил13(ведом 21-22)'!M272</f>
        <v>6328.4</v>
      </c>
      <c r="I64" s="369">
        <f>'прил13(ведом 21-22)'!N272</f>
        <v>6328.4</v>
      </c>
    </row>
    <row r="65" spans="1:9" ht="45" customHeight="1">
      <c r="A65" s="355"/>
      <c r="B65" s="634" t="s">
        <v>868</v>
      </c>
      <c r="C65" s="638" t="s">
        <v>63</v>
      </c>
      <c r="D65" s="639" t="s">
        <v>120</v>
      </c>
      <c r="E65" s="639" t="s">
        <v>867</v>
      </c>
      <c r="F65" s="635" t="s">
        <v>68</v>
      </c>
      <c r="G65" s="193"/>
      <c r="H65" s="369">
        <f>H66</f>
        <v>150</v>
      </c>
      <c r="I65" s="369">
        <f>I66</f>
        <v>0</v>
      </c>
    </row>
    <row r="66" spans="1:9" ht="37.5">
      <c r="A66" s="355"/>
      <c r="B66" s="634" t="s">
        <v>778</v>
      </c>
      <c r="C66" s="638" t="s">
        <v>63</v>
      </c>
      <c r="D66" s="639" t="s">
        <v>120</v>
      </c>
      <c r="E66" s="639" t="s">
        <v>867</v>
      </c>
      <c r="F66" s="635" t="s">
        <v>779</v>
      </c>
      <c r="G66" s="636"/>
      <c r="H66" s="369">
        <f>H67</f>
        <v>150</v>
      </c>
      <c r="I66" s="369">
        <f>I67</f>
        <v>0</v>
      </c>
    </row>
    <row r="67" spans="1:9" ht="44.25" customHeight="1">
      <c r="A67" s="355"/>
      <c r="B67" s="634" t="s">
        <v>105</v>
      </c>
      <c r="C67" s="638" t="s">
        <v>63</v>
      </c>
      <c r="D67" s="639" t="s">
        <v>120</v>
      </c>
      <c r="E67" s="639" t="s">
        <v>867</v>
      </c>
      <c r="F67" s="635" t="s">
        <v>779</v>
      </c>
      <c r="G67" s="636" t="s">
        <v>106</v>
      </c>
      <c r="H67" s="369">
        <f>'прил13(ведом 21-22)'!M275</f>
        <v>150</v>
      </c>
      <c r="I67" s="369">
        <f>'прил13(ведом 21-22)'!N275</f>
        <v>0</v>
      </c>
    </row>
    <row r="68" spans="1:9" ht="42" customHeight="1">
      <c r="A68" s="355"/>
      <c r="B68" s="368" t="s">
        <v>251</v>
      </c>
      <c r="C68" s="461" t="s">
        <v>63</v>
      </c>
      <c r="D68" s="462" t="s">
        <v>54</v>
      </c>
      <c r="E68" s="462" t="s">
        <v>67</v>
      </c>
      <c r="F68" s="463" t="s">
        <v>68</v>
      </c>
      <c r="G68" s="353"/>
      <c r="H68" s="369">
        <f>H69+H85</f>
        <v>68662.2</v>
      </c>
      <c r="I68" s="369">
        <f>I69+I85</f>
        <v>67693.599999999991</v>
      </c>
    </row>
    <row r="69" spans="1:9" ht="37.5">
      <c r="A69" s="355"/>
      <c r="B69" s="368" t="s">
        <v>344</v>
      </c>
      <c r="C69" s="461" t="s">
        <v>63</v>
      </c>
      <c r="D69" s="462" t="s">
        <v>54</v>
      </c>
      <c r="E69" s="462" t="s">
        <v>61</v>
      </c>
      <c r="F69" s="463" t="s">
        <v>68</v>
      </c>
      <c r="G69" s="353"/>
      <c r="H69" s="369">
        <f>H70+H74+H82+H79</f>
        <v>61941.899999999994</v>
      </c>
      <c r="I69" s="369">
        <f>I70+I74+I82+I79</f>
        <v>60973.299999999996</v>
      </c>
    </row>
    <row r="70" spans="1:9" ht="37.5">
      <c r="A70" s="355"/>
      <c r="B70" s="368" t="s">
        <v>71</v>
      </c>
      <c r="C70" s="461" t="s">
        <v>63</v>
      </c>
      <c r="D70" s="462" t="s">
        <v>54</v>
      </c>
      <c r="E70" s="462" t="s">
        <v>61</v>
      </c>
      <c r="F70" s="463" t="s">
        <v>72</v>
      </c>
      <c r="G70" s="193"/>
      <c r="H70" s="369">
        <f>SUM(H71:H73)</f>
        <v>8958.5</v>
      </c>
      <c r="I70" s="369">
        <f>SUM(I71:I73)</f>
        <v>8714</v>
      </c>
    </row>
    <row r="71" spans="1:9" ht="93.75">
      <c r="A71" s="355"/>
      <c r="B71" s="368" t="s">
        <v>73</v>
      </c>
      <c r="C71" s="461" t="s">
        <v>63</v>
      </c>
      <c r="D71" s="462" t="s">
        <v>54</v>
      </c>
      <c r="E71" s="462" t="s">
        <v>61</v>
      </c>
      <c r="F71" s="463" t="s">
        <v>72</v>
      </c>
      <c r="G71" s="193" t="s">
        <v>74</v>
      </c>
      <c r="H71" s="369">
        <f>'прил13(ведом 21-22)'!M287</f>
        <v>8166.2</v>
      </c>
      <c r="I71" s="369">
        <f>'прил13(ведом 21-22)'!N287</f>
        <v>8166.2</v>
      </c>
    </row>
    <row r="72" spans="1:9" ht="37.5">
      <c r="A72" s="355"/>
      <c r="B72" s="368" t="s">
        <v>79</v>
      </c>
      <c r="C72" s="461" t="s">
        <v>63</v>
      </c>
      <c r="D72" s="462" t="s">
        <v>54</v>
      </c>
      <c r="E72" s="462" t="s">
        <v>61</v>
      </c>
      <c r="F72" s="463" t="s">
        <v>72</v>
      </c>
      <c r="G72" s="193" t="s">
        <v>80</v>
      </c>
      <c r="H72" s="369">
        <f>'прил13(ведом 21-22)'!M288</f>
        <v>777.7</v>
      </c>
      <c r="I72" s="369">
        <f>'прил13(ведом 21-22)'!N288</f>
        <v>533.4</v>
      </c>
    </row>
    <row r="73" spans="1:9" ht="18.75">
      <c r="A73" s="355"/>
      <c r="B73" s="368" t="s">
        <v>81</v>
      </c>
      <c r="C73" s="461" t="s">
        <v>63</v>
      </c>
      <c r="D73" s="462" t="s">
        <v>54</v>
      </c>
      <c r="E73" s="462" t="s">
        <v>61</v>
      </c>
      <c r="F73" s="463" t="s">
        <v>72</v>
      </c>
      <c r="G73" s="193" t="s">
        <v>82</v>
      </c>
      <c r="H73" s="369">
        <f>'прил13(ведом 21-22)'!M289</f>
        <v>14.6</v>
      </c>
      <c r="I73" s="369">
        <f>'прил13(ведом 21-22)'!N289</f>
        <v>14.4</v>
      </c>
    </row>
    <row r="74" spans="1:9" ht="75">
      <c r="A74" s="355"/>
      <c r="B74" s="368" t="s">
        <v>121</v>
      </c>
      <c r="C74" s="461" t="s">
        <v>63</v>
      </c>
      <c r="D74" s="462" t="s">
        <v>54</v>
      </c>
      <c r="E74" s="462" t="s">
        <v>61</v>
      </c>
      <c r="F74" s="463" t="s">
        <v>123</v>
      </c>
      <c r="G74" s="193"/>
      <c r="H74" s="369">
        <f>SUM(H75:H78)</f>
        <v>44078.299999999996</v>
      </c>
      <c r="I74" s="369">
        <f>SUM(I75:I78)</f>
        <v>43354.2</v>
      </c>
    </row>
    <row r="75" spans="1:9" ht="93.75">
      <c r="A75" s="355"/>
      <c r="B75" s="368" t="s">
        <v>73</v>
      </c>
      <c r="C75" s="461" t="s">
        <v>63</v>
      </c>
      <c r="D75" s="462" t="s">
        <v>54</v>
      </c>
      <c r="E75" s="462" t="s">
        <v>61</v>
      </c>
      <c r="F75" s="463" t="s">
        <v>123</v>
      </c>
      <c r="G75" s="193" t="s">
        <v>74</v>
      </c>
      <c r="H75" s="369">
        <f>'прил13(ведом 21-22)'!M291</f>
        <v>25962.199999999997</v>
      </c>
      <c r="I75" s="369">
        <f>'прил13(ведом 21-22)'!N291</f>
        <v>25962.199999999997</v>
      </c>
    </row>
    <row r="76" spans="1:9" ht="37.5">
      <c r="A76" s="355"/>
      <c r="B76" s="368" t="s">
        <v>79</v>
      </c>
      <c r="C76" s="461" t="s">
        <v>63</v>
      </c>
      <c r="D76" s="462" t="s">
        <v>54</v>
      </c>
      <c r="E76" s="462" t="s">
        <v>61</v>
      </c>
      <c r="F76" s="463" t="s">
        <v>123</v>
      </c>
      <c r="G76" s="193" t="s">
        <v>80</v>
      </c>
      <c r="H76" s="369">
        <f>'прил13(ведом 21-22)'!M292</f>
        <v>2705.8</v>
      </c>
      <c r="I76" s="369">
        <f>'прил13(ведом 21-22)'!N292</f>
        <v>2232.3000000000002</v>
      </c>
    </row>
    <row r="77" spans="1:9" ht="45.75" customHeight="1">
      <c r="A77" s="355"/>
      <c r="B77" s="207" t="s">
        <v>105</v>
      </c>
      <c r="C77" s="461" t="s">
        <v>63</v>
      </c>
      <c r="D77" s="462" t="s">
        <v>54</v>
      </c>
      <c r="E77" s="462" t="s">
        <v>61</v>
      </c>
      <c r="F77" s="463" t="s">
        <v>123</v>
      </c>
      <c r="G77" s="193" t="s">
        <v>106</v>
      </c>
      <c r="H77" s="369">
        <f>'прил13(ведом 21-22)'!M293</f>
        <v>15403.9</v>
      </c>
      <c r="I77" s="369">
        <f>'прил13(ведом 21-22)'!N293</f>
        <v>15153.9</v>
      </c>
    </row>
    <row r="78" spans="1:9" ht="18.75">
      <c r="A78" s="355"/>
      <c r="B78" s="207" t="s">
        <v>81</v>
      </c>
      <c r="C78" s="461" t="s">
        <v>63</v>
      </c>
      <c r="D78" s="462" t="s">
        <v>54</v>
      </c>
      <c r="E78" s="462" t="s">
        <v>61</v>
      </c>
      <c r="F78" s="463" t="s">
        <v>123</v>
      </c>
      <c r="G78" s="193" t="s">
        <v>82</v>
      </c>
      <c r="H78" s="369">
        <f>'прил13(ведом 21-22)'!M294</f>
        <v>6.4</v>
      </c>
      <c r="I78" s="369">
        <f>'прил13(ведом 21-22)'!N294</f>
        <v>5.8</v>
      </c>
    </row>
    <row r="79" spans="1:9" ht="97.5" customHeight="1">
      <c r="A79" s="355"/>
      <c r="B79" s="207" t="s">
        <v>439</v>
      </c>
      <c r="C79" s="461" t="s">
        <v>63</v>
      </c>
      <c r="D79" s="462" t="s">
        <v>54</v>
      </c>
      <c r="E79" s="462" t="s">
        <v>61</v>
      </c>
      <c r="F79" s="463" t="s">
        <v>332</v>
      </c>
      <c r="G79" s="193"/>
      <c r="H79" s="369">
        <f>SUM(H80:H81)</f>
        <v>6161.4000000000005</v>
      </c>
      <c r="I79" s="369">
        <f>SUM(I80:I81)</f>
        <v>6161.4000000000005</v>
      </c>
    </row>
    <row r="80" spans="1:9" ht="93.75">
      <c r="A80" s="355"/>
      <c r="B80" s="207" t="s">
        <v>73</v>
      </c>
      <c r="C80" s="461" t="s">
        <v>63</v>
      </c>
      <c r="D80" s="462" t="s">
        <v>54</v>
      </c>
      <c r="E80" s="462" t="s">
        <v>61</v>
      </c>
      <c r="F80" s="463" t="s">
        <v>332</v>
      </c>
      <c r="G80" s="193" t="s">
        <v>74</v>
      </c>
      <c r="H80" s="369">
        <f>'прил13(ведом 21-22)'!M296</f>
        <v>5804.3</v>
      </c>
      <c r="I80" s="369">
        <f>'прил13(ведом 21-22)'!N296</f>
        <v>5804.3</v>
      </c>
    </row>
    <row r="81" spans="1:9" ht="37.5">
      <c r="A81" s="355"/>
      <c r="B81" s="368" t="s">
        <v>79</v>
      </c>
      <c r="C81" s="461" t="s">
        <v>63</v>
      </c>
      <c r="D81" s="462" t="s">
        <v>54</v>
      </c>
      <c r="E81" s="462" t="s">
        <v>61</v>
      </c>
      <c r="F81" s="463" t="s">
        <v>332</v>
      </c>
      <c r="G81" s="193" t="s">
        <v>80</v>
      </c>
      <c r="H81" s="369">
        <f>'прил13(ведом 21-22)'!M297</f>
        <v>357.1</v>
      </c>
      <c r="I81" s="369">
        <f>'прил13(ведом 21-22)'!N297</f>
        <v>357.1</v>
      </c>
    </row>
    <row r="82" spans="1:9" ht="214.5" customHeight="1">
      <c r="A82" s="355"/>
      <c r="B82" s="207" t="s">
        <v>793</v>
      </c>
      <c r="C82" s="461" t="s">
        <v>63</v>
      </c>
      <c r="D82" s="462" t="s">
        <v>54</v>
      </c>
      <c r="E82" s="462" t="s">
        <v>61</v>
      </c>
      <c r="F82" s="463" t="s">
        <v>440</v>
      </c>
      <c r="G82" s="193"/>
      <c r="H82" s="369">
        <f>SUM(H83:H84)</f>
        <v>2743.7000000000003</v>
      </c>
      <c r="I82" s="369">
        <f>SUM(I83:I84)</f>
        <v>2743.7000000000003</v>
      </c>
    </row>
    <row r="83" spans="1:9" ht="93.75">
      <c r="A83" s="355"/>
      <c r="B83" s="207" t="s">
        <v>73</v>
      </c>
      <c r="C83" s="461" t="s">
        <v>63</v>
      </c>
      <c r="D83" s="462" t="s">
        <v>54</v>
      </c>
      <c r="E83" s="462" t="s">
        <v>61</v>
      </c>
      <c r="F83" s="463" t="s">
        <v>440</v>
      </c>
      <c r="G83" s="193" t="s">
        <v>74</v>
      </c>
      <c r="H83" s="369">
        <f>'прил13(ведом 21-22)'!M250</f>
        <v>29.8</v>
      </c>
      <c r="I83" s="369">
        <f>'прил13(ведом 21-22)'!N250</f>
        <v>29.8</v>
      </c>
    </row>
    <row r="84" spans="1:9" ht="45" customHeight="1">
      <c r="A84" s="355"/>
      <c r="B84" s="207" t="s">
        <v>105</v>
      </c>
      <c r="C84" s="461" t="s">
        <v>63</v>
      </c>
      <c r="D84" s="462" t="s">
        <v>54</v>
      </c>
      <c r="E84" s="462" t="s">
        <v>61</v>
      </c>
      <c r="F84" s="463" t="s">
        <v>440</v>
      </c>
      <c r="G84" s="193" t="s">
        <v>106</v>
      </c>
      <c r="H84" s="369">
        <f>'прил13(ведом 21-22)'!M251</f>
        <v>2713.9</v>
      </c>
      <c r="I84" s="369">
        <f>'прил13(ведом 21-22)'!N251</f>
        <v>2713.9</v>
      </c>
    </row>
    <row r="85" spans="1:9" ht="45" customHeight="1">
      <c r="A85" s="355"/>
      <c r="B85" s="207" t="s">
        <v>343</v>
      </c>
      <c r="C85" s="702" t="s">
        <v>63</v>
      </c>
      <c r="D85" s="703" t="s">
        <v>54</v>
      </c>
      <c r="E85" s="703" t="s">
        <v>63</v>
      </c>
      <c r="F85" s="704" t="s">
        <v>68</v>
      </c>
      <c r="G85" s="193"/>
      <c r="H85" s="369">
        <f>H86</f>
        <v>6720.3</v>
      </c>
      <c r="I85" s="369">
        <f>I86</f>
        <v>6720.3</v>
      </c>
    </row>
    <row r="86" spans="1:9" ht="70.900000000000006" customHeight="1">
      <c r="A86" s="355"/>
      <c r="B86" s="207" t="s">
        <v>908</v>
      </c>
      <c r="C86" s="702" t="s">
        <v>63</v>
      </c>
      <c r="D86" s="703" t="s">
        <v>54</v>
      </c>
      <c r="E86" s="703" t="s">
        <v>63</v>
      </c>
      <c r="F86" s="704" t="s">
        <v>907</v>
      </c>
      <c r="G86" s="193"/>
      <c r="H86" s="369">
        <f>H87</f>
        <v>6720.3</v>
      </c>
      <c r="I86" s="369">
        <f>I87</f>
        <v>6720.3</v>
      </c>
    </row>
    <row r="87" spans="1:9" ht="45" customHeight="1">
      <c r="A87" s="355"/>
      <c r="B87" s="207" t="s">
        <v>105</v>
      </c>
      <c r="C87" s="702" t="s">
        <v>63</v>
      </c>
      <c r="D87" s="703" t="s">
        <v>54</v>
      </c>
      <c r="E87" s="703" t="s">
        <v>63</v>
      </c>
      <c r="F87" s="704" t="s">
        <v>907</v>
      </c>
      <c r="G87" s="193" t="s">
        <v>106</v>
      </c>
      <c r="H87" s="369">
        <f>'прил13(ведом 21-22)'!M281</f>
        <v>6720.3</v>
      </c>
      <c r="I87" s="369">
        <f>'прил13(ведом 21-22)'!N281</f>
        <v>6720.3</v>
      </c>
    </row>
    <row r="88" spans="1:9" ht="18.75">
      <c r="A88" s="355"/>
      <c r="B88" s="377"/>
      <c r="C88" s="757"/>
      <c r="D88" s="758"/>
      <c r="E88" s="758"/>
      <c r="F88" s="759"/>
      <c r="G88" s="353"/>
      <c r="H88" s="369"/>
      <c r="I88" s="369"/>
    </row>
    <row r="89" spans="1:9" s="367" customFormat="1" ht="56.25">
      <c r="A89" s="378">
        <v>2</v>
      </c>
      <c r="B89" s="362" t="s">
        <v>252</v>
      </c>
      <c r="C89" s="379" t="s">
        <v>89</v>
      </c>
      <c r="D89" s="379" t="s">
        <v>66</v>
      </c>
      <c r="E89" s="379" t="s">
        <v>67</v>
      </c>
      <c r="F89" s="380" t="s">
        <v>68</v>
      </c>
      <c r="G89" s="365"/>
      <c r="H89" s="366">
        <f>H90+H108+H104</f>
        <v>86183.6</v>
      </c>
      <c r="I89" s="366">
        <f>I90+I108+I104</f>
        <v>84945.500000000015</v>
      </c>
    </row>
    <row r="90" spans="1:9" s="367" customFormat="1" ht="56.25">
      <c r="A90" s="355"/>
      <c r="B90" s="381" t="s">
        <v>253</v>
      </c>
      <c r="C90" s="461" t="s">
        <v>89</v>
      </c>
      <c r="D90" s="462" t="s">
        <v>69</v>
      </c>
      <c r="E90" s="462" t="s">
        <v>67</v>
      </c>
      <c r="F90" s="463" t="s">
        <v>68</v>
      </c>
      <c r="G90" s="353"/>
      <c r="H90" s="369">
        <f>H91+H94+H99</f>
        <v>77078</v>
      </c>
      <c r="I90" s="369">
        <f>I91+I94+I99</f>
        <v>76336.600000000006</v>
      </c>
    </row>
    <row r="91" spans="1:9" s="367" customFormat="1" ht="37.5">
      <c r="A91" s="355"/>
      <c r="B91" s="381" t="s">
        <v>338</v>
      </c>
      <c r="C91" s="461" t="s">
        <v>89</v>
      </c>
      <c r="D91" s="462" t="s">
        <v>69</v>
      </c>
      <c r="E91" s="462" t="s">
        <v>61</v>
      </c>
      <c r="F91" s="463" t="s">
        <v>68</v>
      </c>
      <c r="G91" s="353"/>
      <c r="H91" s="369">
        <f>H92</f>
        <v>53366.8</v>
      </c>
      <c r="I91" s="369">
        <f>I92</f>
        <v>53095.9</v>
      </c>
    </row>
    <row r="92" spans="1:9" s="367" customFormat="1" ht="75">
      <c r="A92" s="355"/>
      <c r="B92" s="382" t="s">
        <v>400</v>
      </c>
      <c r="C92" s="461" t="s">
        <v>89</v>
      </c>
      <c r="D92" s="462" t="s">
        <v>69</v>
      </c>
      <c r="E92" s="462" t="s">
        <v>61</v>
      </c>
      <c r="F92" s="463" t="s">
        <v>123</v>
      </c>
      <c r="G92" s="193"/>
      <c r="H92" s="369">
        <f>H93</f>
        <v>53366.8</v>
      </c>
      <c r="I92" s="369">
        <f>I93</f>
        <v>53095.9</v>
      </c>
    </row>
    <row r="93" spans="1:9" s="367" customFormat="1" ht="42.75" customHeight="1">
      <c r="A93" s="355"/>
      <c r="B93" s="370" t="s">
        <v>105</v>
      </c>
      <c r="C93" s="461" t="s">
        <v>89</v>
      </c>
      <c r="D93" s="462" t="s">
        <v>69</v>
      </c>
      <c r="E93" s="462" t="s">
        <v>61</v>
      </c>
      <c r="F93" s="463" t="s">
        <v>123</v>
      </c>
      <c r="G93" s="193" t="s">
        <v>106</v>
      </c>
      <c r="H93" s="369">
        <f>'прил13(ведом 21-22)'!M314</f>
        <v>53366.8</v>
      </c>
      <c r="I93" s="369">
        <f>'прил13(ведом 21-22)'!N314</f>
        <v>53095.9</v>
      </c>
    </row>
    <row r="94" spans="1:9" s="367" customFormat="1" ht="18.75">
      <c r="A94" s="355"/>
      <c r="B94" s="368" t="s">
        <v>403</v>
      </c>
      <c r="C94" s="223" t="s">
        <v>89</v>
      </c>
      <c r="D94" s="385" t="s">
        <v>69</v>
      </c>
      <c r="E94" s="385" t="s">
        <v>89</v>
      </c>
      <c r="F94" s="386" t="s">
        <v>68</v>
      </c>
      <c r="G94" s="387"/>
      <c r="H94" s="369">
        <f>H95+H97</f>
        <v>11242.199999999999</v>
      </c>
      <c r="I94" s="369">
        <f>I95+I97</f>
        <v>10949.9</v>
      </c>
    </row>
    <row r="95" spans="1:9" s="367" customFormat="1" ht="75">
      <c r="A95" s="355"/>
      <c r="B95" s="382" t="s">
        <v>404</v>
      </c>
      <c r="C95" s="223" t="s">
        <v>89</v>
      </c>
      <c r="D95" s="385" t="s">
        <v>69</v>
      </c>
      <c r="E95" s="385" t="s">
        <v>89</v>
      </c>
      <c r="F95" s="386" t="s">
        <v>123</v>
      </c>
      <c r="G95" s="387"/>
      <c r="H95" s="369">
        <f>H96</f>
        <v>11190.9</v>
      </c>
      <c r="I95" s="369">
        <f>I96</f>
        <v>10949.9</v>
      </c>
    </row>
    <row r="96" spans="1:9" s="367" customFormat="1" ht="45" customHeight="1">
      <c r="A96" s="355"/>
      <c r="B96" s="370" t="s">
        <v>105</v>
      </c>
      <c r="C96" s="461" t="s">
        <v>89</v>
      </c>
      <c r="D96" s="462" t="s">
        <v>69</v>
      </c>
      <c r="E96" s="462" t="s">
        <v>89</v>
      </c>
      <c r="F96" s="463" t="s">
        <v>123</v>
      </c>
      <c r="G96" s="193" t="s">
        <v>106</v>
      </c>
      <c r="H96" s="369">
        <f>'прил13(ведом 21-22)'!M321</f>
        <v>11190.9</v>
      </c>
      <c r="I96" s="369">
        <f>'прил13(ведом 21-22)'!N321</f>
        <v>10949.9</v>
      </c>
    </row>
    <row r="97" spans="1:9" s="367" customFormat="1" ht="88.9" customHeight="1">
      <c r="A97" s="355"/>
      <c r="B97" s="211" t="s">
        <v>886</v>
      </c>
      <c r="C97" s="656" t="s">
        <v>89</v>
      </c>
      <c r="D97" s="657" t="s">
        <v>69</v>
      </c>
      <c r="E97" s="657" t="s">
        <v>89</v>
      </c>
      <c r="F97" s="658" t="s">
        <v>885</v>
      </c>
      <c r="G97" s="193"/>
      <c r="H97" s="369">
        <f>H98</f>
        <v>51.3</v>
      </c>
      <c r="I97" s="369">
        <f>I98</f>
        <v>0</v>
      </c>
    </row>
    <row r="98" spans="1:9" s="367" customFormat="1" ht="42.75" customHeight="1">
      <c r="A98" s="355"/>
      <c r="B98" s="211" t="s">
        <v>105</v>
      </c>
      <c r="C98" s="656" t="s">
        <v>89</v>
      </c>
      <c r="D98" s="657" t="s">
        <v>69</v>
      </c>
      <c r="E98" s="657" t="s">
        <v>89</v>
      </c>
      <c r="F98" s="658" t="s">
        <v>885</v>
      </c>
      <c r="G98" s="193" t="s">
        <v>106</v>
      </c>
      <c r="H98" s="369">
        <f>'прил13(ведом 21-22)'!M323</f>
        <v>51.3</v>
      </c>
      <c r="I98" s="369">
        <f>'прил13(ведом 21-22)'!N323</f>
        <v>0</v>
      </c>
    </row>
    <row r="99" spans="1:9" s="367" customFormat="1" ht="37.5">
      <c r="A99" s="355"/>
      <c r="B99" s="370" t="s">
        <v>406</v>
      </c>
      <c r="C99" s="223" t="s">
        <v>89</v>
      </c>
      <c r="D99" s="385" t="s">
        <v>69</v>
      </c>
      <c r="E99" s="385" t="s">
        <v>76</v>
      </c>
      <c r="F99" s="463" t="s">
        <v>68</v>
      </c>
      <c r="G99" s="193"/>
      <c r="H99" s="369">
        <f>H100</f>
        <v>12469</v>
      </c>
      <c r="I99" s="369">
        <f>I100</f>
        <v>12290.8</v>
      </c>
    </row>
    <row r="100" spans="1:9" s="367" customFormat="1" ht="75">
      <c r="A100" s="355"/>
      <c r="B100" s="382" t="s">
        <v>404</v>
      </c>
      <c r="C100" s="223" t="s">
        <v>89</v>
      </c>
      <c r="D100" s="385" t="s">
        <v>69</v>
      </c>
      <c r="E100" s="385" t="s">
        <v>76</v>
      </c>
      <c r="F100" s="386" t="s">
        <v>123</v>
      </c>
      <c r="G100" s="387"/>
      <c r="H100" s="369">
        <f>SUM(H101:H103)</f>
        <v>12469</v>
      </c>
      <c r="I100" s="369">
        <f>SUM(I101:I103)</f>
        <v>12290.8</v>
      </c>
    </row>
    <row r="101" spans="1:9" s="367" customFormat="1" ht="93.75">
      <c r="A101" s="355"/>
      <c r="B101" s="207" t="s">
        <v>73</v>
      </c>
      <c r="C101" s="461" t="s">
        <v>89</v>
      </c>
      <c r="D101" s="462" t="s">
        <v>69</v>
      </c>
      <c r="E101" s="462" t="s">
        <v>76</v>
      </c>
      <c r="F101" s="463" t="s">
        <v>123</v>
      </c>
      <c r="G101" s="193" t="s">
        <v>74</v>
      </c>
      <c r="H101" s="369">
        <f>'прил13(ведом 21-22)'!M326</f>
        <v>11430.4</v>
      </c>
      <c r="I101" s="369">
        <f>'прил13(ведом 21-22)'!N326</f>
        <v>11430.4</v>
      </c>
    </row>
    <row r="102" spans="1:9" s="367" customFormat="1" ht="37.5">
      <c r="A102" s="355"/>
      <c r="B102" s="207" t="s">
        <v>79</v>
      </c>
      <c r="C102" s="461" t="s">
        <v>89</v>
      </c>
      <c r="D102" s="462" t="s">
        <v>69</v>
      </c>
      <c r="E102" s="462" t="s">
        <v>76</v>
      </c>
      <c r="F102" s="463" t="s">
        <v>123</v>
      </c>
      <c r="G102" s="193" t="s">
        <v>80</v>
      </c>
      <c r="H102" s="369">
        <f>'прил13(ведом 21-22)'!M327</f>
        <v>1017.2</v>
      </c>
      <c r="I102" s="369">
        <f>'прил13(ведом 21-22)'!N327</f>
        <v>839</v>
      </c>
    </row>
    <row r="103" spans="1:9" s="367" customFormat="1" ht="18.75">
      <c r="A103" s="355"/>
      <c r="B103" s="207" t="s">
        <v>81</v>
      </c>
      <c r="C103" s="461" t="s">
        <v>89</v>
      </c>
      <c r="D103" s="462" t="s">
        <v>69</v>
      </c>
      <c r="E103" s="462" t="s">
        <v>76</v>
      </c>
      <c r="F103" s="463" t="s">
        <v>123</v>
      </c>
      <c r="G103" s="193" t="s">
        <v>82</v>
      </c>
      <c r="H103" s="369">
        <f>'прил13(ведом 21-22)'!M328</f>
        <v>21.4</v>
      </c>
      <c r="I103" s="369">
        <f>'прил13(ведом 21-22)'!N328</f>
        <v>21.4</v>
      </c>
    </row>
    <row r="104" spans="1:9" s="367" customFormat="1" ht="37.5">
      <c r="A104" s="355"/>
      <c r="B104" s="207" t="s">
        <v>415</v>
      </c>
      <c r="C104" s="223" t="s">
        <v>89</v>
      </c>
      <c r="D104" s="385" t="s">
        <v>120</v>
      </c>
      <c r="E104" s="385" t="s">
        <v>67</v>
      </c>
      <c r="F104" s="463" t="s">
        <v>68</v>
      </c>
      <c r="G104" s="193"/>
      <c r="H104" s="369">
        <f t="shared" ref="H104:I106" si="0">H105</f>
        <v>42.1</v>
      </c>
      <c r="I104" s="369">
        <f t="shared" si="0"/>
        <v>42.1</v>
      </c>
    </row>
    <row r="105" spans="1:9" s="367" customFormat="1" ht="93.75">
      <c r="A105" s="355"/>
      <c r="B105" s="211" t="s">
        <v>407</v>
      </c>
      <c r="C105" s="223" t="s">
        <v>89</v>
      </c>
      <c r="D105" s="385" t="s">
        <v>120</v>
      </c>
      <c r="E105" s="385" t="s">
        <v>89</v>
      </c>
      <c r="F105" s="463" t="s">
        <v>68</v>
      </c>
      <c r="G105" s="193"/>
      <c r="H105" s="369">
        <f t="shared" si="0"/>
        <v>42.1</v>
      </c>
      <c r="I105" s="369">
        <f t="shared" si="0"/>
        <v>42.1</v>
      </c>
    </row>
    <row r="106" spans="1:9" s="367" customFormat="1" ht="42" customHeight="1">
      <c r="A106" s="355"/>
      <c r="B106" s="211" t="s">
        <v>649</v>
      </c>
      <c r="C106" s="461" t="s">
        <v>89</v>
      </c>
      <c r="D106" s="462" t="s">
        <v>120</v>
      </c>
      <c r="E106" s="462" t="s">
        <v>89</v>
      </c>
      <c r="F106" s="463" t="s">
        <v>650</v>
      </c>
      <c r="G106" s="193"/>
      <c r="H106" s="369">
        <f t="shared" si="0"/>
        <v>42.1</v>
      </c>
      <c r="I106" s="369">
        <f t="shared" si="0"/>
        <v>42.1</v>
      </c>
    </row>
    <row r="107" spans="1:9" s="367" customFormat="1" ht="42" customHeight="1">
      <c r="A107" s="355"/>
      <c r="B107" s="211" t="s">
        <v>105</v>
      </c>
      <c r="C107" s="461" t="s">
        <v>89</v>
      </c>
      <c r="D107" s="462" t="s">
        <v>120</v>
      </c>
      <c r="E107" s="462" t="s">
        <v>89</v>
      </c>
      <c r="F107" s="463" t="s">
        <v>650</v>
      </c>
      <c r="G107" s="193" t="s">
        <v>106</v>
      </c>
      <c r="H107" s="369">
        <f>'прил13(ведом 21-22)'!M332</f>
        <v>42.1</v>
      </c>
      <c r="I107" s="369">
        <f>'прил13(ведом 21-22)'!N332</f>
        <v>42.1</v>
      </c>
    </row>
    <row r="108" spans="1:9" s="367" customFormat="1" ht="39" customHeight="1">
      <c r="A108" s="355"/>
      <c r="B108" s="368" t="s">
        <v>255</v>
      </c>
      <c r="C108" s="461" t="s">
        <v>89</v>
      </c>
      <c r="D108" s="462" t="s">
        <v>54</v>
      </c>
      <c r="E108" s="462" t="s">
        <v>67</v>
      </c>
      <c r="F108" s="463" t="s">
        <v>68</v>
      </c>
      <c r="G108" s="353"/>
      <c r="H108" s="369">
        <f>H109</f>
        <v>9063.5</v>
      </c>
      <c r="I108" s="369">
        <f>I109</f>
        <v>8566.7999999999993</v>
      </c>
    </row>
    <row r="109" spans="1:9" s="367" customFormat="1" ht="37.5">
      <c r="A109" s="355"/>
      <c r="B109" s="368" t="s">
        <v>344</v>
      </c>
      <c r="C109" s="461" t="s">
        <v>89</v>
      </c>
      <c r="D109" s="462" t="s">
        <v>54</v>
      </c>
      <c r="E109" s="462" t="s">
        <v>61</v>
      </c>
      <c r="F109" s="463" t="s">
        <v>68</v>
      </c>
      <c r="G109" s="193"/>
      <c r="H109" s="369">
        <f>H110+H114</f>
        <v>9063.5</v>
      </c>
      <c r="I109" s="369">
        <f>I110+I114</f>
        <v>8566.7999999999993</v>
      </c>
    </row>
    <row r="110" spans="1:9" ht="37.5">
      <c r="A110" s="355"/>
      <c r="B110" s="368" t="s">
        <v>71</v>
      </c>
      <c r="C110" s="461" t="s">
        <v>89</v>
      </c>
      <c r="D110" s="462" t="s">
        <v>54</v>
      </c>
      <c r="E110" s="462" t="s">
        <v>61</v>
      </c>
      <c r="F110" s="463" t="s">
        <v>72</v>
      </c>
      <c r="G110" s="387"/>
      <c r="H110" s="369">
        <f>SUM(H111:H113)</f>
        <v>2779.6</v>
      </c>
      <c r="I110" s="369">
        <f>SUM(I111:I113)</f>
        <v>2530.1999999999998</v>
      </c>
    </row>
    <row r="111" spans="1:9" ht="93.75">
      <c r="A111" s="355"/>
      <c r="B111" s="368" t="s">
        <v>73</v>
      </c>
      <c r="C111" s="461" t="s">
        <v>89</v>
      </c>
      <c r="D111" s="462" t="s">
        <v>54</v>
      </c>
      <c r="E111" s="462" t="s">
        <v>61</v>
      </c>
      <c r="F111" s="463" t="s">
        <v>72</v>
      </c>
      <c r="G111" s="387" t="s">
        <v>74</v>
      </c>
      <c r="H111" s="369">
        <f>'прил13(ведом 21-22)'!M338</f>
        <v>2505.1999999999998</v>
      </c>
      <c r="I111" s="369">
        <f>'прил13(ведом 21-22)'!N338</f>
        <v>2505.1999999999998</v>
      </c>
    </row>
    <row r="112" spans="1:9" ht="37.5">
      <c r="A112" s="355"/>
      <c r="B112" s="368" t="s">
        <v>79</v>
      </c>
      <c r="C112" s="461" t="s">
        <v>89</v>
      </c>
      <c r="D112" s="462" t="s">
        <v>54</v>
      </c>
      <c r="E112" s="462" t="s">
        <v>61</v>
      </c>
      <c r="F112" s="463" t="s">
        <v>72</v>
      </c>
      <c r="G112" s="387" t="s">
        <v>80</v>
      </c>
      <c r="H112" s="369">
        <f>'прил13(ведом 21-22)'!M339</f>
        <v>270</v>
      </c>
      <c r="I112" s="369">
        <f>'прил13(ведом 21-22)'!N339</f>
        <v>20.6</v>
      </c>
    </row>
    <row r="113" spans="1:9" ht="18.75">
      <c r="A113" s="355"/>
      <c r="B113" s="207" t="s">
        <v>81</v>
      </c>
      <c r="C113" s="461" t="s">
        <v>89</v>
      </c>
      <c r="D113" s="462" t="s">
        <v>54</v>
      </c>
      <c r="E113" s="462" t="s">
        <v>61</v>
      </c>
      <c r="F113" s="463" t="s">
        <v>72</v>
      </c>
      <c r="G113" s="193" t="s">
        <v>82</v>
      </c>
      <c r="H113" s="369">
        <f>'прил13(ведом 21-22)'!M340</f>
        <v>4.4000000000000004</v>
      </c>
      <c r="I113" s="369">
        <f>'прил13(ведом 21-22)'!N340</f>
        <v>4.4000000000000004</v>
      </c>
    </row>
    <row r="114" spans="1:9" ht="75">
      <c r="A114" s="355"/>
      <c r="B114" s="382" t="s">
        <v>404</v>
      </c>
      <c r="C114" s="461" t="s">
        <v>89</v>
      </c>
      <c r="D114" s="462" t="s">
        <v>54</v>
      </c>
      <c r="E114" s="462" t="s">
        <v>61</v>
      </c>
      <c r="F114" s="463" t="s">
        <v>123</v>
      </c>
      <c r="G114" s="193"/>
      <c r="H114" s="369">
        <f>SUM(H115:H117)</f>
        <v>6283.9000000000005</v>
      </c>
      <c r="I114" s="369">
        <f>SUM(I115:I117)</f>
        <v>6036.6</v>
      </c>
    </row>
    <row r="115" spans="1:9" ht="93.75">
      <c r="A115" s="355"/>
      <c r="B115" s="368" t="s">
        <v>73</v>
      </c>
      <c r="C115" s="461" t="s">
        <v>89</v>
      </c>
      <c r="D115" s="462" t="s">
        <v>54</v>
      </c>
      <c r="E115" s="462" t="s">
        <v>61</v>
      </c>
      <c r="F115" s="463" t="s">
        <v>123</v>
      </c>
      <c r="G115" s="387" t="s">
        <v>74</v>
      </c>
      <c r="H115" s="369">
        <f>'прил13(ведом 21-22)'!M342</f>
        <v>5729.1</v>
      </c>
      <c r="I115" s="369">
        <f>'прил13(ведом 21-22)'!N342</f>
        <v>5729.1</v>
      </c>
    </row>
    <row r="116" spans="1:9" ht="37.5">
      <c r="A116" s="355"/>
      <c r="B116" s="207" t="s">
        <v>79</v>
      </c>
      <c r="C116" s="461" t="s">
        <v>89</v>
      </c>
      <c r="D116" s="462" t="s">
        <v>54</v>
      </c>
      <c r="E116" s="462" t="s">
        <v>61</v>
      </c>
      <c r="F116" s="463" t="s">
        <v>123</v>
      </c>
      <c r="G116" s="387" t="s">
        <v>80</v>
      </c>
      <c r="H116" s="369">
        <f>'прил13(ведом 21-22)'!M343</f>
        <v>553.1</v>
      </c>
      <c r="I116" s="369">
        <f>'прил13(ведом 21-22)'!N343</f>
        <v>305.89999999999998</v>
      </c>
    </row>
    <row r="117" spans="1:9" ht="18.75">
      <c r="A117" s="355"/>
      <c r="B117" s="207" t="s">
        <v>81</v>
      </c>
      <c r="C117" s="461" t="s">
        <v>89</v>
      </c>
      <c r="D117" s="462" t="s">
        <v>54</v>
      </c>
      <c r="E117" s="462" t="s">
        <v>61</v>
      </c>
      <c r="F117" s="463" t="s">
        <v>123</v>
      </c>
      <c r="G117" s="193" t="s">
        <v>82</v>
      </c>
      <c r="H117" s="369">
        <f>'прил13(ведом 21-22)'!M344</f>
        <v>1.7</v>
      </c>
      <c r="I117" s="369">
        <f>'прил13(ведом 21-22)'!N344</f>
        <v>1.6</v>
      </c>
    </row>
    <row r="118" spans="1:9" ht="18.75">
      <c r="A118" s="355"/>
      <c r="B118" s="377"/>
      <c r="C118" s="459"/>
      <c r="D118" s="459"/>
      <c r="E118" s="389"/>
      <c r="F118" s="390"/>
      <c r="G118" s="353"/>
      <c r="H118" s="369"/>
      <c r="I118" s="369"/>
    </row>
    <row r="119" spans="1:9" s="367" customFormat="1" ht="56.25">
      <c r="A119" s="378">
        <v>3</v>
      </c>
      <c r="B119" s="391" t="s">
        <v>256</v>
      </c>
      <c r="C119" s="379" t="s">
        <v>76</v>
      </c>
      <c r="D119" s="379" t="s">
        <v>66</v>
      </c>
      <c r="E119" s="379" t="s">
        <v>67</v>
      </c>
      <c r="F119" s="380" t="s">
        <v>68</v>
      </c>
      <c r="G119" s="365"/>
      <c r="H119" s="366">
        <f>H120+H128+H142</f>
        <v>27781.600000000002</v>
      </c>
      <c r="I119" s="366">
        <f>I120+I128+I142</f>
        <v>25637.5</v>
      </c>
    </row>
    <row r="120" spans="1:9" s="367" customFormat="1" ht="25.5" customHeight="1">
      <c r="A120" s="378"/>
      <c r="B120" s="213" t="s">
        <v>257</v>
      </c>
      <c r="C120" s="461" t="s">
        <v>76</v>
      </c>
      <c r="D120" s="462" t="s">
        <v>69</v>
      </c>
      <c r="E120" s="462" t="s">
        <v>67</v>
      </c>
      <c r="F120" s="463" t="s">
        <v>68</v>
      </c>
      <c r="G120" s="365"/>
      <c r="H120" s="369">
        <f>H121+H124</f>
        <v>777.09999999999991</v>
      </c>
      <c r="I120" s="369">
        <f>I121+I124</f>
        <v>180</v>
      </c>
    </row>
    <row r="121" spans="1:9" s="367" customFormat="1" ht="18.75">
      <c r="A121" s="378"/>
      <c r="B121" s="207" t="s">
        <v>339</v>
      </c>
      <c r="C121" s="461" t="s">
        <v>76</v>
      </c>
      <c r="D121" s="462" t="s">
        <v>69</v>
      </c>
      <c r="E121" s="462" t="s">
        <v>61</v>
      </c>
      <c r="F121" s="463" t="s">
        <v>68</v>
      </c>
      <c r="G121" s="193"/>
      <c r="H121" s="369">
        <f>H122</f>
        <v>180</v>
      </c>
      <c r="I121" s="369">
        <f>I122</f>
        <v>180</v>
      </c>
    </row>
    <row r="122" spans="1:9" s="367" customFormat="1" ht="37.5">
      <c r="A122" s="378"/>
      <c r="B122" s="207" t="s">
        <v>340</v>
      </c>
      <c r="C122" s="461" t="s">
        <v>76</v>
      </c>
      <c r="D122" s="462" t="s">
        <v>69</v>
      </c>
      <c r="E122" s="462" t="s">
        <v>61</v>
      </c>
      <c r="F122" s="463" t="s">
        <v>341</v>
      </c>
      <c r="G122" s="193"/>
      <c r="H122" s="369">
        <f>H123</f>
        <v>180</v>
      </c>
      <c r="I122" s="369">
        <f>I123</f>
        <v>180</v>
      </c>
    </row>
    <row r="123" spans="1:9" s="367" customFormat="1" ht="27" customHeight="1">
      <c r="A123" s="378"/>
      <c r="B123" s="207" t="s">
        <v>152</v>
      </c>
      <c r="C123" s="461" t="s">
        <v>76</v>
      </c>
      <c r="D123" s="462" t="s">
        <v>69</v>
      </c>
      <c r="E123" s="462" t="s">
        <v>61</v>
      </c>
      <c r="F123" s="463" t="s">
        <v>341</v>
      </c>
      <c r="G123" s="193" t="s">
        <v>153</v>
      </c>
      <c r="H123" s="369">
        <f>'прил13(ведом 21-22)'!M353</f>
        <v>180</v>
      </c>
      <c r="I123" s="369">
        <f>'прил13(ведом 21-22)'!N353</f>
        <v>180</v>
      </c>
    </row>
    <row r="124" spans="1:9" s="367" customFormat="1" ht="41.25" customHeight="1">
      <c r="A124" s="378"/>
      <c r="B124" s="207" t="s">
        <v>354</v>
      </c>
      <c r="C124" s="461" t="s">
        <v>76</v>
      </c>
      <c r="D124" s="462" t="s">
        <v>69</v>
      </c>
      <c r="E124" s="462" t="s">
        <v>63</v>
      </c>
      <c r="F124" s="463" t="s">
        <v>68</v>
      </c>
      <c r="G124" s="193"/>
      <c r="H124" s="369">
        <f>H125</f>
        <v>597.09999999999991</v>
      </c>
      <c r="I124" s="369">
        <f>I125</f>
        <v>0</v>
      </c>
    </row>
    <row r="125" spans="1:9" s="367" customFormat="1" ht="45" customHeight="1">
      <c r="A125" s="378"/>
      <c r="B125" s="207" t="s">
        <v>258</v>
      </c>
      <c r="C125" s="461" t="s">
        <v>76</v>
      </c>
      <c r="D125" s="462" t="s">
        <v>69</v>
      </c>
      <c r="E125" s="462" t="s">
        <v>63</v>
      </c>
      <c r="F125" s="463" t="s">
        <v>355</v>
      </c>
      <c r="G125" s="193"/>
      <c r="H125" s="369">
        <f>H126+H127</f>
        <v>597.09999999999991</v>
      </c>
      <c r="I125" s="369">
        <f>I126+I127</f>
        <v>0</v>
      </c>
    </row>
    <row r="126" spans="1:9" s="367" customFormat="1" ht="93.75">
      <c r="A126" s="378"/>
      <c r="B126" s="207" t="s">
        <v>73</v>
      </c>
      <c r="C126" s="461" t="s">
        <v>76</v>
      </c>
      <c r="D126" s="462" t="s">
        <v>69</v>
      </c>
      <c r="E126" s="462" t="s">
        <v>63</v>
      </c>
      <c r="F126" s="463" t="s">
        <v>355</v>
      </c>
      <c r="G126" s="193" t="s">
        <v>74</v>
      </c>
      <c r="H126" s="369">
        <f>'прил13(ведом 21-22)'!M368</f>
        <v>549.79999999999995</v>
      </c>
      <c r="I126" s="369">
        <f>'прил13(ведом 21-22)'!N368</f>
        <v>0</v>
      </c>
    </row>
    <row r="127" spans="1:9" s="367" customFormat="1" ht="37.5">
      <c r="A127" s="378"/>
      <c r="B127" s="207" t="s">
        <v>79</v>
      </c>
      <c r="C127" s="461" t="s">
        <v>76</v>
      </c>
      <c r="D127" s="462" t="s">
        <v>69</v>
      </c>
      <c r="E127" s="462" t="s">
        <v>63</v>
      </c>
      <c r="F127" s="463" t="s">
        <v>355</v>
      </c>
      <c r="G127" s="193" t="s">
        <v>80</v>
      </c>
      <c r="H127" s="369">
        <f>'прил13(ведом 21-22)'!M369</f>
        <v>47.3</v>
      </c>
      <c r="I127" s="369">
        <f>'прил13(ведом 21-22)'!N369</f>
        <v>0</v>
      </c>
    </row>
    <row r="128" spans="1:9" ht="23.25" customHeight="1">
      <c r="A128" s="355"/>
      <c r="B128" s="368" t="s">
        <v>259</v>
      </c>
      <c r="C128" s="461" t="s">
        <v>76</v>
      </c>
      <c r="D128" s="462" t="s">
        <v>120</v>
      </c>
      <c r="E128" s="462" t="s">
        <v>67</v>
      </c>
      <c r="F128" s="463" t="s">
        <v>68</v>
      </c>
      <c r="G128" s="353"/>
      <c r="H128" s="369">
        <f>H129+H134</f>
        <v>25981.300000000003</v>
      </c>
      <c r="I128" s="369">
        <f>I129+I134</f>
        <v>25457.5</v>
      </c>
    </row>
    <row r="129" spans="1:9" ht="37.5">
      <c r="A129" s="355"/>
      <c r="B129" s="368" t="s">
        <v>344</v>
      </c>
      <c r="C129" s="461" t="s">
        <v>76</v>
      </c>
      <c r="D129" s="462" t="s">
        <v>120</v>
      </c>
      <c r="E129" s="462" t="s">
        <v>61</v>
      </c>
      <c r="F129" s="463" t="s">
        <v>68</v>
      </c>
      <c r="G129" s="193"/>
      <c r="H129" s="369">
        <f>H130</f>
        <v>2440.1000000000004</v>
      </c>
      <c r="I129" s="369">
        <f>I130</f>
        <v>2348.3000000000002</v>
      </c>
    </row>
    <row r="130" spans="1:9" ht="37.5">
      <c r="A130" s="355"/>
      <c r="B130" s="368" t="s">
        <v>71</v>
      </c>
      <c r="C130" s="461" t="s">
        <v>76</v>
      </c>
      <c r="D130" s="462" t="s">
        <v>120</v>
      </c>
      <c r="E130" s="462" t="s">
        <v>61</v>
      </c>
      <c r="F130" s="463" t="s">
        <v>72</v>
      </c>
      <c r="G130" s="193"/>
      <c r="H130" s="369">
        <f>SUM(H131:H133)</f>
        <v>2440.1000000000004</v>
      </c>
      <c r="I130" s="369">
        <f>SUM(I131:I133)</f>
        <v>2348.3000000000002</v>
      </c>
    </row>
    <row r="131" spans="1:9" ht="93.75">
      <c r="A131" s="355"/>
      <c r="B131" s="368" t="s">
        <v>73</v>
      </c>
      <c r="C131" s="461" t="s">
        <v>76</v>
      </c>
      <c r="D131" s="462" t="s">
        <v>120</v>
      </c>
      <c r="E131" s="462" t="s">
        <v>61</v>
      </c>
      <c r="F131" s="463" t="s">
        <v>72</v>
      </c>
      <c r="G131" s="193" t="s">
        <v>74</v>
      </c>
      <c r="H131" s="369">
        <f>'прил13(ведом 21-22)'!M379</f>
        <v>2348.3000000000002</v>
      </c>
      <c r="I131" s="369">
        <f>'прил13(ведом 21-22)'!N379</f>
        <v>2348.3000000000002</v>
      </c>
    </row>
    <row r="132" spans="1:9" ht="37.5">
      <c r="A132" s="355"/>
      <c r="B132" s="207" t="s">
        <v>79</v>
      </c>
      <c r="C132" s="461" t="s">
        <v>76</v>
      </c>
      <c r="D132" s="462" t="s">
        <v>120</v>
      </c>
      <c r="E132" s="462" t="s">
        <v>61</v>
      </c>
      <c r="F132" s="463" t="s">
        <v>72</v>
      </c>
      <c r="G132" s="193" t="s">
        <v>80</v>
      </c>
      <c r="H132" s="369">
        <f>'прил13(ведом 21-22)'!M380</f>
        <v>89.8</v>
      </c>
      <c r="I132" s="369">
        <f>'прил13(ведом 21-22)'!N380</f>
        <v>0</v>
      </c>
    </row>
    <row r="133" spans="1:9" ht="18.75">
      <c r="A133" s="355"/>
      <c r="B133" s="207" t="s">
        <v>81</v>
      </c>
      <c r="C133" s="461" t="s">
        <v>76</v>
      </c>
      <c r="D133" s="462" t="s">
        <v>120</v>
      </c>
      <c r="E133" s="462" t="s">
        <v>61</v>
      </c>
      <c r="F133" s="463" t="s">
        <v>72</v>
      </c>
      <c r="G133" s="193" t="s">
        <v>82</v>
      </c>
      <c r="H133" s="369">
        <f>'прил13(ведом 21-22)'!M381</f>
        <v>2</v>
      </c>
      <c r="I133" s="369">
        <f>'прил13(ведом 21-22)'!N381</f>
        <v>0</v>
      </c>
    </row>
    <row r="134" spans="1:9" ht="18.75">
      <c r="A134" s="355"/>
      <c r="B134" s="368" t="s">
        <v>469</v>
      </c>
      <c r="C134" s="461" t="s">
        <v>76</v>
      </c>
      <c r="D134" s="462" t="s">
        <v>120</v>
      </c>
      <c r="E134" s="462" t="s">
        <v>63</v>
      </c>
      <c r="F134" s="463" t="s">
        <v>68</v>
      </c>
      <c r="G134" s="193"/>
      <c r="H134" s="369">
        <f>H135+H139</f>
        <v>23541.200000000001</v>
      </c>
      <c r="I134" s="369">
        <f>I135+I139</f>
        <v>23109.200000000001</v>
      </c>
    </row>
    <row r="135" spans="1:9" ht="75">
      <c r="A135" s="355"/>
      <c r="B135" s="368" t="s">
        <v>121</v>
      </c>
      <c r="C135" s="461" t="s">
        <v>76</v>
      </c>
      <c r="D135" s="462" t="s">
        <v>120</v>
      </c>
      <c r="E135" s="462" t="s">
        <v>63</v>
      </c>
      <c r="F135" s="463" t="s">
        <v>123</v>
      </c>
      <c r="G135" s="193"/>
      <c r="H135" s="369">
        <f>SUM(H136:H138)</f>
        <v>23259.9</v>
      </c>
      <c r="I135" s="369">
        <f>SUM(I136:I138)</f>
        <v>23109.200000000001</v>
      </c>
    </row>
    <row r="136" spans="1:9" ht="93.75">
      <c r="A136" s="355"/>
      <c r="B136" s="368" t="s">
        <v>73</v>
      </c>
      <c r="C136" s="461" t="s">
        <v>76</v>
      </c>
      <c r="D136" s="462" t="s">
        <v>120</v>
      </c>
      <c r="E136" s="462" t="s">
        <v>63</v>
      </c>
      <c r="F136" s="463" t="s">
        <v>123</v>
      </c>
      <c r="G136" s="193" t="s">
        <v>74</v>
      </c>
      <c r="H136" s="369">
        <f>'прил13(ведом 21-22)'!M357</f>
        <v>20854.2</v>
      </c>
      <c r="I136" s="369">
        <f>'прил13(ведом 21-22)'!N357</f>
        <v>20854.2</v>
      </c>
    </row>
    <row r="137" spans="1:9" ht="37.5">
      <c r="A137" s="355"/>
      <c r="B137" s="368" t="s">
        <v>79</v>
      </c>
      <c r="C137" s="461" t="s">
        <v>76</v>
      </c>
      <c r="D137" s="462" t="s">
        <v>120</v>
      </c>
      <c r="E137" s="462" t="s">
        <v>63</v>
      </c>
      <c r="F137" s="463" t="s">
        <v>123</v>
      </c>
      <c r="G137" s="193" t="s">
        <v>80</v>
      </c>
      <c r="H137" s="369">
        <f>'прил13(ведом 21-22)'!M358</f>
        <v>2338.6999999999998</v>
      </c>
      <c r="I137" s="369">
        <f>'прил13(ведом 21-22)'!N358</f>
        <v>2189.9</v>
      </c>
    </row>
    <row r="138" spans="1:9" ht="18.75">
      <c r="A138" s="355"/>
      <c r="B138" s="368" t="s">
        <v>81</v>
      </c>
      <c r="C138" s="461" t="s">
        <v>76</v>
      </c>
      <c r="D138" s="462" t="s">
        <v>120</v>
      </c>
      <c r="E138" s="462" t="s">
        <v>63</v>
      </c>
      <c r="F138" s="463" t="s">
        <v>123</v>
      </c>
      <c r="G138" s="193" t="s">
        <v>82</v>
      </c>
      <c r="H138" s="369">
        <f>'прил13(ведом 21-22)'!M359</f>
        <v>67</v>
      </c>
      <c r="I138" s="369">
        <f>'прил13(ведом 21-22)'!N359</f>
        <v>65.099999999999994</v>
      </c>
    </row>
    <row r="139" spans="1:9" ht="42.75" customHeight="1">
      <c r="A139" s="355"/>
      <c r="B139" s="207" t="s">
        <v>258</v>
      </c>
      <c r="C139" s="461" t="s">
        <v>76</v>
      </c>
      <c r="D139" s="462" t="s">
        <v>120</v>
      </c>
      <c r="E139" s="462" t="s">
        <v>63</v>
      </c>
      <c r="F139" s="463" t="s">
        <v>355</v>
      </c>
      <c r="G139" s="193"/>
      <c r="H139" s="369">
        <f>H140+H141</f>
        <v>281.3</v>
      </c>
      <c r="I139" s="369">
        <f>I140+I141</f>
        <v>0</v>
      </c>
    </row>
    <row r="140" spans="1:9" ht="93.75">
      <c r="A140" s="355"/>
      <c r="B140" s="207" t="s">
        <v>73</v>
      </c>
      <c r="C140" s="461" t="s">
        <v>76</v>
      </c>
      <c r="D140" s="462" t="s">
        <v>120</v>
      </c>
      <c r="E140" s="462" t="s">
        <v>63</v>
      </c>
      <c r="F140" s="463" t="s">
        <v>355</v>
      </c>
      <c r="G140" s="193" t="s">
        <v>74</v>
      </c>
      <c r="H140" s="369">
        <f>'прил13(ведом 21-22)'!M361</f>
        <v>44.9</v>
      </c>
      <c r="I140" s="369">
        <f>'прил13(ведом 21-22)'!N361</f>
        <v>0</v>
      </c>
    </row>
    <row r="141" spans="1:9" ht="37.5">
      <c r="A141" s="355"/>
      <c r="B141" s="207" t="s">
        <v>79</v>
      </c>
      <c r="C141" s="461" t="s">
        <v>76</v>
      </c>
      <c r="D141" s="462" t="s">
        <v>120</v>
      </c>
      <c r="E141" s="462" t="s">
        <v>63</v>
      </c>
      <c r="F141" s="463" t="s">
        <v>355</v>
      </c>
      <c r="G141" s="193" t="s">
        <v>80</v>
      </c>
      <c r="H141" s="369">
        <f>'прил13(ведом 21-22)'!M362</f>
        <v>236.4</v>
      </c>
      <c r="I141" s="369">
        <f>'прил13(ведом 21-22)'!N362</f>
        <v>0</v>
      </c>
    </row>
    <row r="142" spans="1:9" ht="37.5">
      <c r="A142" s="355"/>
      <c r="B142" s="207" t="s">
        <v>428</v>
      </c>
      <c r="C142" s="461" t="s">
        <v>76</v>
      </c>
      <c r="D142" s="462" t="s">
        <v>55</v>
      </c>
      <c r="E142" s="462" t="s">
        <v>67</v>
      </c>
      <c r="F142" s="463" t="s">
        <v>68</v>
      </c>
      <c r="G142" s="193"/>
      <c r="H142" s="369">
        <f t="shared" ref="H142:I144" si="1">H143</f>
        <v>1023.2</v>
      </c>
      <c r="I142" s="369">
        <f t="shared" si="1"/>
        <v>0</v>
      </c>
    </row>
    <row r="143" spans="1:9" ht="69.599999999999994" customHeight="1">
      <c r="A143" s="355"/>
      <c r="B143" s="207" t="s">
        <v>490</v>
      </c>
      <c r="C143" s="461" t="s">
        <v>76</v>
      </c>
      <c r="D143" s="462" t="s">
        <v>55</v>
      </c>
      <c r="E143" s="462" t="s">
        <v>76</v>
      </c>
      <c r="F143" s="463" t="s">
        <v>68</v>
      </c>
      <c r="G143" s="193"/>
      <c r="H143" s="369">
        <f t="shared" si="1"/>
        <v>1023.2</v>
      </c>
      <c r="I143" s="369">
        <f t="shared" si="1"/>
        <v>0</v>
      </c>
    </row>
    <row r="144" spans="1:9" ht="36" customHeight="1">
      <c r="A144" s="355"/>
      <c r="B144" s="207" t="s">
        <v>103</v>
      </c>
      <c r="C144" s="461" t="s">
        <v>76</v>
      </c>
      <c r="D144" s="462" t="s">
        <v>55</v>
      </c>
      <c r="E144" s="462" t="s">
        <v>76</v>
      </c>
      <c r="F144" s="463" t="s">
        <v>104</v>
      </c>
      <c r="G144" s="193"/>
      <c r="H144" s="369">
        <f t="shared" si="1"/>
        <v>1023.2</v>
      </c>
      <c r="I144" s="369">
        <f t="shared" si="1"/>
        <v>0</v>
      </c>
    </row>
    <row r="145" spans="1:9" ht="42.75" customHeight="1">
      <c r="A145" s="355"/>
      <c r="B145" s="214" t="s">
        <v>105</v>
      </c>
      <c r="C145" s="461" t="s">
        <v>76</v>
      </c>
      <c r="D145" s="462" t="s">
        <v>55</v>
      </c>
      <c r="E145" s="462" t="s">
        <v>76</v>
      </c>
      <c r="F145" s="463" t="s">
        <v>104</v>
      </c>
      <c r="G145" s="193" t="s">
        <v>106</v>
      </c>
      <c r="H145" s="369">
        <f>'прил13(ведом 21-22)'!M373</f>
        <v>1023.2</v>
      </c>
      <c r="I145" s="369">
        <f>'прил13(ведом 21-22)'!N373</f>
        <v>0</v>
      </c>
    </row>
    <row r="146" spans="1:9" ht="18.75">
      <c r="A146" s="355"/>
      <c r="B146" s="377"/>
      <c r="C146" s="458"/>
      <c r="D146" s="459"/>
      <c r="E146" s="459"/>
      <c r="F146" s="460"/>
      <c r="G146" s="353"/>
      <c r="H146" s="369"/>
      <c r="I146" s="369"/>
    </row>
    <row r="147" spans="1:9" s="367" customFormat="1" ht="56.25">
      <c r="A147" s="378">
        <v>4</v>
      </c>
      <c r="B147" s="362" t="s">
        <v>260</v>
      </c>
      <c r="C147" s="363" t="s">
        <v>91</v>
      </c>
      <c r="D147" s="363" t="s">
        <v>66</v>
      </c>
      <c r="E147" s="363" t="s">
        <v>67</v>
      </c>
      <c r="F147" s="364" t="s">
        <v>68</v>
      </c>
      <c r="G147" s="365"/>
      <c r="H147" s="366">
        <f>H148+H153</f>
        <v>5307</v>
      </c>
      <c r="I147" s="366">
        <f>I148+I153</f>
        <v>4825</v>
      </c>
    </row>
    <row r="148" spans="1:9" s="367" customFormat="1" ht="18.75">
      <c r="A148" s="355"/>
      <c r="B148" s="368" t="s">
        <v>261</v>
      </c>
      <c r="C148" s="461" t="s">
        <v>91</v>
      </c>
      <c r="D148" s="462" t="s">
        <v>69</v>
      </c>
      <c r="E148" s="462" t="s">
        <v>67</v>
      </c>
      <c r="F148" s="463" t="s">
        <v>68</v>
      </c>
      <c r="G148" s="353"/>
      <c r="H148" s="369">
        <f t="shared" ref="H148:I149" si="2">H149</f>
        <v>2233.8000000000002</v>
      </c>
      <c r="I148" s="369">
        <f t="shared" si="2"/>
        <v>2194.9</v>
      </c>
    </row>
    <row r="149" spans="1:9" s="367" customFormat="1" ht="75">
      <c r="A149" s="355"/>
      <c r="B149" s="368" t="s">
        <v>350</v>
      </c>
      <c r="C149" s="461" t="s">
        <v>91</v>
      </c>
      <c r="D149" s="462" t="s">
        <v>69</v>
      </c>
      <c r="E149" s="462" t="s">
        <v>61</v>
      </c>
      <c r="F149" s="463" t="s">
        <v>68</v>
      </c>
      <c r="G149" s="193"/>
      <c r="H149" s="369">
        <f t="shared" si="2"/>
        <v>2233.8000000000002</v>
      </c>
      <c r="I149" s="369">
        <f t="shared" si="2"/>
        <v>2194.9</v>
      </c>
    </row>
    <row r="150" spans="1:9" ht="75">
      <c r="A150" s="355"/>
      <c r="B150" s="368" t="s">
        <v>121</v>
      </c>
      <c r="C150" s="461" t="s">
        <v>91</v>
      </c>
      <c r="D150" s="462" t="s">
        <v>69</v>
      </c>
      <c r="E150" s="462" t="s">
        <v>61</v>
      </c>
      <c r="F150" s="463" t="s">
        <v>123</v>
      </c>
      <c r="G150" s="193"/>
      <c r="H150" s="369">
        <f>SUM(H151:H152)</f>
        <v>2233.8000000000002</v>
      </c>
      <c r="I150" s="369">
        <f>SUM(I151:I152)</f>
        <v>2194.9</v>
      </c>
    </row>
    <row r="151" spans="1:9" ht="93.75">
      <c r="A151" s="355"/>
      <c r="B151" s="368" t="s">
        <v>73</v>
      </c>
      <c r="C151" s="461" t="s">
        <v>91</v>
      </c>
      <c r="D151" s="462" t="s">
        <v>69</v>
      </c>
      <c r="E151" s="462" t="s">
        <v>61</v>
      </c>
      <c r="F151" s="463" t="s">
        <v>123</v>
      </c>
      <c r="G151" s="193" t="s">
        <v>74</v>
      </c>
      <c r="H151" s="369">
        <f>'прил13(ведом 21-22)'!M390</f>
        <v>2195.5</v>
      </c>
      <c r="I151" s="369">
        <f>'прил13(ведом 21-22)'!N390</f>
        <v>2194.9</v>
      </c>
    </row>
    <row r="152" spans="1:9" ht="37.5">
      <c r="A152" s="355"/>
      <c r="B152" s="207" t="s">
        <v>79</v>
      </c>
      <c r="C152" s="461" t="s">
        <v>91</v>
      </c>
      <c r="D152" s="462" t="s">
        <v>69</v>
      </c>
      <c r="E152" s="462" t="s">
        <v>61</v>
      </c>
      <c r="F152" s="463" t="s">
        <v>123</v>
      </c>
      <c r="G152" s="193" t="s">
        <v>80</v>
      </c>
      <c r="H152" s="369">
        <f>'прил13(ведом 21-22)'!M391</f>
        <v>38.299999999999997</v>
      </c>
      <c r="I152" s="369">
        <f>'прил13(ведом 21-22)'!N391</f>
        <v>0</v>
      </c>
    </row>
    <row r="153" spans="1:9" s="367" customFormat="1" ht="22.5" customHeight="1">
      <c r="A153" s="355"/>
      <c r="B153" s="368" t="s">
        <v>259</v>
      </c>
      <c r="C153" s="461" t="s">
        <v>91</v>
      </c>
      <c r="D153" s="462" t="s">
        <v>120</v>
      </c>
      <c r="E153" s="462" t="s">
        <v>67</v>
      </c>
      <c r="F153" s="463" t="s">
        <v>68</v>
      </c>
      <c r="G153" s="193"/>
      <c r="H153" s="369">
        <f>H154</f>
        <v>3073.2000000000003</v>
      </c>
      <c r="I153" s="369">
        <f>I154</f>
        <v>2630.1</v>
      </c>
    </row>
    <row r="154" spans="1:9" s="367" customFormat="1" ht="37.5">
      <c r="A154" s="355"/>
      <c r="B154" s="368" t="s">
        <v>344</v>
      </c>
      <c r="C154" s="461" t="s">
        <v>91</v>
      </c>
      <c r="D154" s="462" t="s">
        <v>120</v>
      </c>
      <c r="E154" s="462" t="s">
        <v>61</v>
      </c>
      <c r="F154" s="463" t="s">
        <v>68</v>
      </c>
      <c r="G154" s="193"/>
      <c r="H154" s="369">
        <f>H155</f>
        <v>3073.2000000000003</v>
      </c>
      <c r="I154" s="369">
        <f>I155</f>
        <v>2630.1</v>
      </c>
    </row>
    <row r="155" spans="1:9" s="367" customFormat="1" ht="37.5">
      <c r="A155" s="355"/>
      <c r="B155" s="368" t="s">
        <v>71</v>
      </c>
      <c r="C155" s="461" t="s">
        <v>91</v>
      </c>
      <c r="D155" s="462" t="s">
        <v>120</v>
      </c>
      <c r="E155" s="462" t="s">
        <v>61</v>
      </c>
      <c r="F155" s="463" t="s">
        <v>72</v>
      </c>
      <c r="G155" s="193"/>
      <c r="H155" s="369">
        <f>SUM(H156:H158)</f>
        <v>3073.2000000000003</v>
      </c>
      <c r="I155" s="369">
        <f>SUM(I156:I158)</f>
        <v>2630.1</v>
      </c>
    </row>
    <row r="156" spans="1:9" s="367" customFormat="1" ht="93.75">
      <c r="A156" s="355"/>
      <c r="B156" s="368" t="s">
        <v>73</v>
      </c>
      <c r="C156" s="461" t="s">
        <v>91</v>
      </c>
      <c r="D156" s="462" t="s">
        <v>120</v>
      </c>
      <c r="E156" s="462" t="s">
        <v>61</v>
      </c>
      <c r="F156" s="463" t="s">
        <v>72</v>
      </c>
      <c r="G156" s="193" t="s">
        <v>74</v>
      </c>
      <c r="H156" s="369">
        <f>'прил13(ведом 21-22)'!M398</f>
        <v>2630.1</v>
      </c>
      <c r="I156" s="369">
        <f>'прил13(ведом 21-22)'!N398</f>
        <v>2630.1</v>
      </c>
    </row>
    <row r="157" spans="1:9" ht="37.5">
      <c r="A157" s="355"/>
      <c r="B157" s="368" t="s">
        <v>79</v>
      </c>
      <c r="C157" s="461" t="s">
        <v>91</v>
      </c>
      <c r="D157" s="462" t="s">
        <v>120</v>
      </c>
      <c r="E157" s="462" t="s">
        <v>61</v>
      </c>
      <c r="F157" s="463" t="s">
        <v>72</v>
      </c>
      <c r="G157" s="193" t="s">
        <v>80</v>
      </c>
      <c r="H157" s="369">
        <f>'прил13(ведом 21-22)'!M399</f>
        <v>442.8</v>
      </c>
      <c r="I157" s="369">
        <f>'прил13(ведом 21-22)'!N399</f>
        <v>0</v>
      </c>
    </row>
    <row r="158" spans="1:9" ht="18.75">
      <c r="A158" s="355"/>
      <c r="B158" s="368" t="s">
        <v>81</v>
      </c>
      <c r="C158" s="461" t="s">
        <v>91</v>
      </c>
      <c r="D158" s="462" t="s">
        <v>120</v>
      </c>
      <c r="E158" s="462" t="s">
        <v>61</v>
      </c>
      <c r="F158" s="463" t="s">
        <v>72</v>
      </c>
      <c r="G158" s="193" t="s">
        <v>82</v>
      </c>
      <c r="H158" s="369">
        <f>'прил13(ведом 21-22)'!M400</f>
        <v>0.3</v>
      </c>
      <c r="I158" s="369">
        <f>'прил13(ведом 21-22)'!N400</f>
        <v>0</v>
      </c>
    </row>
    <row r="159" spans="1:9" ht="18.75">
      <c r="A159" s="355"/>
      <c r="B159" s="377"/>
      <c r="C159" s="459"/>
      <c r="D159" s="459"/>
      <c r="E159" s="389"/>
      <c r="F159" s="390"/>
      <c r="G159" s="353"/>
      <c r="H159" s="369"/>
      <c r="I159" s="369"/>
    </row>
    <row r="160" spans="1:9" s="367" customFormat="1" ht="56.25">
      <c r="A160" s="378">
        <v>5</v>
      </c>
      <c r="B160" s="362" t="s">
        <v>110</v>
      </c>
      <c r="C160" s="379" t="s">
        <v>111</v>
      </c>
      <c r="D160" s="379" t="s">
        <v>66</v>
      </c>
      <c r="E160" s="379" t="s">
        <v>67</v>
      </c>
      <c r="F160" s="380" t="s">
        <v>68</v>
      </c>
      <c r="G160" s="365"/>
      <c r="H160" s="366">
        <f>H174+H161+H169</f>
        <v>10885.800000000001</v>
      </c>
      <c r="I160" s="366">
        <f>I174+I161+I169</f>
        <v>15929.900000000001</v>
      </c>
    </row>
    <row r="161" spans="1:9" ht="56.25">
      <c r="A161" s="355"/>
      <c r="B161" s="381" t="s">
        <v>112</v>
      </c>
      <c r="C161" s="461" t="s">
        <v>111</v>
      </c>
      <c r="D161" s="462" t="s">
        <v>69</v>
      </c>
      <c r="E161" s="462" t="s">
        <v>67</v>
      </c>
      <c r="F161" s="463" t="s">
        <v>68</v>
      </c>
      <c r="G161" s="353"/>
      <c r="H161" s="369">
        <f t="shared" ref="H161:I161" si="3">H162</f>
        <v>3282.3</v>
      </c>
      <c r="I161" s="369">
        <f t="shared" si="3"/>
        <v>0</v>
      </c>
    </row>
    <row r="162" spans="1:9" ht="75">
      <c r="A162" s="355"/>
      <c r="B162" s="368" t="s">
        <v>113</v>
      </c>
      <c r="C162" s="461" t="s">
        <v>111</v>
      </c>
      <c r="D162" s="462" t="s">
        <v>69</v>
      </c>
      <c r="E162" s="462" t="s">
        <v>61</v>
      </c>
      <c r="F162" s="463" t="s">
        <v>68</v>
      </c>
      <c r="G162" s="193"/>
      <c r="H162" s="369">
        <f>H167+H163+H165</f>
        <v>3282.3</v>
      </c>
      <c r="I162" s="369">
        <f>I167+I163+I165</f>
        <v>0</v>
      </c>
    </row>
    <row r="163" spans="1:9" ht="75">
      <c r="A163" s="355"/>
      <c r="B163" s="213" t="s">
        <v>114</v>
      </c>
      <c r="C163" s="461" t="s">
        <v>111</v>
      </c>
      <c r="D163" s="462" t="s">
        <v>69</v>
      </c>
      <c r="E163" s="462" t="s">
        <v>61</v>
      </c>
      <c r="F163" s="463" t="s">
        <v>115</v>
      </c>
      <c r="G163" s="193"/>
      <c r="H163" s="369">
        <f>H164</f>
        <v>261.5</v>
      </c>
      <c r="I163" s="369">
        <f>I164</f>
        <v>0</v>
      </c>
    </row>
    <row r="164" spans="1:9" ht="37.5">
      <c r="A164" s="355"/>
      <c r="B164" s="207" t="s">
        <v>79</v>
      </c>
      <c r="C164" s="461" t="s">
        <v>111</v>
      </c>
      <c r="D164" s="462" t="s">
        <v>69</v>
      </c>
      <c r="E164" s="462" t="s">
        <v>61</v>
      </c>
      <c r="F164" s="463" t="s">
        <v>115</v>
      </c>
      <c r="G164" s="193" t="s">
        <v>80</v>
      </c>
      <c r="H164" s="369">
        <f>'прил13(ведом 21-22)'!M65</f>
        <v>261.5</v>
      </c>
      <c r="I164" s="369">
        <f>'прил13(ведом 21-22)'!N65</f>
        <v>0</v>
      </c>
    </row>
    <row r="165" spans="1:9" ht="42" customHeight="1">
      <c r="A165" s="355"/>
      <c r="B165" s="207" t="s">
        <v>116</v>
      </c>
      <c r="C165" s="461" t="s">
        <v>111</v>
      </c>
      <c r="D165" s="462" t="s">
        <v>69</v>
      </c>
      <c r="E165" s="462" t="s">
        <v>61</v>
      </c>
      <c r="F165" s="463" t="s">
        <v>117</v>
      </c>
      <c r="G165" s="193"/>
      <c r="H165" s="369">
        <f>H166</f>
        <v>63.9</v>
      </c>
      <c r="I165" s="369">
        <f>I166</f>
        <v>0</v>
      </c>
    </row>
    <row r="166" spans="1:9" ht="37.5">
      <c r="A166" s="355"/>
      <c r="B166" s="207" t="s">
        <v>79</v>
      </c>
      <c r="C166" s="461" t="s">
        <v>111</v>
      </c>
      <c r="D166" s="462" t="s">
        <v>69</v>
      </c>
      <c r="E166" s="462" t="s">
        <v>61</v>
      </c>
      <c r="F166" s="463" t="s">
        <v>117</v>
      </c>
      <c r="G166" s="193" t="s">
        <v>80</v>
      </c>
      <c r="H166" s="369">
        <f>'прил13(ведом 21-22)'!M67</f>
        <v>63.9</v>
      </c>
      <c r="I166" s="369">
        <f>'прил13(ведом 21-22)'!N67</f>
        <v>0</v>
      </c>
    </row>
    <row r="167" spans="1:9" ht="76.5" customHeight="1">
      <c r="A167" s="355"/>
      <c r="B167" s="368" t="s">
        <v>429</v>
      </c>
      <c r="C167" s="461" t="s">
        <v>111</v>
      </c>
      <c r="D167" s="462" t="s">
        <v>69</v>
      </c>
      <c r="E167" s="462" t="s">
        <v>61</v>
      </c>
      <c r="F167" s="463" t="s">
        <v>417</v>
      </c>
      <c r="G167" s="193"/>
      <c r="H167" s="369">
        <f>H168</f>
        <v>2956.9</v>
      </c>
      <c r="I167" s="369">
        <f>I168</f>
        <v>0</v>
      </c>
    </row>
    <row r="168" spans="1:9" ht="18.75">
      <c r="A168" s="355"/>
      <c r="B168" s="368" t="s">
        <v>155</v>
      </c>
      <c r="C168" s="461" t="s">
        <v>111</v>
      </c>
      <c r="D168" s="462" t="s">
        <v>69</v>
      </c>
      <c r="E168" s="462" t="s">
        <v>61</v>
      </c>
      <c r="F168" s="463" t="s">
        <v>417</v>
      </c>
      <c r="G168" s="193" t="s">
        <v>156</v>
      </c>
      <c r="H168" s="369">
        <f>'прил13(ведом 21-22)'!M69</f>
        <v>2956.9</v>
      </c>
      <c r="I168" s="369">
        <f>'прил13(ведом 21-22)'!N69</f>
        <v>0</v>
      </c>
    </row>
    <row r="169" spans="1:9" ht="37.5">
      <c r="A169" s="355"/>
      <c r="B169" s="392" t="s">
        <v>157</v>
      </c>
      <c r="C169" s="461" t="s">
        <v>111</v>
      </c>
      <c r="D169" s="462" t="s">
        <v>120</v>
      </c>
      <c r="E169" s="462" t="s">
        <v>67</v>
      </c>
      <c r="F169" s="463" t="s">
        <v>68</v>
      </c>
      <c r="G169" s="353"/>
      <c r="H169" s="369">
        <f t="shared" ref="H169:I170" si="4">H170</f>
        <v>0</v>
      </c>
      <c r="I169" s="369">
        <f t="shared" si="4"/>
        <v>8570.1</v>
      </c>
    </row>
    <row r="170" spans="1:9" ht="37.5">
      <c r="A170" s="355"/>
      <c r="B170" s="207" t="s">
        <v>333</v>
      </c>
      <c r="C170" s="461" t="s">
        <v>111</v>
      </c>
      <c r="D170" s="462" t="s">
        <v>120</v>
      </c>
      <c r="E170" s="462" t="s">
        <v>61</v>
      </c>
      <c r="F170" s="463" t="s">
        <v>68</v>
      </c>
      <c r="G170" s="193"/>
      <c r="H170" s="369">
        <f t="shared" si="4"/>
        <v>0</v>
      </c>
      <c r="I170" s="369">
        <f t="shared" si="4"/>
        <v>8570.1</v>
      </c>
    </row>
    <row r="171" spans="1:9" ht="18.75">
      <c r="A171" s="355"/>
      <c r="B171" s="207" t="s">
        <v>780</v>
      </c>
      <c r="C171" s="461" t="s">
        <v>111</v>
      </c>
      <c r="D171" s="462" t="s">
        <v>120</v>
      </c>
      <c r="E171" s="462" t="s">
        <v>61</v>
      </c>
      <c r="F171" s="463" t="s">
        <v>781</v>
      </c>
      <c r="G171" s="193"/>
      <c r="H171" s="369">
        <f>H172+H173</f>
        <v>0</v>
      </c>
      <c r="I171" s="369">
        <f>I172+I173</f>
        <v>8570.1</v>
      </c>
    </row>
    <row r="172" spans="1:9" ht="37.5">
      <c r="A172" s="355"/>
      <c r="B172" s="207" t="s">
        <v>79</v>
      </c>
      <c r="C172" s="461" t="s">
        <v>111</v>
      </c>
      <c r="D172" s="462" t="s">
        <v>120</v>
      </c>
      <c r="E172" s="462" t="s">
        <v>61</v>
      </c>
      <c r="F172" s="463" t="s">
        <v>781</v>
      </c>
      <c r="G172" s="193" t="s">
        <v>80</v>
      </c>
      <c r="H172" s="369">
        <f>'прил13(ведом 21-22)'!M256</f>
        <v>0</v>
      </c>
      <c r="I172" s="369">
        <f>'прил13(ведом 21-22)'!N256</f>
        <v>905.2</v>
      </c>
    </row>
    <row r="173" spans="1:9" ht="45" customHeight="1">
      <c r="A173" s="355"/>
      <c r="B173" s="207" t="s">
        <v>105</v>
      </c>
      <c r="C173" s="461" t="s">
        <v>111</v>
      </c>
      <c r="D173" s="462" t="s">
        <v>120</v>
      </c>
      <c r="E173" s="462" t="s">
        <v>61</v>
      </c>
      <c r="F173" s="463" t="s">
        <v>781</v>
      </c>
      <c r="G173" s="193" t="s">
        <v>106</v>
      </c>
      <c r="H173" s="369">
        <f>'прил13(ведом 21-22)'!M218+'прил13(ведом 21-22)'!M257</f>
        <v>0</v>
      </c>
      <c r="I173" s="369">
        <f>'прил13(ведом 21-22)'!N218+'прил13(ведом 21-22)'!N257</f>
        <v>7664.9</v>
      </c>
    </row>
    <row r="174" spans="1:9" ht="56.25">
      <c r="A174" s="355"/>
      <c r="B174" s="212" t="s">
        <v>481</v>
      </c>
      <c r="C174" s="461" t="s">
        <v>111</v>
      </c>
      <c r="D174" s="462" t="s">
        <v>54</v>
      </c>
      <c r="E174" s="462" t="s">
        <v>67</v>
      </c>
      <c r="F174" s="463" t="s">
        <v>68</v>
      </c>
      <c r="G174" s="193"/>
      <c r="H174" s="369">
        <f>H175</f>
        <v>7603.5000000000009</v>
      </c>
      <c r="I174" s="369">
        <f>I175</f>
        <v>7359.8</v>
      </c>
    </row>
    <row r="175" spans="1:9" ht="57" customHeight="1">
      <c r="A175" s="355"/>
      <c r="B175" s="382" t="s">
        <v>410</v>
      </c>
      <c r="C175" s="461" t="s">
        <v>111</v>
      </c>
      <c r="D175" s="462" t="s">
        <v>54</v>
      </c>
      <c r="E175" s="462" t="s">
        <v>61</v>
      </c>
      <c r="F175" s="463" t="s">
        <v>68</v>
      </c>
      <c r="G175" s="193"/>
      <c r="H175" s="369">
        <f>H176</f>
        <v>7603.5000000000009</v>
      </c>
      <c r="I175" s="369">
        <f>I176</f>
        <v>7359.8</v>
      </c>
    </row>
    <row r="176" spans="1:9" ht="75">
      <c r="A176" s="355"/>
      <c r="B176" s="382" t="s">
        <v>121</v>
      </c>
      <c r="C176" s="461" t="s">
        <v>111</v>
      </c>
      <c r="D176" s="462" t="s">
        <v>54</v>
      </c>
      <c r="E176" s="462" t="s">
        <v>61</v>
      </c>
      <c r="F176" s="463" t="s">
        <v>123</v>
      </c>
      <c r="G176" s="193"/>
      <c r="H176" s="369">
        <f>SUM(H177:H179)</f>
        <v>7603.5000000000009</v>
      </c>
      <c r="I176" s="369">
        <f>SUM(I177:I179)</f>
        <v>7359.8</v>
      </c>
    </row>
    <row r="177" spans="1:9" s="367" customFormat="1" ht="93.75">
      <c r="A177" s="355"/>
      <c r="B177" s="368" t="s">
        <v>73</v>
      </c>
      <c r="C177" s="461" t="s">
        <v>111</v>
      </c>
      <c r="D177" s="462" t="s">
        <v>54</v>
      </c>
      <c r="E177" s="462" t="s">
        <v>61</v>
      </c>
      <c r="F177" s="463" t="s">
        <v>123</v>
      </c>
      <c r="G177" s="193" t="s">
        <v>74</v>
      </c>
      <c r="H177" s="369">
        <f>'прил13(ведом 21-22)'!M75</f>
        <v>6796.8</v>
      </c>
      <c r="I177" s="369">
        <f>'прил13(ведом 21-22)'!N75</f>
        <v>6796.8</v>
      </c>
    </row>
    <row r="178" spans="1:9" ht="37.5">
      <c r="A178" s="355"/>
      <c r="B178" s="368" t="s">
        <v>79</v>
      </c>
      <c r="C178" s="461" t="s">
        <v>111</v>
      </c>
      <c r="D178" s="462" t="s">
        <v>54</v>
      </c>
      <c r="E178" s="462" t="s">
        <v>61</v>
      </c>
      <c r="F178" s="463" t="s">
        <v>123</v>
      </c>
      <c r="G178" s="193" t="s">
        <v>80</v>
      </c>
      <c r="H178" s="369">
        <f>'прил13(ведом 21-22)'!M76</f>
        <v>793.1</v>
      </c>
      <c r="I178" s="369">
        <f>'прил13(ведом 21-22)'!N76</f>
        <v>549.4</v>
      </c>
    </row>
    <row r="179" spans="1:9" ht="18.75">
      <c r="A179" s="355"/>
      <c r="B179" s="207" t="s">
        <v>81</v>
      </c>
      <c r="C179" s="461" t="s">
        <v>111</v>
      </c>
      <c r="D179" s="462" t="s">
        <v>54</v>
      </c>
      <c r="E179" s="462" t="s">
        <v>61</v>
      </c>
      <c r="F179" s="463" t="s">
        <v>123</v>
      </c>
      <c r="G179" s="193" t="s">
        <v>82</v>
      </c>
      <c r="H179" s="369">
        <f>'прил13(ведом 21-22)'!M77</f>
        <v>13.6</v>
      </c>
      <c r="I179" s="369">
        <f>'прил13(ведом 21-22)'!N77</f>
        <v>13.6</v>
      </c>
    </row>
    <row r="180" spans="1:9" ht="18.75">
      <c r="A180" s="393"/>
      <c r="B180" s="370"/>
      <c r="C180" s="218"/>
      <c r="D180" s="459"/>
      <c r="E180" s="459"/>
      <c r="F180" s="460"/>
      <c r="G180" s="353"/>
      <c r="H180" s="369"/>
      <c r="I180" s="369"/>
    </row>
    <row r="181" spans="1:9" s="367" customFormat="1" ht="56.25">
      <c r="A181" s="378">
        <v>6</v>
      </c>
      <c r="B181" s="391" t="s">
        <v>262</v>
      </c>
      <c r="C181" s="363" t="s">
        <v>263</v>
      </c>
      <c r="D181" s="363" t="s">
        <v>66</v>
      </c>
      <c r="E181" s="363" t="s">
        <v>67</v>
      </c>
      <c r="F181" s="364" t="s">
        <v>68</v>
      </c>
      <c r="G181" s="365"/>
      <c r="H181" s="366">
        <f>H182</f>
        <v>29816.6</v>
      </c>
      <c r="I181" s="366">
        <f>I182</f>
        <v>29446.5</v>
      </c>
    </row>
    <row r="182" spans="1:9" ht="27" customHeight="1">
      <c r="A182" s="355"/>
      <c r="B182" s="368" t="s">
        <v>428</v>
      </c>
      <c r="C182" s="215" t="s">
        <v>263</v>
      </c>
      <c r="D182" s="216" t="s">
        <v>69</v>
      </c>
      <c r="E182" s="462" t="s">
        <v>67</v>
      </c>
      <c r="F182" s="463" t="s">
        <v>68</v>
      </c>
      <c r="G182" s="193"/>
      <c r="H182" s="369">
        <f>H183+H188</f>
        <v>29816.6</v>
      </c>
      <c r="I182" s="369">
        <f>I183+I188</f>
        <v>29446.5</v>
      </c>
    </row>
    <row r="183" spans="1:9" ht="44.25" customHeight="1">
      <c r="A183" s="355"/>
      <c r="B183" s="368" t="s">
        <v>377</v>
      </c>
      <c r="C183" s="215" t="s">
        <v>263</v>
      </c>
      <c r="D183" s="216" t="s">
        <v>69</v>
      </c>
      <c r="E183" s="462" t="s">
        <v>61</v>
      </c>
      <c r="F183" s="463" t="s">
        <v>68</v>
      </c>
      <c r="G183" s="193"/>
      <c r="H183" s="369">
        <f>H184</f>
        <v>24566.6</v>
      </c>
      <c r="I183" s="369">
        <f>I184</f>
        <v>24196.5</v>
      </c>
    </row>
    <row r="184" spans="1:9" ht="37.5">
      <c r="A184" s="355"/>
      <c r="B184" s="368" t="s">
        <v>71</v>
      </c>
      <c r="C184" s="215" t="s">
        <v>263</v>
      </c>
      <c r="D184" s="216" t="s">
        <v>69</v>
      </c>
      <c r="E184" s="462" t="s">
        <v>61</v>
      </c>
      <c r="F184" s="463" t="s">
        <v>72</v>
      </c>
      <c r="G184" s="193"/>
      <c r="H184" s="369">
        <f>SUM(H185:H187)</f>
        <v>24566.6</v>
      </c>
      <c r="I184" s="369">
        <f>SUM(I185:I187)</f>
        <v>24196.5</v>
      </c>
    </row>
    <row r="185" spans="1:9" ht="93.75">
      <c r="A185" s="355"/>
      <c r="B185" s="368" t="s">
        <v>73</v>
      </c>
      <c r="C185" s="215" t="s">
        <v>263</v>
      </c>
      <c r="D185" s="216" t="s">
        <v>69</v>
      </c>
      <c r="E185" s="462" t="s">
        <v>61</v>
      </c>
      <c r="F185" s="463" t="s">
        <v>72</v>
      </c>
      <c r="G185" s="193" t="s">
        <v>74</v>
      </c>
      <c r="H185" s="369">
        <f>'прил13(ведом 21-22)'!M133</f>
        <v>23283.5</v>
      </c>
      <c r="I185" s="369">
        <f>'прил13(ведом 21-22)'!N133</f>
        <v>23283.5</v>
      </c>
    </row>
    <row r="186" spans="1:9" ht="37.5">
      <c r="A186" s="355"/>
      <c r="B186" s="207" t="s">
        <v>79</v>
      </c>
      <c r="C186" s="215" t="s">
        <v>263</v>
      </c>
      <c r="D186" s="216" t="s">
        <v>69</v>
      </c>
      <c r="E186" s="462" t="s">
        <v>61</v>
      </c>
      <c r="F186" s="463" t="s">
        <v>72</v>
      </c>
      <c r="G186" s="193" t="s">
        <v>80</v>
      </c>
      <c r="H186" s="369">
        <f>'прил13(ведом 21-22)'!M134</f>
        <v>1278.3</v>
      </c>
      <c r="I186" s="369">
        <f>'прил13(ведом 21-22)'!N134</f>
        <v>910</v>
      </c>
    </row>
    <row r="187" spans="1:9" ht="18.75">
      <c r="A187" s="355"/>
      <c r="B187" s="207" t="s">
        <v>81</v>
      </c>
      <c r="C187" s="215" t="s">
        <v>263</v>
      </c>
      <c r="D187" s="216" t="s">
        <v>69</v>
      </c>
      <c r="E187" s="462" t="s">
        <v>61</v>
      </c>
      <c r="F187" s="463" t="s">
        <v>72</v>
      </c>
      <c r="G187" s="193" t="s">
        <v>82</v>
      </c>
      <c r="H187" s="369">
        <f>'прил13(ведом 21-22)'!M135</f>
        <v>4.8</v>
      </c>
      <c r="I187" s="369">
        <f>'прил13(ведом 21-22)'!N135</f>
        <v>3</v>
      </c>
    </row>
    <row r="188" spans="1:9" ht="30" customHeight="1">
      <c r="A188" s="355"/>
      <c r="B188" s="368" t="s">
        <v>378</v>
      </c>
      <c r="C188" s="215" t="s">
        <v>263</v>
      </c>
      <c r="D188" s="216" t="s">
        <v>69</v>
      </c>
      <c r="E188" s="462" t="s">
        <v>63</v>
      </c>
      <c r="F188" s="463" t="s">
        <v>68</v>
      </c>
      <c r="G188" s="193"/>
      <c r="H188" s="369">
        <f>H189</f>
        <v>5250</v>
      </c>
      <c r="I188" s="369">
        <f>I189</f>
        <v>5250</v>
      </c>
    </row>
    <row r="189" spans="1:9" ht="37.5">
      <c r="A189" s="355"/>
      <c r="B189" s="207" t="s">
        <v>320</v>
      </c>
      <c r="C189" s="215" t="s">
        <v>263</v>
      </c>
      <c r="D189" s="216" t="s">
        <v>69</v>
      </c>
      <c r="E189" s="462" t="s">
        <v>63</v>
      </c>
      <c r="F189" s="463" t="s">
        <v>620</v>
      </c>
      <c r="G189" s="193"/>
      <c r="H189" s="369">
        <f>H190</f>
        <v>5250</v>
      </c>
      <c r="I189" s="369">
        <f>I190</f>
        <v>5250</v>
      </c>
    </row>
    <row r="190" spans="1:9" ht="18.75">
      <c r="A190" s="355"/>
      <c r="B190" s="207" t="s">
        <v>155</v>
      </c>
      <c r="C190" s="215" t="s">
        <v>263</v>
      </c>
      <c r="D190" s="216" t="s">
        <v>69</v>
      </c>
      <c r="E190" s="462" t="s">
        <v>63</v>
      </c>
      <c r="F190" s="463" t="s">
        <v>620</v>
      </c>
      <c r="G190" s="193" t="s">
        <v>156</v>
      </c>
      <c r="H190" s="369">
        <f>'прил13(ведом 21-22)'!M142</f>
        <v>5250</v>
      </c>
      <c r="I190" s="369">
        <f>'прил13(ведом 21-22)'!N142</f>
        <v>5250</v>
      </c>
    </row>
    <row r="191" spans="1:9" ht="18.75">
      <c r="A191" s="355"/>
      <c r="B191" s="368"/>
      <c r="C191" s="216"/>
      <c r="D191" s="216"/>
      <c r="E191" s="216"/>
      <c r="F191" s="394"/>
      <c r="G191" s="193"/>
      <c r="H191" s="369"/>
      <c r="I191" s="369"/>
    </row>
    <row r="192" spans="1:9" s="367" customFormat="1" ht="56.25">
      <c r="A192" s="361">
        <v>7</v>
      </c>
      <c r="B192" s="395" t="s">
        <v>264</v>
      </c>
      <c r="C192" s="396" t="s">
        <v>265</v>
      </c>
      <c r="D192" s="379" t="s">
        <v>66</v>
      </c>
      <c r="E192" s="379" t="s">
        <v>67</v>
      </c>
      <c r="F192" s="380" t="s">
        <v>68</v>
      </c>
      <c r="G192" s="397"/>
      <c r="H192" s="366">
        <f>H193+H197</f>
        <v>17986.300000000003</v>
      </c>
      <c r="I192" s="366">
        <f>I193+I197</f>
        <v>25488.100000000002</v>
      </c>
    </row>
    <row r="193" spans="1:9" s="367" customFormat="1" ht="37.5">
      <c r="A193" s="361"/>
      <c r="B193" s="428" t="s">
        <v>266</v>
      </c>
      <c r="C193" s="489" t="s">
        <v>265</v>
      </c>
      <c r="D193" s="490" t="s">
        <v>69</v>
      </c>
      <c r="E193" s="490" t="s">
        <v>67</v>
      </c>
      <c r="F193" s="491" t="s">
        <v>68</v>
      </c>
      <c r="G193" s="375"/>
      <c r="H193" s="369">
        <f t="shared" ref="H193:I195" si="5">H194</f>
        <v>0</v>
      </c>
      <c r="I193" s="369">
        <f t="shared" si="5"/>
        <v>8000</v>
      </c>
    </row>
    <row r="194" spans="1:9" s="367" customFormat="1" ht="37.5">
      <c r="A194" s="361"/>
      <c r="B194" s="423" t="s">
        <v>427</v>
      </c>
      <c r="C194" s="372" t="s">
        <v>265</v>
      </c>
      <c r="D194" s="373" t="s">
        <v>69</v>
      </c>
      <c r="E194" s="373" t="s">
        <v>63</v>
      </c>
      <c r="F194" s="374" t="s">
        <v>68</v>
      </c>
      <c r="G194" s="375"/>
      <c r="H194" s="369">
        <f t="shared" si="5"/>
        <v>0</v>
      </c>
      <c r="I194" s="369">
        <f t="shared" si="5"/>
        <v>8000</v>
      </c>
    </row>
    <row r="195" spans="1:9" s="367" customFormat="1" ht="18.75">
      <c r="A195" s="361"/>
      <c r="B195" s="371" t="s">
        <v>657</v>
      </c>
      <c r="C195" s="372" t="s">
        <v>265</v>
      </c>
      <c r="D195" s="373" t="s">
        <v>69</v>
      </c>
      <c r="E195" s="373" t="s">
        <v>63</v>
      </c>
      <c r="F195" s="374" t="s">
        <v>658</v>
      </c>
      <c r="G195" s="375"/>
      <c r="H195" s="369">
        <f t="shared" si="5"/>
        <v>0</v>
      </c>
      <c r="I195" s="369">
        <f t="shared" si="5"/>
        <v>8000</v>
      </c>
    </row>
    <row r="196" spans="1:9" s="367" customFormat="1" ht="37.5">
      <c r="A196" s="361"/>
      <c r="B196" s="371" t="s">
        <v>242</v>
      </c>
      <c r="C196" s="372" t="s">
        <v>265</v>
      </c>
      <c r="D196" s="373" t="s">
        <v>69</v>
      </c>
      <c r="E196" s="373" t="s">
        <v>63</v>
      </c>
      <c r="F196" s="374" t="s">
        <v>658</v>
      </c>
      <c r="G196" s="375" t="s">
        <v>243</v>
      </c>
      <c r="H196" s="369">
        <f>'прил13(ведом 21-22)'!M165</f>
        <v>0</v>
      </c>
      <c r="I196" s="369">
        <f>'прил13(ведом 21-22)'!N165</f>
        <v>8000</v>
      </c>
    </row>
    <row r="197" spans="1:9" ht="37.5">
      <c r="A197" s="393"/>
      <c r="B197" s="398" t="s">
        <v>268</v>
      </c>
      <c r="C197" s="223" t="s">
        <v>265</v>
      </c>
      <c r="D197" s="218" t="s">
        <v>120</v>
      </c>
      <c r="E197" s="218" t="s">
        <v>67</v>
      </c>
      <c r="F197" s="219" t="s">
        <v>68</v>
      </c>
      <c r="G197" s="217"/>
      <c r="H197" s="369">
        <f>H198</f>
        <v>17986.300000000003</v>
      </c>
      <c r="I197" s="369">
        <f>I198</f>
        <v>17488.100000000002</v>
      </c>
    </row>
    <row r="198" spans="1:9" ht="75">
      <c r="A198" s="393"/>
      <c r="B198" s="398" t="s">
        <v>375</v>
      </c>
      <c r="C198" s="223" t="s">
        <v>265</v>
      </c>
      <c r="D198" s="218" t="s">
        <v>120</v>
      </c>
      <c r="E198" s="218" t="s">
        <v>61</v>
      </c>
      <c r="F198" s="219" t="s">
        <v>68</v>
      </c>
      <c r="G198" s="217"/>
      <c r="H198" s="369">
        <f>H199+H203</f>
        <v>17986.300000000003</v>
      </c>
      <c r="I198" s="369">
        <f>I199+I203</f>
        <v>17488.100000000002</v>
      </c>
    </row>
    <row r="199" spans="1:9" ht="37.5">
      <c r="A199" s="393"/>
      <c r="B199" s="398" t="s">
        <v>71</v>
      </c>
      <c r="C199" s="220" t="s">
        <v>265</v>
      </c>
      <c r="D199" s="221" t="s">
        <v>120</v>
      </c>
      <c r="E199" s="221" t="s">
        <v>61</v>
      </c>
      <c r="F199" s="222" t="s">
        <v>72</v>
      </c>
      <c r="G199" s="217"/>
      <c r="H199" s="369">
        <f>SUM(H200:H202)</f>
        <v>12896.000000000002</v>
      </c>
      <c r="I199" s="369">
        <f>SUM(I200:I202)</f>
        <v>12646.000000000002</v>
      </c>
    </row>
    <row r="200" spans="1:9" ht="93.75">
      <c r="A200" s="393"/>
      <c r="B200" s="398" t="s">
        <v>73</v>
      </c>
      <c r="C200" s="223" t="s">
        <v>265</v>
      </c>
      <c r="D200" s="218" t="s">
        <v>120</v>
      </c>
      <c r="E200" s="218" t="s">
        <v>61</v>
      </c>
      <c r="F200" s="219" t="s">
        <v>72</v>
      </c>
      <c r="G200" s="217" t="s">
        <v>74</v>
      </c>
      <c r="H200" s="369">
        <f>'прил13(ведом 21-22)'!M169</f>
        <v>12237.6</v>
      </c>
      <c r="I200" s="369">
        <f>'прил13(ведом 21-22)'!N169</f>
        <v>12237.6</v>
      </c>
    </row>
    <row r="201" spans="1:9" ht="37.5">
      <c r="A201" s="393"/>
      <c r="B201" s="423" t="s">
        <v>79</v>
      </c>
      <c r="C201" s="404" t="s">
        <v>265</v>
      </c>
      <c r="D201" s="373" t="s">
        <v>120</v>
      </c>
      <c r="E201" s="373" t="s">
        <v>61</v>
      </c>
      <c r="F201" s="374" t="s">
        <v>72</v>
      </c>
      <c r="G201" s="375" t="s">
        <v>80</v>
      </c>
      <c r="H201" s="369">
        <f>'прил13(ведом 21-22)'!M170</f>
        <v>657.2</v>
      </c>
      <c r="I201" s="369">
        <f>'прил13(ведом 21-22)'!N170</f>
        <v>407.2</v>
      </c>
    </row>
    <row r="202" spans="1:9" ht="18.75">
      <c r="A202" s="393"/>
      <c r="B202" s="428" t="s">
        <v>81</v>
      </c>
      <c r="C202" s="404" t="s">
        <v>265</v>
      </c>
      <c r="D202" s="373" t="s">
        <v>120</v>
      </c>
      <c r="E202" s="373" t="s">
        <v>61</v>
      </c>
      <c r="F202" s="374" t="s">
        <v>72</v>
      </c>
      <c r="G202" s="375" t="s">
        <v>82</v>
      </c>
      <c r="H202" s="369">
        <f>'прил13(ведом 21-22)'!M171</f>
        <v>1.2</v>
      </c>
      <c r="I202" s="369">
        <f>'прил13(ведом 21-22)'!N171</f>
        <v>1.2</v>
      </c>
    </row>
    <row r="203" spans="1:9" ht="75">
      <c r="A203" s="393"/>
      <c r="B203" s="398" t="s">
        <v>121</v>
      </c>
      <c r="C203" s="223" t="s">
        <v>265</v>
      </c>
      <c r="D203" s="218" t="s">
        <v>120</v>
      </c>
      <c r="E203" s="218" t="s">
        <v>61</v>
      </c>
      <c r="F203" s="219" t="s">
        <v>123</v>
      </c>
      <c r="G203" s="217"/>
      <c r="H203" s="369">
        <f>SUM(H204:H206)</f>
        <v>5090.3</v>
      </c>
      <c r="I203" s="369">
        <f>SUM(I204:I206)</f>
        <v>4842.0999999999995</v>
      </c>
    </row>
    <row r="204" spans="1:9" ht="93.75">
      <c r="A204" s="393"/>
      <c r="B204" s="398" t="s">
        <v>73</v>
      </c>
      <c r="C204" s="223" t="s">
        <v>265</v>
      </c>
      <c r="D204" s="218" t="s">
        <v>120</v>
      </c>
      <c r="E204" s="218" t="s">
        <v>61</v>
      </c>
      <c r="F204" s="219" t="s">
        <v>123</v>
      </c>
      <c r="G204" s="217" t="s">
        <v>74</v>
      </c>
      <c r="H204" s="369">
        <f>'прил13(ведом 21-22)'!M173</f>
        <v>4790.7</v>
      </c>
      <c r="I204" s="369">
        <f>'прил13(ведом 21-22)'!N173</f>
        <v>4790.7</v>
      </c>
    </row>
    <row r="205" spans="1:9" ht="37.5">
      <c r="A205" s="393"/>
      <c r="B205" s="207" t="s">
        <v>79</v>
      </c>
      <c r="C205" s="220" t="s">
        <v>265</v>
      </c>
      <c r="D205" s="221" t="s">
        <v>120</v>
      </c>
      <c r="E205" s="221" t="s">
        <v>61</v>
      </c>
      <c r="F205" s="222" t="s">
        <v>123</v>
      </c>
      <c r="G205" s="217" t="s">
        <v>80</v>
      </c>
      <c r="H205" s="369">
        <f>'прил13(ведом 21-22)'!M174</f>
        <v>274.5</v>
      </c>
      <c r="I205" s="369">
        <f>'прил13(ведом 21-22)'!N174</f>
        <v>27.5</v>
      </c>
    </row>
    <row r="206" spans="1:9" ht="18.75">
      <c r="A206" s="393"/>
      <c r="B206" s="214" t="s">
        <v>81</v>
      </c>
      <c r="C206" s="223" t="s">
        <v>265</v>
      </c>
      <c r="D206" s="218" t="s">
        <v>120</v>
      </c>
      <c r="E206" s="218" t="s">
        <v>61</v>
      </c>
      <c r="F206" s="219" t="s">
        <v>123</v>
      </c>
      <c r="G206" s="217" t="s">
        <v>82</v>
      </c>
      <c r="H206" s="369">
        <f>'прил13(ведом 21-22)'!M175</f>
        <v>25.1</v>
      </c>
      <c r="I206" s="369">
        <f>'прил13(ведом 21-22)'!N175</f>
        <v>23.9</v>
      </c>
    </row>
    <row r="207" spans="1:9" ht="18.75">
      <c r="A207" s="393"/>
      <c r="B207" s="377"/>
      <c r="C207" s="218"/>
      <c r="D207" s="459"/>
      <c r="E207" s="459"/>
      <c r="F207" s="460"/>
      <c r="G207" s="353"/>
      <c r="H207" s="369"/>
      <c r="I207" s="369"/>
    </row>
    <row r="208" spans="1:9" s="367" customFormat="1" ht="56.25">
      <c r="A208" s="378">
        <v>8</v>
      </c>
      <c r="B208" s="395" t="s">
        <v>361</v>
      </c>
      <c r="C208" s="379" t="s">
        <v>109</v>
      </c>
      <c r="D208" s="379" t="s">
        <v>66</v>
      </c>
      <c r="E208" s="379" t="s">
        <v>67</v>
      </c>
      <c r="F208" s="380" t="s">
        <v>68</v>
      </c>
      <c r="G208" s="365"/>
      <c r="H208" s="366">
        <f>H209</f>
        <v>135435.29999999999</v>
      </c>
      <c r="I208" s="366">
        <f>I209</f>
        <v>135004.1</v>
      </c>
    </row>
    <row r="209" spans="1:9" ht="23.25" customHeight="1">
      <c r="A209" s="355"/>
      <c r="B209" s="368" t="s">
        <v>428</v>
      </c>
      <c r="C209" s="401" t="s">
        <v>109</v>
      </c>
      <c r="D209" s="218" t="s">
        <v>69</v>
      </c>
      <c r="E209" s="218" t="s">
        <v>67</v>
      </c>
      <c r="F209" s="419" t="s">
        <v>68</v>
      </c>
      <c r="G209" s="353"/>
      <c r="H209" s="369">
        <f>H210+H225+H230+H240</f>
        <v>135435.29999999999</v>
      </c>
      <c r="I209" s="369">
        <f>I210+I225+I230+I240</f>
        <v>135004.1</v>
      </c>
    </row>
    <row r="210" spans="1:9" ht="37.5">
      <c r="A210" s="355"/>
      <c r="B210" s="368" t="s">
        <v>347</v>
      </c>
      <c r="C210" s="461" t="s">
        <v>109</v>
      </c>
      <c r="D210" s="462" t="s">
        <v>69</v>
      </c>
      <c r="E210" s="462" t="s">
        <v>61</v>
      </c>
      <c r="F210" s="463" t="s">
        <v>68</v>
      </c>
      <c r="G210" s="353"/>
      <c r="H210" s="369">
        <f>H211+H214+H217+H220+H223</f>
        <v>69326.599999999991</v>
      </c>
      <c r="I210" s="369">
        <f>I211+I214+I217+I220+I223</f>
        <v>72100.399999999994</v>
      </c>
    </row>
    <row r="211" spans="1:9" ht="132" customHeight="1">
      <c r="A211" s="355"/>
      <c r="B211" s="420" t="s">
        <v>465</v>
      </c>
      <c r="C211" s="461" t="s">
        <v>109</v>
      </c>
      <c r="D211" s="462" t="s">
        <v>69</v>
      </c>
      <c r="E211" s="462" t="s">
        <v>61</v>
      </c>
      <c r="F211" s="463" t="s">
        <v>363</v>
      </c>
      <c r="G211" s="193"/>
      <c r="H211" s="369">
        <f>SUM(H212:H213)</f>
        <v>37672</v>
      </c>
      <c r="I211" s="369">
        <f>SUM(I212:I213)</f>
        <v>39179.199999999997</v>
      </c>
    </row>
    <row r="212" spans="1:9" ht="37.5">
      <c r="A212" s="355"/>
      <c r="B212" s="421" t="s">
        <v>79</v>
      </c>
      <c r="C212" s="461" t="s">
        <v>109</v>
      </c>
      <c r="D212" s="462" t="s">
        <v>69</v>
      </c>
      <c r="E212" s="462" t="s">
        <v>61</v>
      </c>
      <c r="F212" s="463" t="s">
        <v>363</v>
      </c>
      <c r="G212" s="193" t="s">
        <v>80</v>
      </c>
      <c r="H212" s="369">
        <f>'прил13(ведом 21-22)'!M416</f>
        <v>188</v>
      </c>
      <c r="I212" s="369">
        <f>'прил13(ведом 21-22)'!N416</f>
        <v>196.2</v>
      </c>
    </row>
    <row r="213" spans="1:9" ht="30" customHeight="1">
      <c r="A213" s="355"/>
      <c r="B213" s="368" t="s">
        <v>152</v>
      </c>
      <c r="C213" s="461" t="s">
        <v>109</v>
      </c>
      <c r="D213" s="462" t="s">
        <v>69</v>
      </c>
      <c r="E213" s="462" t="s">
        <v>61</v>
      </c>
      <c r="F213" s="463" t="s">
        <v>363</v>
      </c>
      <c r="G213" s="193" t="s">
        <v>153</v>
      </c>
      <c r="H213" s="369">
        <f>'прил13(ведом 21-22)'!M417</f>
        <v>37484</v>
      </c>
      <c r="I213" s="369">
        <f>'прил13(ведом 21-22)'!N417</f>
        <v>38983</v>
      </c>
    </row>
    <row r="214" spans="1:9" ht="93.75">
      <c r="A214" s="355"/>
      <c r="B214" s="368" t="s">
        <v>466</v>
      </c>
      <c r="C214" s="461" t="s">
        <v>109</v>
      </c>
      <c r="D214" s="462" t="s">
        <v>69</v>
      </c>
      <c r="E214" s="462" t="s">
        <v>61</v>
      </c>
      <c r="F214" s="463" t="s">
        <v>364</v>
      </c>
      <c r="G214" s="193"/>
      <c r="H214" s="369">
        <f>SUM(H215:H216)</f>
        <v>30353.4</v>
      </c>
      <c r="I214" s="369">
        <f>SUM(I215:I216)</f>
        <v>31568.6</v>
      </c>
    </row>
    <row r="215" spans="1:9" ht="37.5">
      <c r="A215" s="355"/>
      <c r="B215" s="421" t="s">
        <v>79</v>
      </c>
      <c r="C215" s="461" t="s">
        <v>109</v>
      </c>
      <c r="D215" s="462" t="s">
        <v>69</v>
      </c>
      <c r="E215" s="462" t="s">
        <v>61</v>
      </c>
      <c r="F215" s="463" t="s">
        <v>364</v>
      </c>
      <c r="G215" s="193" t="s">
        <v>80</v>
      </c>
      <c r="H215" s="369">
        <f>'прил13(ведом 21-22)'!M419</f>
        <v>151.4</v>
      </c>
      <c r="I215" s="369">
        <f>'прил13(ведом 21-22)'!N419</f>
        <v>157.6</v>
      </c>
    </row>
    <row r="216" spans="1:9" ht="26.25" customHeight="1">
      <c r="A216" s="355"/>
      <c r="B216" s="368" t="s">
        <v>152</v>
      </c>
      <c r="C216" s="461" t="s">
        <v>109</v>
      </c>
      <c r="D216" s="462" t="s">
        <v>69</v>
      </c>
      <c r="E216" s="462" t="s">
        <v>61</v>
      </c>
      <c r="F216" s="463" t="s">
        <v>364</v>
      </c>
      <c r="G216" s="193" t="s">
        <v>153</v>
      </c>
      <c r="H216" s="369">
        <f>'прил13(ведом 21-22)'!M420</f>
        <v>30202</v>
      </c>
      <c r="I216" s="369">
        <f>'прил13(ведом 21-22)'!N420</f>
        <v>31411</v>
      </c>
    </row>
    <row r="217" spans="1:9" ht="93.75">
      <c r="A217" s="355"/>
      <c r="B217" s="368" t="s">
        <v>467</v>
      </c>
      <c r="C217" s="461" t="s">
        <v>109</v>
      </c>
      <c r="D217" s="462" t="s">
        <v>69</v>
      </c>
      <c r="E217" s="462" t="s">
        <v>61</v>
      </c>
      <c r="F217" s="463" t="s">
        <v>365</v>
      </c>
      <c r="G217" s="193"/>
      <c r="H217" s="369">
        <f>SUM(H218:H219)</f>
        <v>529.5</v>
      </c>
      <c r="I217" s="369">
        <f>SUM(I218:I219)</f>
        <v>550.70000000000005</v>
      </c>
    </row>
    <row r="218" spans="1:9" ht="37.5">
      <c r="A218" s="355"/>
      <c r="B218" s="368" t="s">
        <v>79</v>
      </c>
      <c r="C218" s="461" t="s">
        <v>109</v>
      </c>
      <c r="D218" s="462" t="s">
        <v>69</v>
      </c>
      <c r="E218" s="462" t="s">
        <v>61</v>
      </c>
      <c r="F218" s="463" t="s">
        <v>365</v>
      </c>
      <c r="G218" s="193" t="s">
        <v>80</v>
      </c>
      <c r="H218" s="369">
        <f>'прил13(ведом 21-22)'!M422</f>
        <v>2.7</v>
      </c>
      <c r="I218" s="369">
        <f>'прил13(ведом 21-22)'!N422</f>
        <v>2.7</v>
      </c>
    </row>
    <row r="219" spans="1:9" ht="29.25" customHeight="1">
      <c r="A219" s="355"/>
      <c r="B219" s="368" t="s">
        <v>152</v>
      </c>
      <c r="C219" s="461" t="s">
        <v>109</v>
      </c>
      <c r="D219" s="462" t="s">
        <v>69</v>
      </c>
      <c r="E219" s="462" t="s">
        <v>61</v>
      </c>
      <c r="F219" s="463" t="s">
        <v>365</v>
      </c>
      <c r="G219" s="193" t="s">
        <v>153</v>
      </c>
      <c r="H219" s="369">
        <f>'прил13(ведом 21-22)'!M423</f>
        <v>526.79999999999995</v>
      </c>
      <c r="I219" s="369">
        <f>'прил13(ведом 21-22)'!N423</f>
        <v>548</v>
      </c>
    </row>
    <row r="220" spans="1:9" ht="112.5">
      <c r="A220" s="355"/>
      <c r="B220" s="368" t="s">
        <v>474</v>
      </c>
      <c r="C220" s="461" t="s">
        <v>109</v>
      </c>
      <c r="D220" s="462" t="s">
        <v>69</v>
      </c>
      <c r="E220" s="462" t="s">
        <v>61</v>
      </c>
      <c r="F220" s="463" t="s">
        <v>366</v>
      </c>
      <c r="G220" s="193"/>
      <c r="H220" s="369">
        <f>SUM(H221:H222)</f>
        <v>755.4</v>
      </c>
      <c r="I220" s="369">
        <f>SUM(I221:I222)</f>
        <v>785.6</v>
      </c>
    </row>
    <row r="221" spans="1:9" ht="37.5">
      <c r="A221" s="355"/>
      <c r="B221" s="368" t="s">
        <v>79</v>
      </c>
      <c r="C221" s="461" t="s">
        <v>109</v>
      </c>
      <c r="D221" s="462" t="s">
        <v>69</v>
      </c>
      <c r="E221" s="462" t="s">
        <v>61</v>
      </c>
      <c r="F221" s="463" t="s">
        <v>366</v>
      </c>
      <c r="G221" s="193" t="s">
        <v>80</v>
      </c>
      <c r="H221" s="369">
        <f>'прил13(ведом 21-22)'!M425</f>
        <v>3.4</v>
      </c>
      <c r="I221" s="369">
        <f>'прил13(ведом 21-22)'!N425</f>
        <v>3.6</v>
      </c>
    </row>
    <row r="222" spans="1:9" ht="25.5" customHeight="1">
      <c r="A222" s="355"/>
      <c r="B222" s="368" t="s">
        <v>152</v>
      </c>
      <c r="C222" s="461" t="s">
        <v>109</v>
      </c>
      <c r="D222" s="462" t="s">
        <v>69</v>
      </c>
      <c r="E222" s="462" t="s">
        <v>61</v>
      </c>
      <c r="F222" s="463" t="s">
        <v>366</v>
      </c>
      <c r="G222" s="193" t="s">
        <v>153</v>
      </c>
      <c r="H222" s="369">
        <f>'прил13(ведом 21-22)'!M426</f>
        <v>752</v>
      </c>
      <c r="I222" s="369">
        <f>'прил13(ведом 21-22)'!N426</f>
        <v>782</v>
      </c>
    </row>
    <row r="223" spans="1:9" ht="135" customHeight="1">
      <c r="A223" s="355"/>
      <c r="B223" s="422" t="s">
        <v>464</v>
      </c>
      <c r="C223" s="461" t="s">
        <v>109</v>
      </c>
      <c r="D223" s="462" t="s">
        <v>69</v>
      </c>
      <c r="E223" s="462" t="s">
        <v>61</v>
      </c>
      <c r="F223" s="463" t="s">
        <v>362</v>
      </c>
      <c r="G223" s="193"/>
      <c r="H223" s="369">
        <f>H224</f>
        <v>16.3</v>
      </c>
      <c r="I223" s="369">
        <f>I224</f>
        <v>16.3</v>
      </c>
    </row>
    <row r="224" spans="1:9" ht="37.5">
      <c r="A224" s="355"/>
      <c r="B224" s="368" t="s">
        <v>152</v>
      </c>
      <c r="C224" s="461" t="s">
        <v>109</v>
      </c>
      <c r="D224" s="462" t="s">
        <v>69</v>
      </c>
      <c r="E224" s="462" t="s">
        <v>61</v>
      </c>
      <c r="F224" s="463" t="s">
        <v>362</v>
      </c>
      <c r="G224" s="193" t="s">
        <v>153</v>
      </c>
      <c r="H224" s="369">
        <f>'прил13(ведом 21-22)'!M409</f>
        <v>16.3</v>
      </c>
      <c r="I224" s="369">
        <f>'прил13(ведом 21-22)'!N409</f>
        <v>16.3</v>
      </c>
    </row>
    <row r="225" spans="1:9" ht="75">
      <c r="A225" s="355"/>
      <c r="B225" s="423" t="s">
        <v>374</v>
      </c>
      <c r="C225" s="424" t="s">
        <v>109</v>
      </c>
      <c r="D225" s="425" t="s">
        <v>69</v>
      </c>
      <c r="E225" s="425" t="s">
        <v>63</v>
      </c>
      <c r="F225" s="426" t="s">
        <v>68</v>
      </c>
      <c r="G225" s="427"/>
      <c r="H225" s="369">
        <f>H228+H226</f>
        <v>57211.6</v>
      </c>
      <c r="I225" s="369">
        <f>I228+I226</f>
        <v>54118.999999999993</v>
      </c>
    </row>
    <row r="226" spans="1:9" ht="94.5" customHeight="1">
      <c r="A226" s="355"/>
      <c r="B226" s="428" t="s">
        <v>654</v>
      </c>
      <c r="C226" s="372" t="s">
        <v>109</v>
      </c>
      <c r="D226" s="373" t="s">
        <v>69</v>
      </c>
      <c r="E226" s="373" t="s">
        <v>63</v>
      </c>
      <c r="F226" s="429" t="s">
        <v>656</v>
      </c>
      <c r="G226" s="375"/>
      <c r="H226" s="369">
        <f>H227</f>
        <v>10813.4</v>
      </c>
      <c r="I226" s="369">
        <f>I227</f>
        <v>9268.6</v>
      </c>
    </row>
    <row r="227" spans="1:9" ht="37.5">
      <c r="A227" s="355"/>
      <c r="B227" s="428" t="s">
        <v>242</v>
      </c>
      <c r="C227" s="372" t="s">
        <v>109</v>
      </c>
      <c r="D227" s="373" t="s">
        <v>69</v>
      </c>
      <c r="E227" s="373" t="s">
        <v>63</v>
      </c>
      <c r="F227" s="429" t="s">
        <v>656</v>
      </c>
      <c r="G227" s="375" t="s">
        <v>243</v>
      </c>
      <c r="H227" s="369">
        <f>'прил13(ведом 21-22)'!M195</f>
        <v>10813.4</v>
      </c>
      <c r="I227" s="369">
        <f>'прил13(ведом 21-22)'!N195</f>
        <v>9268.6</v>
      </c>
    </row>
    <row r="228" spans="1:9" ht="98.25" customHeight="1">
      <c r="A228" s="355"/>
      <c r="B228" s="428" t="s">
        <v>654</v>
      </c>
      <c r="C228" s="372" t="s">
        <v>109</v>
      </c>
      <c r="D228" s="373" t="s">
        <v>69</v>
      </c>
      <c r="E228" s="373" t="s">
        <v>63</v>
      </c>
      <c r="F228" s="429" t="s">
        <v>655</v>
      </c>
      <c r="G228" s="375"/>
      <c r="H228" s="369">
        <f>H229</f>
        <v>46398.2</v>
      </c>
      <c r="I228" s="369">
        <f>I229</f>
        <v>44850.399999999994</v>
      </c>
    </row>
    <row r="229" spans="1:9" ht="37.5">
      <c r="A229" s="355"/>
      <c r="B229" s="428" t="s">
        <v>242</v>
      </c>
      <c r="C229" s="372" t="s">
        <v>109</v>
      </c>
      <c r="D229" s="373" t="s">
        <v>69</v>
      </c>
      <c r="E229" s="373" t="s">
        <v>63</v>
      </c>
      <c r="F229" s="429" t="s">
        <v>655</v>
      </c>
      <c r="G229" s="375" t="s">
        <v>243</v>
      </c>
      <c r="H229" s="369">
        <f>'прил13(ведом 21-22)'!M197</f>
        <v>46398.2</v>
      </c>
      <c r="I229" s="369">
        <f>'прил13(ведом 21-22)'!N197</f>
        <v>44850.399999999994</v>
      </c>
    </row>
    <row r="230" spans="1:9" ht="37.5">
      <c r="A230" s="355"/>
      <c r="B230" s="368" t="s">
        <v>268</v>
      </c>
      <c r="C230" s="461" t="s">
        <v>109</v>
      </c>
      <c r="D230" s="462" t="s">
        <v>69</v>
      </c>
      <c r="E230" s="462" t="s">
        <v>89</v>
      </c>
      <c r="F230" s="463" t="s">
        <v>68</v>
      </c>
      <c r="G230" s="193"/>
      <c r="H230" s="369">
        <f>H231+H234+H237</f>
        <v>8345.1</v>
      </c>
      <c r="I230" s="369">
        <f>I231+I234+I237</f>
        <v>8784.7000000000007</v>
      </c>
    </row>
    <row r="231" spans="1:9" ht="75">
      <c r="A231" s="355"/>
      <c r="B231" s="368" t="s">
        <v>270</v>
      </c>
      <c r="C231" s="461" t="s">
        <v>109</v>
      </c>
      <c r="D231" s="462" t="s">
        <v>69</v>
      </c>
      <c r="E231" s="462" t="s">
        <v>89</v>
      </c>
      <c r="F231" s="463" t="s">
        <v>368</v>
      </c>
      <c r="G231" s="193"/>
      <c r="H231" s="369">
        <f>SUM(H232:H233)</f>
        <v>6385.5</v>
      </c>
      <c r="I231" s="369">
        <f>SUM(I232:I233)</f>
        <v>6385.5</v>
      </c>
    </row>
    <row r="232" spans="1:9" ht="93.75">
      <c r="A232" s="355"/>
      <c r="B232" s="368" t="s">
        <v>73</v>
      </c>
      <c r="C232" s="461" t="s">
        <v>109</v>
      </c>
      <c r="D232" s="462" t="s">
        <v>69</v>
      </c>
      <c r="E232" s="462" t="s">
        <v>89</v>
      </c>
      <c r="F232" s="463" t="s">
        <v>368</v>
      </c>
      <c r="G232" s="193" t="s">
        <v>74</v>
      </c>
      <c r="H232" s="369">
        <f>'прил13(ведом 21-22)'!M432</f>
        <v>5725.5</v>
      </c>
      <c r="I232" s="369">
        <f>'прил13(ведом 21-22)'!N432</f>
        <v>5725.5</v>
      </c>
    </row>
    <row r="233" spans="1:9" ht="37.5">
      <c r="A233" s="355"/>
      <c r="B233" s="368" t="s">
        <v>79</v>
      </c>
      <c r="C233" s="430" t="s">
        <v>109</v>
      </c>
      <c r="D233" s="431" t="s">
        <v>69</v>
      </c>
      <c r="E233" s="431" t="s">
        <v>89</v>
      </c>
      <c r="F233" s="432" t="s">
        <v>368</v>
      </c>
      <c r="G233" s="193" t="s">
        <v>80</v>
      </c>
      <c r="H233" s="369">
        <f>'прил13(ведом 21-22)'!M433</f>
        <v>660</v>
      </c>
      <c r="I233" s="369">
        <f>'прил13(ведом 21-22)'!N433</f>
        <v>660</v>
      </c>
    </row>
    <row r="234" spans="1:9" ht="56.25">
      <c r="A234" s="355"/>
      <c r="B234" s="207" t="s">
        <v>504</v>
      </c>
      <c r="C234" s="461" t="s">
        <v>109</v>
      </c>
      <c r="D234" s="462" t="s">
        <v>69</v>
      </c>
      <c r="E234" s="462" t="s">
        <v>89</v>
      </c>
      <c r="F234" s="463" t="s">
        <v>369</v>
      </c>
      <c r="G234" s="193"/>
      <c r="H234" s="369">
        <f>SUM(H235:H236)</f>
        <v>640.79999999999995</v>
      </c>
      <c r="I234" s="369">
        <f>SUM(I235:I236)</f>
        <v>640.79999999999995</v>
      </c>
    </row>
    <row r="235" spans="1:9" ht="93.75">
      <c r="A235" s="355"/>
      <c r="B235" s="368" t="s">
        <v>73</v>
      </c>
      <c r="C235" s="461" t="s">
        <v>109</v>
      </c>
      <c r="D235" s="462" t="s">
        <v>69</v>
      </c>
      <c r="E235" s="462" t="s">
        <v>89</v>
      </c>
      <c r="F235" s="463" t="s">
        <v>369</v>
      </c>
      <c r="G235" s="193" t="s">
        <v>74</v>
      </c>
      <c r="H235" s="369">
        <f>'прил13(ведом 21-22)'!M435</f>
        <v>580.79999999999995</v>
      </c>
      <c r="I235" s="369">
        <f>'прил13(ведом 21-22)'!N435</f>
        <v>580.79999999999995</v>
      </c>
    </row>
    <row r="236" spans="1:9" ht="37.5">
      <c r="A236" s="355"/>
      <c r="B236" s="368" t="s">
        <v>79</v>
      </c>
      <c r="C236" s="461" t="s">
        <v>109</v>
      </c>
      <c r="D236" s="462" t="s">
        <v>69</v>
      </c>
      <c r="E236" s="462" t="s">
        <v>89</v>
      </c>
      <c r="F236" s="463" t="s">
        <v>369</v>
      </c>
      <c r="G236" s="193" t="s">
        <v>80</v>
      </c>
      <c r="H236" s="369">
        <f>'прил13(ведом 21-22)'!M436</f>
        <v>60</v>
      </c>
      <c r="I236" s="369">
        <f>'прил13(ведом 21-22)'!N436</f>
        <v>60</v>
      </c>
    </row>
    <row r="237" spans="1:9" ht="223.5" customHeight="1">
      <c r="A237" s="355"/>
      <c r="B237" s="368" t="s">
        <v>271</v>
      </c>
      <c r="C237" s="461" t="s">
        <v>109</v>
      </c>
      <c r="D237" s="462" t="s">
        <v>69</v>
      </c>
      <c r="E237" s="462" t="s">
        <v>89</v>
      </c>
      <c r="F237" s="463" t="s">
        <v>370</v>
      </c>
      <c r="G237" s="193"/>
      <c r="H237" s="369">
        <f>H238+H239</f>
        <v>1318.8</v>
      </c>
      <c r="I237" s="369">
        <f>I238+I239</f>
        <v>1758.4</v>
      </c>
    </row>
    <row r="238" spans="1:9" ht="93.75">
      <c r="A238" s="355"/>
      <c r="B238" s="368" t="s">
        <v>73</v>
      </c>
      <c r="C238" s="461" t="s">
        <v>109</v>
      </c>
      <c r="D238" s="462" t="s">
        <v>69</v>
      </c>
      <c r="E238" s="462" t="s">
        <v>89</v>
      </c>
      <c r="F238" s="463" t="s">
        <v>370</v>
      </c>
      <c r="G238" s="193" t="s">
        <v>74</v>
      </c>
      <c r="H238" s="369">
        <f>'прил13(ведом 21-22)'!M438</f>
        <v>1228.8</v>
      </c>
      <c r="I238" s="369">
        <f>'прил13(ведом 21-22)'!N438</f>
        <v>1668.4</v>
      </c>
    </row>
    <row r="239" spans="1:9" ht="37.5">
      <c r="A239" s="355"/>
      <c r="B239" s="368" t="s">
        <v>79</v>
      </c>
      <c r="C239" s="461" t="s">
        <v>109</v>
      </c>
      <c r="D239" s="462" t="s">
        <v>69</v>
      </c>
      <c r="E239" s="462" t="s">
        <v>89</v>
      </c>
      <c r="F239" s="463" t="s">
        <v>370</v>
      </c>
      <c r="G239" s="193" t="s">
        <v>80</v>
      </c>
      <c r="H239" s="369">
        <f>'прил13(ведом 21-22)'!M439</f>
        <v>90</v>
      </c>
      <c r="I239" s="369">
        <f>'прил13(ведом 21-22)'!N439</f>
        <v>90</v>
      </c>
    </row>
    <row r="240" spans="1:9" ht="77.25" customHeight="1">
      <c r="A240" s="355"/>
      <c r="B240" s="210" t="s">
        <v>470</v>
      </c>
      <c r="C240" s="461" t="s">
        <v>109</v>
      </c>
      <c r="D240" s="462" t="s">
        <v>69</v>
      </c>
      <c r="E240" s="462" t="s">
        <v>76</v>
      </c>
      <c r="F240" s="463" t="s">
        <v>68</v>
      </c>
      <c r="G240" s="193"/>
      <c r="H240" s="369">
        <f>H241</f>
        <v>552</v>
      </c>
      <c r="I240" s="369">
        <f>I241</f>
        <v>0</v>
      </c>
    </row>
    <row r="241" spans="1:9" ht="75">
      <c r="A241" s="355"/>
      <c r="B241" s="210" t="s">
        <v>458</v>
      </c>
      <c r="C241" s="461" t="s">
        <v>109</v>
      </c>
      <c r="D241" s="462" t="s">
        <v>69</v>
      </c>
      <c r="E241" s="462" t="s">
        <v>76</v>
      </c>
      <c r="F241" s="463" t="s">
        <v>457</v>
      </c>
      <c r="G241" s="193"/>
      <c r="H241" s="369">
        <f>H242</f>
        <v>552</v>
      </c>
      <c r="I241" s="369">
        <f>I242</f>
        <v>0</v>
      </c>
    </row>
    <row r="242" spans="1:9" ht="26.25" customHeight="1">
      <c r="A242" s="355"/>
      <c r="B242" s="211" t="s">
        <v>152</v>
      </c>
      <c r="C242" s="461" t="s">
        <v>109</v>
      </c>
      <c r="D242" s="462" t="s">
        <v>69</v>
      </c>
      <c r="E242" s="462" t="s">
        <v>76</v>
      </c>
      <c r="F242" s="463" t="s">
        <v>457</v>
      </c>
      <c r="G242" s="193" t="s">
        <v>153</v>
      </c>
      <c r="H242" s="369">
        <f>'прил13(ведом 21-22)'!M117</f>
        <v>552</v>
      </c>
      <c r="I242" s="369">
        <f>'прил13(ведом 21-22)'!N117</f>
        <v>0</v>
      </c>
    </row>
    <row r="243" spans="1:9" ht="18.75">
      <c r="A243" s="355"/>
      <c r="B243" s="211"/>
      <c r="C243" s="462"/>
      <c r="D243" s="462"/>
      <c r="E243" s="462"/>
      <c r="F243" s="463"/>
      <c r="G243" s="193"/>
      <c r="H243" s="369"/>
      <c r="I243" s="369"/>
    </row>
    <row r="244" spans="1:9" ht="75">
      <c r="A244" s="378">
        <v>9</v>
      </c>
      <c r="B244" s="566" t="s">
        <v>421</v>
      </c>
      <c r="C244" s="567" t="s">
        <v>136</v>
      </c>
      <c r="D244" s="568" t="s">
        <v>66</v>
      </c>
      <c r="E244" s="568" t="s">
        <v>67</v>
      </c>
      <c r="F244" s="569" t="s">
        <v>68</v>
      </c>
      <c r="G244" s="477"/>
      <c r="H244" s="366">
        <f t="shared" ref="H244:I247" si="6">H245</f>
        <v>2355.4</v>
      </c>
      <c r="I244" s="366">
        <f t="shared" si="6"/>
        <v>0</v>
      </c>
    </row>
    <row r="245" spans="1:9" ht="37.5">
      <c r="A245" s="355"/>
      <c r="B245" s="423" t="s">
        <v>423</v>
      </c>
      <c r="C245" s="372" t="s">
        <v>136</v>
      </c>
      <c r="D245" s="373" t="s">
        <v>69</v>
      </c>
      <c r="E245" s="373" t="s">
        <v>67</v>
      </c>
      <c r="F245" s="429" t="s">
        <v>68</v>
      </c>
      <c r="G245" s="375"/>
      <c r="H245" s="369">
        <f t="shared" si="6"/>
        <v>2355.4</v>
      </c>
      <c r="I245" s="369">
        <f t="shared" si="6"/>
        <v>0</v>
      </c>
    </row>
    <row r="246" spans="1:9" ht="56.25">
      <c r="A246" s="355"/>
      <c r="B246" s="423" t="s">
        <v>488</v>
      </c>
      <c r="C246" s="372" t="s">
        <v>136</v>
      </c>
      <c r="D246" s="373" t="s">
        <v>69</v>
      </c>
      <c r="E246" s="373" t="s">
        <v>61</v>
      </c>
      <c r="F246" s="429" t="s">
        <v>68</v>
      </c>
      <c r="G246" s="375"/>
      <c r="H246" s="369">
        <f t="shared" si="6"/>
        <v>2355.4</v>
      </c>
      <c r="I246" s="369">
        <f t="shared" si="6"/>
        <v>0</v>
      </c>
    </row>
    <row r="247" spans="1:9" ht="25.5" customHeight="1">
      <c r="A247" s="355"/>
      <c r="B247" s="423" t="s">
        <v>652</v>
      </c>
      <c r="C247" s="372" t="s">
        <v>136</v>
      </c>
      <c r="D247" s="373" t="s">
        <v>69</v>
      </c>
      <c r="E247" s="373" t="s">
        <v>61</v>
      </c>
      <c r="F247" s="429" t="s">
        <v>653</v>
      </c>
      <c r="G247" s="375"/>
      <c r="H247" s="369">
        <f t="shared" si="6"/>
        <v>2355.4</v>
      </c>
      <c r="I247" s="369">
        <f t="shared" si="6"/>
        <v>0</v>
      </c>
    </row>
    <row r="248" spans="1:9" ht="37.5">
      <c r="A248" s="355"/>
      <c r="B248" s="423" t="s">
        <v>242</v>
      </c>
      <c r="C248" s="372" t="s">
        <v>136</v>
      </c>
      <c r="D248" s="373" t="s">
        <v>69</v>
      </c>
      <c r="E248" s="373" t="s">
        <v>61</v>
      </c>
      <c r="F248" s="429" t="s">
        <v>653</v>
      </c>
      <c r="G248" s="375" t="s">
        <v>243</v>
      </c>
      <c r="H248" s="369">
        <f>'прил13(ведом 21-22)'!M188</f>
        <v>2355.4</v>
      </c>
      <c r="I248" s="369">
        <f>'прил13(ведом 21-22)'!N188</f>
        <v>0</v>
      </c>
    </row>
    <row r="249" spans="1:9" ht="18.75">
      <c r="A249" s="355"/>
      <c r="B249" s="211"/>
      <c r="C249" s="462"/>
      <c r="D249" s="462"/>
      <c r="E249" s="462"/>
      <c r="F249" s="463"/>
      <c r="G249" s="193"/>
      <c r="H249" s="369"/>
      <c r="I249" s="369"/>
    </row>
    <row r="250" spans="1:9" s="367" customFormat="1" ht="56.25">
      <c r="A250" s="378">
        <v>10</v>
      </c>
      <c r="B250" s="391" t="s">
        <v>126</v>
      </c>
      <c r="C250" s="379" t="s">
        <v>93</v>
      </c>
      <c r="D250" s="379" t="s">
        <v>66</v>
      </c>
      <c r="E250" s="379" t="s">
        <v>67</v>
      </c>
      <c r="F250" s="380" t="s">
        <v>68</v>
      </c>
      <c r="G250" s="433"/>
      <c r="H250" s="366">
        <f>H251</f>
        <v>11254.2</v>
      </c>
      <c r="I250" s="366">
        <f>I251</f>
        <v>11254.2</v>
      </c>
    </row>
    <row r="251" spans="1:9" ht="18.75" customHeight="1">
      <c r="A251" s="355"/>
      <c r="B251" s="368" t="s">
        <v>428</v>
      </c>
      <c r="C251" s="461" t="s">
        <v>93</v>
      </c>
      <c r="D251" s="462" t="s">
        <v>69</v>
      </c>
      <c r="E251" s="462" t="s">
        <v>67</v>
      </c>
      <c r="F251" s="463" t="s">
        <v>68</v>
      </c>
      <c r="G251" s="387"/>
      <c r="H251" s="369">
        <f>H252+H255</f>
        <v>11254.2</v>
      </c>
      <c r="I251" s="369">
        <f>I252+I255</f>
        <v>11254.2</v>
      </c>
    </row>
    <row r="252" spans="1:9" ht="37.5">
      <c r="A252" s="355"/>
      <c r="B252" s="368" t="s">
        <v>127</v>
      </c>
      <c r="C252" s="461" t="s">
        <v>93</v>
      </c>
      <c r="D252" s="462" t="s">
        <v>69</v>
      </c>
      <c r="E252" s="462" t="s">
        <v>61</v>
      </c>
      <c r="F252" s="463" t="s">
        <v>68</v>
      </c>
      <c r="G252" s="387"/>
      <c r="H252" s="369">
        <f>H253</f>
        <v>11070.6</v>
      </c>
      <c r="I252" s="369">
        <f>I253</f>
        <v>11070.6</v>
      </c>
    </row>
    <row r="253" spans="1:9" ht="56.25">
      <c r="A253" s="355"/>
      <c r="B253" s="250" t="s">
        <v>638</v>
      </c>
      <c r="C253" s="461" t="s">
        <v>93</v>
      </c>
      <c r="D253" s="462" t="s">
        <v>69</v>
      </c>
      <c r="E253" s="462" t="s">
        <v>61</v>
      </c>
      <c r="F253" s="463" t="s">
        <v>86</v>
      </c>
      <c r="G253" s="193"/>
      <c r="H253" s="369">
        <f>H254</f>
        <v>11070.6</v>
      </c>
      <c r="I253" s="369">
        <f>I254</f>
        <v>11070.6</v>
      </c>
    </row>
    <row r="254" spans="1:9" ht="18.75">
      <c r="A254" s="355"/>
      <c r="B254" s="368" t="s">
        <v>81</v>
      </c>
      <c r="C254" s="461" t="s">
        <v>93</v>
      </c>
      <c r="D254" s="462" t="s">
        <v>69</v>
      </c>
      <c r="E254" s="462" t="s">
        <v>61</v>
      </c>
      <c r="F254" s="463" t="s">
        <v>86</v>
      </c>
      <c r="G254" s="193" t="s">
        <v>82</v>
      </c>
      <c r="H254" s="369">
        <f>'прил13(ведом 21-22)'!M84</f>
        <v>11070.6</v>
      </c>
      <c r="I254" s="369">
        <f>'прил13(ведом 21-22)'!N84</f>
        <v>11070.6</v>
      </c>
    </row>
    <row r="255" spans="1:9" ht="56.25">
      <c r="A255" s="355"/>
      <c r="B255" s="368" t="s">
        <v>128</v>
      </c>
      <c r="C255" s="461" t="s">
        <v>93</v>
      </c>
      <c r="D255" s="462" t="s">
        <v>69</v>
      </c>
      <c r="E255" s="462" t="s">
        <v>63</v>
      </c>
      <c r="F255" s="463" t="s">
        <v>68</v>
      </c>
      <c r="G255" s="193"/>
      <c r="H255" s="369">
        <f>H256</f>
        <v>183.6</v>
      </c>
      <c r="I255" s="369">
        <f>I256</f>
        <v>183.6</v>
      </c>
    </row>
    <row r="256" spans="1:9" ht="135" customHeight="1">
      <c r="A256" s="355"/>
      <c r="B256" s="207" t="s">
        <v>784</v>
      </c>
      <c r="C256" s="461" t="s">
        <v>93</v>
      </c>
      <c r="D256" s="462" t="s">
        <v>69</v>
      </c>
      <c r="E256" s="462" t="s">
        <v>63</v>
      </c>
      <c r="F256" s="463" t="s">
        <v>129</v>
      </c>
      <c r="G256" s="193"/>
      <c r="H256" s="369">
        <f>H257</f>
        <v>183.6</v>
      </c>
      <c r="I256" s="369">
        <f>I257</f>
        <v>183.6</v>
      </c>
    </row>
    <row r="257" spans="1:9" ht="37.5">
      <c r="A257" s="355"/>
      <c r="B257" s="368" t="s">
        <v>79</v>
      </c>
      <c r="C257" s="461" t="s">
        <v>93</v>
      </c>
      <c r="D257" s="462" t="s">
        <v>69</v>
      </c>
      <c r="E257" s="462" t="s">
        <v>63</v>
      </c>
      <c r="F257" s="463" t="s">
        <v>129</v>
      </c>
      <c r="G257" s="193" t="s">
        <v>80</v>
      </c>
      <c r="H257" s="369">
        <f>'прил13(ведом 21-22)'!M87</f>
        <v>183.6</v>
      </c>
      <c r="I257" s="369">
        <f>'прил13(ведом 21-22)'!N87</f>
        <v>183.6</v>
      </c>
    </row>
    <row r="258" spans="1:9" ht="18.75">
      <c r="A258" s="355"/>
      <c r="B258" s="377"/>
      <c r="C258" s="459"/>
      <c r="D258" s="459"/>
      <c r="E258" s="459"/>
      <c r="F258" s="460"/>
      <c r="G258" s="353"/>
      <c r="H258" s="369"/>
      <c r="I258" s="369"/>
    </row>
    <row r="259" spans="1:9" s="367" customFormat="1" ht="56.25">
      <c r="A259" s="378">
        <v>11</v>
      </c>
      <c r="B259" s="391" t="s">
        <v>131</v>
      </c>
      <c r="C259" s="379" t="s">
        <v>132</v>
      </c>
      <c r="D259" s="379" t="s">
        <v>66</v>
      </c>
      <c r="E259" s="379" t="s">
        <v>67</v>
      </c>
      <c r="F259" s="380" t="s">
        <v>68</v>
      </c>
      <c r="G259" s="365"/>
      <c r="H259" s="366">
        <f t="shared" ref="H259:I262" si="7">H260</f>
        <v>6753.2</v>
      </c>
      <c r="I259" s="366">
        <f t="shared" si="7"/>
        <v>7509.6</v>
      </c>
    </row>
    <row r="260" spans="1:9" s="367" customFormat="1" ht="19.5" customHeight="1">
      <c r="A260" s="355"/>
      <c r="B260" s="368" t="s">
        <v>428</v>
      </c>
      <c r="C260" s="461" t="s">
        <v>132</v>
      </c>
      <c r="D260" s="462" t="s">
        <v>69</v>
      </c>
      <c r="E260" s="462" t="s">
        <v>67</v>
      </c>
      <c r="F260" s="463" t="s">
        <v>68</v>
      </c>
      <c r="G260" s="193"/>
      <c r="H260" s="369">
        <f t="shared" si="7"/>
        <v>6753.2</v>
      </c>
      <c r="I260" s="369">
        <f t="shared" si="7"/>
        <v>7509.6</v>
      </c>
    </row>
    <row r="261" spans="1:9" s="367" customFormat="1" ht="75">
      <c r="A261" s="355"/>
      <c r="B261" s="368" t="s">
        <v>133</v>
      </c>
      <c r="C261" s="461" t="s">
        <v>132</v>
      </c>
      <c r="D261" s="462" t="s">
        <v>69</v>
      </c>
      <c r="E261" s="462" t="s">
        <v>61</v>
      </c>
      <c r="F261" s="463" t="s">
        <v>68</v>
      </c>
      <c r="G261" s="193"/>
      <c r="H261" s="369">
        <f t="shared" si="7"/>
        <v>6753.2</v>
      </c>
      <c r="I261" s="369">
        <f t="shared" si="7"/>
        <v>7509.6</v>
      </c>
    </row>
    <row r="262" spans="1:9" s="367" customFormat="1" ht="75">
      <c r="A262" s="355"/>
      <c r="B262" s="381" t="s">
        <v>134</v>
      </c>
      <c r="C262" s="461" t="s">
        <v>132</v>
      </c>
      <c r="D262" s="462" t="s">
        <v>69</v>
      </c>
      <c r="E262" s="462" t="s">
        <v>61</v>
      </c>
      <c r="F262" s="463" t="s">
        <v>135</v>
      </c>
      <c r="G262" s="193"/>
      <c r="H262" s="369">
        <f t="shared" si="7"/>
        <v>6753.2</v>
      </c>
      <c r="I262" s="369">
        <f t="shared" si="7"/>
        <v>7509.6</v>
      </c>
    </row>
    <row r="263" spans="1:9" ht="37.5">
      <c r="A263" s="355"/>
      <c r="B263" s="368" t="s">
        <v>79</v>
      </c>
      <c r="C263" s="461" t="s">
        <v>132</v>
      </c>
      <c r="D263" s="462" t="s">
        <v>69</v>
      </c>
      <c r="E263" s="462" t="s">
        <v>61</v>
      </c>
      <c r="F263" s="463" t="s">
        <v>135</v>
      </c>
      <c r="G263" s="193" t="s">
        <v>80</v>
      </c>
      <c r="H263" s="369">
        <f>'прил13(ведом 21-22)'!M93</f>
        <v>6753.2</v>
      </c>
      <c r="I263" s="369">
        <f>'прил13(ведом 21-22)'!N93</f>
        <v>7509.6</v>
      </c>
    </row>
    <row r="264" spans="1:9" ht="18.75">
      <c r="A264" s="355"/>
      <c r="B264" s="368"/>
      <c r="C264" s="462"/>
      <c r="D264" s="462"/>
      <c r="E264" s="462"/>
      <c r="F264" s="463"/>
      <c r="G264" s="193"/>
      <c r="H264" s="369"/>
      <c r="I264" s="369"/>
    </row>
    <row r="265" spans="1:9" ht="75">
      <c r="A265" s="378">
        <v>12</v>
      </c>
      <c r="B265" s="201" t="s">
        <v>139</v>
      </c>
      <c r="C265" s="204" t="s">
        <v>100</v>
      </c>
      <c r="D265" s="205" t="s">
        <v>66</v>
      </c>
      <c r="E265" s="205" t="s">
        <v>67</v>
      </c>
      <c r="F265" s="206" t="s">
        <v>68</v>
      </c>
      <c r="G265" s="203"/>
      <c r="H265" s="366">
        <f t="shared" ref="H265:I268" si="8">H266</f>
        <v>366.7</v>
      </c>
      <c r="I265" s="366">
        <f t="shared" si="8"/>
        <v>0</v>
      </c>
    </row>
    <row r="266" spans="1:9" ht="37.5">
      <c r="A266" s="355"/>
      <c r="B266" s="212" t="s">
        <v>144</v>
      </c>
      <c r="C266" s="461" t="s">
        <v>100</v>
      </c>
      <c r="D266" s="462" t="s">
        <v>120</v>
      </c>
      <c r="E266" s="462" t="s">
        <v>67</v>
      </c>
      <c r="F266" s="463" t="s">
        <v>68</v>
      </c>
      <c r="G266" s="193"/>
      <c r="H266" s="369">
        <f t="shared" si="8"/>
        <v>366.7</v>
      </c>
      <c r="I266" s="369">
        <f t="shared" si="8"/>
        <v>0</v>
      </c>
    </row>
    <row r="267" spans="1:9" ht="37.5">
      <c r="A267" s="355"/>
      <c r="B267" s="212" t="s">
        <v>145</v>
      </c>
      <c r="C267" s="461" t="s">
        <v>100</v>
      </c>
      <c r="D267" s="462" t="s">
        <v>120</v>
      </c>
      <c r="E267" s="462" t="s">
        <v>61</v>
      </c>
      <c r="F267" s="463" t="s">
        <v>68</v>
      </c>
      <c r="G267" s="193"/>
      <c r="H267" s="369">
        <f t="shared" si="8"/>
        <v>366.7</v>
      </c>
      <c r="I267" s="369">
        <f t="shared" si="8"/>
        <v>0</v>
      </c>
    </row>
    <row r="268" spans="1:9" ht="75">
      <c r="A268" s="355"/>
      <c r="B268" s="212" t="s">
        <v>146</v>
      </c>
      <c r="C268" s="461" t="s">
        <v>100</v>
      </c>
      <c r="D268" s="462" t="s">
        <v>120</v>
      </c>
      <c r="E268" s="462" t="s">
        <v>61</v>
      </c>
      <c r="F268" s="463" t="s">
        <v>147</v>
      </c>
      <c r="G268" s="193"/>
      <c r="H268" s="369">
        <f t="shared" si="8"/>
        <v>366.7</v>
      </c>
      <c r="I268" s="369">
        <f t="shared" si="8"/>
        <v>0</v>
      </c>
    </row>
    <row r="269" spans="1:9" ht="37.5">
      <c r="A269" s="355"/>
      <c r="B269" s="207" t="s">
        <v>79</v>
      </c>
      <c r="C269" s="461" t="s">
        <v>100</v>
      </c>
      <c r="D269" s="462" t="s">
        <v>120</v>
      </c>
      <c r="E269" s="462" t="s">
        <v>61</v>
      </c>
      <c r="F269" s="463" t="s">
        <v>147</v>
      </c>
      <c r="G269" s="193" t="s">
        <v>80</v>
      </c>
      <c r="H269" s="369">
        <f>'прил13(ведом 21-22)'!M99</f>
        <v>366.7</v>
      </c>
      <c r="I269" s="369">
        <f>'прил13(ведом 21-22)'!N99</f>
        <v>0</v>
      </c>
    </row>
    <row r="270" spans="1:9" ht="18.75">
      <c r="A270" s="355"/>
      <c r="B270" s="207"/>
      <c r="C270" s="462"/>
      <c r="D270" s="462"/>
      <c r="E270" s="462"/>
      <c r="F270" s="463"/>
      <c r="G270" s="193"/>
      <c r="H270" s="369"/>
      <c r="I270" s="369"/>
    </row>
    <row r="271" spans="1:9" ht="75">
      <c r="A271" s="378">
        <v>13</v>
      </c>
      <c r="B271" s="201" t="s">
        <v>148</v>
      </c>
      <c r="C271" s="204" t="s">
        <v>119</v>
      </c>
      <c r="D271" s="205" t="s">
        <v>66</v>
      </c>
      <c r="E271" s="205" t="s">
        <v>67</v>
      </c>
      <c r="F271" s="206" t="s">
        <v>68</v>
      </c>
      <c r="G271" s="203"/>
      <c r="H271" s="366">
        <f t="shared" ref="H271:I274" si="9">H272</f>
        <v>779</v>
      </c>
      <c r="I271" s="366">
        <f t="shared" si="9"/>
        <v>779</v>
      </c>
    </row>
    <row r="272" spans="1:9" ht="30" customHeight="1">
      <c r="A272" s="355"/>
      <c r="B272" s="207" t="s">
        <v>428</v>
      </c>
      <c r="C272" s="461" t="s">
        <v>119</v>
      </c>
      <c r="D272" s="462" t="s">
        <v>69</v>
      </c>
      <c r="E272" s="462" t="s">
        <v>67</v>
      </c>
      <c r="F272" s="463" t="s">
        <v>68</v>
      </c>
      <c r="G272" s="193"/>
      <c r="H272" s="369">
        <f t="shared" si="9"/>
        <v>779</v>
      </c>
      <c r="I272" s="369">
        <f t="shared" si="9"/>
        <v>779</v>
      </c>
    </row>
    <row r="273" spans="1:9" ht="56.25">
      <c r="A273" s="355"/>
      <c r="B273" s="212" t="s">
        <v>382</v>
      </c>
      <c r="C273" s="461" t="s">
        <v>119</v>
      </c>
      <c r="D273" s="462" t="s">
        <v>69</v>
      </c>
      <c r="E273" s="462" t="s">
        <v>61</v>
      </c>
      <c r="F273" s="463" t="s">
        <v>68</v>
      </c>
      <c r="G273" s="193"/>
      <c r="H273" s="369">
        <f t="shared" si="9"/>
        <v>779</v>
      </c>
      <c r="I273" s="369">
        <f t="shared" si="9"/>
        <v>779</v>
      </c>
    </row>
    <row r="274" spans="1:9" ht="56.25">
      <c r="A274" s="619"/>
      <c r="B274" s="612" t="s">
        <v>537</v>
      </c>
      <c r="C274" s="615" t="s">
        <v>119</v>
      </c>
      <c r="D274" s="616" t="s">
        <v>69</v>
      </c>
      <c r="E274" s="616" t="s">
        <v>61</v>
      </c>
      <c r="F274" s="617" t="s">
        <v>536</v>
      </c>
      <c r="G274" s="614"/>
      <c r="H274" s="620">
        <f t="shared" si="9"/>
        <v>779</v>
      </c>
      <c r="I274" s="620">
        <f t="shared" si="9"/>
        <v>779</v>
      </c>
    </row>
    <row r="275" spans="1:9" ht="37.5">
      <c r="A275" s="619"/>
      <c r="B275" s="612" t="s">
        <v>79</v>
      </c>
      <c r="C275" s="615" t="s">
        <v>119</v>
      </c>
      <c r="D275" s="616" t="s">
        <v>69</v>
      </c>
      <c r="E275" s="616" t="s">
        <v>61</v>
      </c>
      <c r="F275" s="617" t="s">
        <v>536</v>
      </c>
      <c r="G275" s="614" t="s">
        <v>80</v>
      </c>
      <c r="H275" s="620">
        <f>'прил13(ведом 21-22)'!M104</f>
        <v>779</v>
      </c>
      <c r="I275" s="620">
        <f>'прил13(ведом 21-22)'!N104</f>
        <v>779</v>
      </c>
    </row>
    <row r="276" spans="1:9" ht="18.75">
      <c r="A276" s="355"/>
      <c r="B276" s="377"/>
      <c r="C276" s="459"/>
      <c r="D276" s="459"/>
      <c r="E276" s="459"/>
      <c r="F276" s="460"/>
      <c r="G276" s="353"/>
      <c r="H276" s="369"/>
      <c r="I276" s="369"/>
    </row>
    <row r="277" spans="1:9" s="367" customFormat="1" ht="56.25">
      <c r="A277" s="378">
        <v>14</v>
      </c>
      <c r="B277" s="391" t="s">
        <v>64</v>
      </c>
      <c r="C277" s="379" t="s">
        <v>65</v>
      </c>
      <c r="D277" s="379" t="s">
        <v>66</v>
      </c>
      <c r="E277" s="379" t="s">
        <v>67</v>
      </c>
      <c r="F277" s="380" t="s">
        <v>68</v>
      </c>
      <c r="G277" s="365"/>
      <c r="H277" s="366">
        <f>H278</f>
        <v>81445.399999999994</v>
      </c>
      <c r="I277" s="366">
        <f>I278</f>
        <v>80844.800000000003</v>
      </c>
    </row>
    <row r="278" spans="1:9" s="367" customFormat="1" ht="37.5">
      <c r="A278" s="355"/>
      <c r="B278" s="368" t="s">
        <v>428</v>
      </c>
      <c r="C278" s="461" t="s">
        <v>65</v>
      </c>
      <c r="D278" s="462" t="s">
        <v>69</v>
      </c>
      <c r="E278" s="462" t="s">
        <v>67</v>
      </c>
      <c r="F278" s="463" t="s">
        <v>68</v>
      </c>
      <c r="G278" s="193"/>
      <c r="H278" s="369">
        <f>H279+H282+H303+H310+H300+H307</f>
        <v>81445.399999999994</v>
      </c>
      <c r="I278" s="369">
        <f>I279+I282+I303+I310+I300+I307</f>
        <v>80844.800000000003</v>
      </c>
    </row>
    <row r="279" spans="1:9" s="367" customFormat="1" ht="37.5">
      <c r="A279" s="355"/>
      <c r="B279" s="368" t="s">
        <v>70</v>
      </c>
      <c r="C279" s="461" t="s">
        <v>65</v>
      </c>
      <c r="D279" s="462" t="s">
        <v>69</v>
      </c>
      <c r="E279" s="462" t="s">
        <v>61</v>
      </c>
      <c r="F279" s="463" t="s">
        <v>68</v>
      </c>
      <c r="G279" s="193"/>
      <c r="H279" s="369">
        <f>H280</f>
        <v>2046.6</v>
      </c>
      <c r="I279" s="369">
        <f>I280</f>
        <v>2046.6</v>
      </c>
    </row>
    <row r="280" spans="1:9" s="367" customFormat="1" ht="37.5">
      <c r="A280" s="355"/>
      <c r="B280" s="368" t="s">
        <v>71</v>
      </c>
      <c r="C280" s="461" t="s">
        <v>65</v>
      </c>
      <c r="D280" s="462" t="s">
        <v>69</v>
      </c>
      <c r="E280" s="462" t="s">
        <v>61</v>
      </c>
      <c r="F280" s="463" t="s">
        <v>72</v>
      </c>
      <c r="G280" s="193"/>
      <c r="H280" s="369">
        <f>H281</f>
        <v>2046.6</v>
      </c>
      <c r="I280" s="369">
        <f>I281</f>
        <v>2046.6</v>
      </c>
    </row>
    <row r="281" spans="1:9" s="367" customFormat="1" ht="93.75">
      <c r="A281" s="355"/>
      <c r="B281" s="368" t="s">
        <v>73</v>
      </c>
      <c r="C281" s="461" t="s">
        <v>65</v>
      </c>
      <c r="D281" s="462" t="s">
        <v>69</v>
      </c>
      <c r="E281" s="462" t="s">
        <v>61</v>
      </c>
      <c r="F281" s="463" t="s">
        <v>72</v>
      </c>
      <c r="G281" s="193" t="s">
        <v>74</v>
      </c>
      <c r="H281" s="369">
        <f>'прил13(ведом 21-22)'!M24</f>
        <v>2046.6</v>
      </c>
      <c r="I281" s="369">
        <f>'прил13(ведом 21-22)'!N24</f>
        <v>2046.6</v>
      </c>
    </row>
    <row r="282" spans="1:9" s="367" customFormat="1" ht="37.5">
      <c r="A282" s="355"/>
      <c r="B282" s="368" t="s">
        <v>78</v>
      </c>
      <c r="C282" s="461" t="s">
        <v>65</v>
      </c>
      <c r="D282" s="462" t="s">
        <v>69</v>
      </c>
      <c r="E282" s="462" t="s">
        <v>63</v>
      </c>
      <c r="F282" s="463" t="s">
        <v>68</v>
      </c>
      <c r="G282" s="193"/>
      <c r="H282" s="369">
        <f>H283+H289+H291+H293+H296+H298+H287</f>
        <v>69632.399999999994</v>
      </c>
      <c r="I282" s="369">
        <f>I283+I289+I291+I293+I296+I298+I287</f>
        <v>69535.8</v>
      </c>
    </row>
    <row r="283" spans="1:9" s="367" customFormat="1" ht="37.5">
      <c r="A283" s="355"/>
      <c r="B283" s="368" t="s">
        <v>71</v>
      </c>
      <c r="C283" s="461" t="s">
        <v>65</v>
      </c>
      <c r="D283" s="462" t="s">
        <v>69</v>
      </c>
      <c r="E283" s="462" t="s">
        <v>63</v>
      </c>
      <c r="F283" s="463" t="s">
        <v>72</v>
      </c>
      <c r="G283" s="193"/>
      <c r="H283" s="369">
        <f>SUM(H284:H286)</f>
        <v>64747.8</v>
      </c>
      <c r="I283" s="369">
        <f>SUM(I284:I286)</f>
        <v>64568.3</v>
      </c>
    </row>
    <row r="284" spans="1:9" s="367" customFormat="1" ht="93.75">
      <c r="A284" s="355"/>
      <c r="B284" s="368" t="s">
        <v>73</v>
      </c>
      <c r="C284" s="461" t="s">
        <v>65</v>
      </c>
      <c r="D284" s="462" t="s">
        <v>69</v>
      </c>
      <c r="E284" s="462" t="s">
        <v>63</v>
      </c>
      <c r="F284" s="463" t="s">
        <v>72</v>
      </c>
      <c r="G284" s="193" t="s">
        <v>74</v>
      </c>
      <c r="H284" s="369">
        <f>'прил13(ведом 21-22)'!M30</f>
        <v>58076.7</v>
      </c>
      <c r="I284" s="369">
        <f>'прил13(ведом 21-22)'!N30</f>
        <v>58076.7</v>
      </c>
    </row>
    <row r="285" spans="1:9" ht="37.5">
      <c r="A285" s="355"/>
      <c r="B285" s="368" t="s">
        <v>79</v>
      </c>
      <c r="C285" s="461" t="s">
        <v>65</v>
      </c>
      <c r="D285" s="462" t="s">
        <v>69</v>
      </c>
      <c r="E285" s="462" t="s">
        <v>63</v>
      </c>
      <c r="F285" s="463" t="s">
        <v>72</v>
      </c>
      <c r="G285" s="193" t="s">
        <v>80</v>
      </c>
      <c r="H285" s="369">
        <f>'прил13(ведом 21-22)'!M31</f>
        <v>6158.8</v>
      </c>
      <c r="I285" s="369">
        <f>'прил13(ведом 21-22)'!N31</f>
        <v>5979.3</v>
      </c>
    </row>
    <row r="286" spans="1:9" ht="18.75">
      <c r="A286" s="355"/>
      <c r="B286" s="207" t="s">
        <v>81</v>
      </c>
      <c r="C286" s="461" t="s">
        <v>65</v>
      </c>
      <c r="D286" s="462" t="s">
        <v>69</v>
      </c>
      <c r="E286" s="462" t="s">
        <v>63</v>
      </c>
      <c r="F286" s="463" t="s">
        <v>72</v>
      </c>
      <c r="G286" s="193" t="s">
        <v>82</v>
      </c>
      <c r="H286" s="369">
        <f>'прил13(ведом 21-22)'!M32</f>
        <v>512.29999999999995</v>
      </c>
      <c r="I286" s="369">
        <f>'прил13(ведом 21-22)'!N32</f>
        <v>512.29999999999995</v>
      </c>
    </row>
    <row r="287" spans="1:9" s="367" customFormat="1" ht="75">
      <c r="A287" s="355"/>
      <c r="B287" s="207" t="s">
        <v>530</v>
      </c>
      <c r="C287" s="461" t="s">
        <v>65</v>
      </c>
      <c r="D287" s="462" t="s">
        <v>69</v>
      </c>
      <c r="E287" s="462" t="s">
        <v>63</v>
      </c>
      <c r="F287" s="463" t="s">
        <v>529</v>
      </c>
      <c r="G287" s="193"/>
      <c r="H287" s="369">
        <f>H288</f>
        <v>13.2</v>
      </c>
      <c r="I287" s="369">
        <f>I288</f>
        <v>96.1</v>
      </c>
    </row>
    <row r="288" spans="1:9" s="367" customFormat="1" ht="37.5">
      <c r="A288" s="355"/>
      <c r="B288" s="207" t="s">
        <v>79</v>
      </c>
      <c r="C288" s="461" t="s">
        <v>65</v>
      </c>
      <c r="D288" s="462" t="s">
        <v>69</v>
      </c>
      <c r="E288" s="462" t="s">
        <v>63</v>
      </c>
      <c r="F288" s="463" t="s">
        <v>529</v>
      </c>
      <c r="G288" s="193" t="s">
        <v>80</v>
      </c>
      <c r="H288" s="369">
        <f>'прил13(ведом 21-22)'!M52</f>
        <v>13.2</v>
      </c>
      <c r="I288" s="369">
        <f>'прил13(ведом 21-22)'!N52</f>
        <v>96.1</v>
      </c>
    </row>
    <row r="289" spans="1:9" ht="76.5" customHeight="1">
      <c r="A289" s="355"/>
      <c r="B289" s="368" t="s">
        <v>87</v>
      </c>
      <c r="C289" s="461" t="s">
        <v>65</v>
      </c>
      <c r="D289" s="462" t="s">
        <v>69</v>
      </c>
      <c r="E289" s="462" t="s">
        <v>63</v>
      </c>
      <c r="F289" s="463" t="s">
        <v>327</v>
      </c>
      <c r="G289" s="193"/>
      <c r="H289" s="369">
        <f>H290</f>
        <v>66</v>
      </c>
      <c r="I289" s="369">
        <f>I290</f>
        <v>66</v>
      </c>
    </row>
    <row r="290" spans="1:9" ht="37.5">
      <c r="A290" s="355"/>
      <c r="B290" s="368" t="s">
        <v>79</v>
      </c>
      <c r="C290" s="461" t="s">
        <v>65</v>
      </c>
      <c r="D290" s="462" t="s">
        <v>69</v>
      </c>
      <c r="E290" s="462" t="s">
        <v>63</v>
      </c>
      <c r="F290" s="463" t="s">
        <v>327</v>
      </c>
      <c r="G290" s="193" t="s">
        <v>80</v>
      </c>
      <c r="H290" s="369">
        <f>'прил13(ведом 21-22)'!M34</f>
        <v>66</v>
      </c>
      <c r="I290" s="369">
        <f>'прил13(ведом 21-22)'!N34</f>
        <v>66</v>
      </c>
    </row>
    <row r="291" spans="1:9" ht="177" customHeight="1">
      <c r="A291" s="355"/>
      <c r="B291" s="250" t="s">
        <v>631</v>
      </c>
      <c r="C291" s="461" t="s">
        <v>65</v>
      </c>
      <c r="D291" s="462" t="s">
        <v>69</v>
      </c>
      <c r="E291" s="462" t="s">
        <v>63</v>
      </c>
      <c r="F291" s="463" t="s">
        <v>83</v>
      </c>
      <c r="G291" s="193"/>
      <c r="H291" s="369">
        <f>H292</f>
        <v>640.6</v>
      </c>
      <c r="I291" s="369">
        <f>I292</f>
        <v>640.6</v>
      </c>
    </row>
    <row r="292" spans="1:9" ht="93.75">
      <c r="A292" s="355"/>
      <c r="B292" s="207" t="s">
        <v>73</v>
      </c>
      <c r="C292" s="461" t="s">
        <v>65</v>
      </c>
      <c r="D292" s="462" t="s">
        <v>69</v>
      </c>
      <c r="E292" s="462" t="s">
        <v>63</v>
      </c>
      <c r="F292" s="463" t="s">
        <v>83</v>
      </c>
      <c r="G292" s="193" t="s">
        <v>74</v>
      </c>
      <c r="H292" s="369">
        <f>'прил13(ведом 21-22)'!M36</f>
        <v>640.6</v>
      </c>
      <c r="I292" s="369">
        <f>'прил13(ведом 21-22)'!N36</f>
        <v>640.6</v>
      </c>
    </row>
    <row r="293" spans="1:9" ht="75">
      <c r="A293" s="355"/>
      <c r="B293" s="368" t="s">
        <v>84</v>
      </c>
      <c r="C293" s="461" t="s">
        <v>65</v>
      </c>
      <c r="D293" s="462" t="s">
        <v>69</v>
      </c>
      <c r="E293" s="462" t="s">
        <v>63</v>
      </c>
      <c r="F293" s="463" t="s">
        <v>85</v>
      </c>
      <c r="G293" s="193"/>
      <c r="H293" s="369">
        <f>SUM(H294:H295)</f>
        <v>3458</v>
      </c>
      <c r="I293" s="369">
        <f>SUM(I294:I295)</f>
        <v>3458</v>
      </c>
    </row>
    <row r="294" spans="1:9" ht="93.75">
      <c r="A294" s="355"/>
      <c r="B294" s="368" t="s">
        <v>73</v>
      </c>
      <c r="C294" s="461" t="s">
        <v>65</v>
      </c>
      <c r="D294" s="462" t="s">
        <v>69</v>
      </c>
      <c r="E294" s="462" t="s">
        <v>63</v>
      </c>
      <c r="F294" s="463" t="s">
        <v>85</v>
      </c>
      <c r="G294" s="193" t="s">
        <v>74</v>
      </c>
      <c r="H294" s="369">
        <f>'прил13(ведом 21-22)'!M38</f>
        <v>3296</v>
      </c>
      <c r="I294" s="369">
        <f>'прил13(ведом 21-22)'!N38</f>
        <v>3296</v>
      </c>
    </row>
    <row r="295" spans="1:9" ht="37.5">
      <c r="A295" s="355"/>
      <c r="B295" s="368" t="s">
        <v>79</v>
      </c>
      <c r="C295" s="462" t="s">
        <v>65</v>
      </c>
      <c r="D295" s="462" t="s">
        <v>69</v>
      </c>
      <c r="E295" s="462" t="s">
        <v>63</v>
      </c>
      <c r="F295" s="463" t="s">
        <v>85</v>
      </c>
      <c r="G295" s="193" t="s">
        <v>80</v>
      </c>
      <c r="H295" s="369">
        <f>'прил13(ведом 21-22)'!M39</f>
        <v>162</v>
      </c>
      <c r="I295" s="369">
        <f>'прил13(ведом 21-22)'!N39</f>
        <v>162</v>
      </c>
    </row>
    <row r="296" spans="1:9" ht="56.25">
      <c r="A296" s="355"/>
      <c r="B296" s="207" t="s">
        <v>638</v>
      </c>
      <c r="C296" s="461" t="s">
        <v>65</v>
      </c>
      <c r="D296" s="462" t="s">
        <v>69</v>
      </c>
      <c r="E296" s="462" t="s">
        <v>63</v>
      </c>
      <c r="F296" s="463" t="s">
        <v>86</v>
      </c>
      <c r="G296" s="193"/>
      <c r="H296" s="369">
        <f>H297</f>
        <v>640.79999999999995</v>
      </c>
      <c r="I296" s="369">
        <f>I297</f>
        <v>640.79999999999995</v>
      </c>
    </row>
    <row r="297" spans="1:9" ht="93.75">
      <c r="A297" s="355"/>
      <c r="B297" s="207" t="s">
        <v>73</v>
      </c>
      <c r="C297" s="461" t="s">
        <v>65</v>
      </c>
      <c r="D297" s="462" t="s">
        <v>69</v>
      </c>
      <c r="E297" s="462" t="s">
        <v>63</v>
      </c>
      <c r="F297" s="463" t="s">
        <v>86</v>
      </c>
      <c r="G297" s="193" t="s">
        <v>74</v>
      </c>
      <c r="H297" s="369">
        <f>'прил13(ведом 21-22)'!M41</f>
        <v>640.79999999999995</v>
      </c>
      <c r="I297" s="369">
        <f>'прил13(ведом 21-22)'!N41</f>
        <v>640.79999999999995</v>
      </c>
    </row>
    <row r="298" spans="1:9" ht="147" customHeight="1">
      <c r="A298" s="355"/>
      <c r="B298" s="207" t="s">
        <v>496</v>
      </c>
      <c r="C298" s="461" t="s">
        <v>65</v>
      </c>
      <c r="D298" s="462" t="s">
        <v>69</v>
      </c>
      <c r="E298" s="462" t="s">
        <v>63</v>
      </c>
      <c r="F298" s="463" t="s">
        <v>495</v>
      </c>
      <c r="G298" s="193"/>
      <c r="H298" s="369">
        <f>H299</f>
        <v>66</v>
      </c>
      <c r="I298" s="369">
        <f>I299</f>
        <v>66</v>
      </c>
    </row>
    <row r="299" spans="1:9" ht="37.5">
      <c r="A299" s="355"/>
      <c r="B299" s="207" t="s">
        <v>79</v>
      </c>
      <c r="C299" s="461" t="s">
        <v>65</v>
      </c>
      <c r="D299" s="462" t="s">
        <v>69</v>
      </c>
      <c r="E299" s="462" t="s">
        <v>63</v>
      </c>
      <c r="F299" s="463" t="s">
        <v>495</v>
      </c>
      <c r="G299" s="193" t="s">
        <v>80</v>
      </c>
      <c r="H299" s="369">
        <f>'прил13(ведом 21-22)'!M43</f>
        <v>66</v>
      </c>
      <c r="I299" s="369">
        <f>'прил13(ведом 21-22)'!N43</f>
        <v>66</v>
      </c>
    </row>
    <row r="300" spans="1:9" ht="18.75">
      <c r="A300" s="355"/>
      <c r="B300" s="207" t="s">
        <v>88</v>
      </c>
      <c r="C300" s="461" t="s">
        <v>65</v>
      </c>
      <c r="D300" s="462" t="s">
        <v>69</v>
      </c>
      <c r="E300" s="462" t="s">
        <v>89</v>
      </c>
      <c r="F300" s="463" t="s">
        <v>68</v>
      </c>
      <c r="G300" s="193"/>
      <c r="H300" s="369">
        <f>H301</f>
        <v>138.4</v>
      </c>
      <c r="I300" s="369">
        <f>I301</f>
        <v>138.4</v>
      </c>
    </row>
    <row r="301" spans="1:9" ht="37.5">
      <c r="A301" s="355"/>
      <c r="B301" s="207" t="s">
        <v>71</v>
      </c>
      <c r="C301" s="461" t="s">
        <v>65</v>
      </c>
      <c r="D301" s="462" t="s">
        <v>69</v>
      </c>
      <c r="E301" s="462" t="s">
        <v>89</v>
      </c>
      <c r="F301" s="463" t="s">
        <v>72</v>
      </c>
      <c r="G301" s="193"/>
      <c r="H301" s="369">
        <f>H302</f>
        <v>138.4</v>
      </c>
      <c r="I301" s="369">
        <f>I302</f>
        <v>138.4</v>
      </c>
    </row>
    <row r="302" spans="1:9" ht="37.5">
      <c r="A302" s="355"/>
      <c r="B302" s="207" t="s">
        <v>79</v>
      </c>
      <c r="C302" s="461" t="s">
        <v>65</v>
      </c>
      <c r="D302" s="462" t="s">
        <v>69</v>
      </c>
      <c r="E302" s="462" t="s">
        <v>89</v>
      </c>
      <c r="F302" s="463" t="s">
        <v>72</v>
      </c>
      <c r="G302" s="193" t="s">
        <v>80</v>
      </c>
      <c r="H302" s="369">
        <f>'прил13(ведом 21-22)'!M46</f>
        <v>138.4</v>
      </c>
      <c r="I302" s="369">
        <f>'прил13(ведом 21-22)'!N46</f>
        <v>138.4</v>
      </c>
    </row>
    <row r="303" spans="1:9" ht="60.75" customHeight="1">
      <c r="A303" s="393"/>
      <c r="B303" s="398" t="s">
        <v>373</v>
      </c>
      <c r="C303" s="223" t="s">
        <v>65</v>
      </c>
      <c r="D303" s="218" t="s">
        <v>69</v>
      </c>
      <c r="E303" s="218" t="s">
        <v>111</v>
      </c>
      <c r="F303" s="219" t="s">
        <v>68</v>
      </c>
      <c r="G303" s="217"/>
      <c r="H303" s="369">
        <f>H304</f>
        <v>4983.2</v>
      </c>
      <c r="I303" s="369">
        <f>I304</f>
        <v>4736.3</v>
      </c>
    </row>
    <row r="304" spans="1:9" ht="75">
      <c r="A304" s="393"/>
      <c r="B304" s="398" t="s">
        <v>121</v>
      </c>
      <c r="C304" s="223" t="s">
        <v>65</v>
      </c>
      <c r="D304" s="218" t="s">
        <v>69</v>
      </c>
      <c r="E304" s="218" t="s">
        <v>111</v>
      </c>
      <c r="F304" s="219" t="s">
        <v>123</v>
      </c>
      <c r="G304" s="217"/>
      <c r="H304" s="369">
        <f>SUM(H305:H306)</f>
        <v>4983.2</v>
      </c>
      <c r="I304" s="369">
        <f>SUM(I305:I306)</f>
        <v>4736.3</v>
      </c>
    </row>
    <row r="305" spans="1:9" ht="93.75">
      <c r="A305" s="393"/>
      <c r="B305" s="398" t="s">
        <v>73</v>
      </c>
      <c r="C305" s="223" t="s">
        <v>65</v>
      </c>
      <c r="D305" s="218" t="s">
        <v>69</v>
      </c>
      <c r="E305" s="218" t="s">
        <v>111</v>
      </c>
      <c r="F305" s="219" t="s">
        <v>123</v>
      </c>
      <c r="G305" s="217" t="s">
        <v>74</v>
      </c>
      <c r="H305" s="369">
        <f>'прил13(ведом 21-22)'!M180</f>
        <v>4547.5</v>
      </c>
      <c r="I305" s="369">
        <f>'прил13(ведом 21-22)'!N180</f>
        <v>4547.5</v>
      </c>
    </row>
    <row r="306" spans="1:9" ht="37.5">
      <c r="A306" s="393"/>
      <c r="B306" s="207" t="s">
        <v>79</v>
      </c>
      <c r="C306" s="223" t="s">
        <v>65</v>
      </c>
      <c r="D306" s="218" t="s">
        <v>69</v>
      </c>
      <c r="E306" s="218" t="s">
        <v>111</v>
      </c>
      <c r="F306" s="219" t="s">
        <v>123</v>
      </c>
      <c r="G306" s="217" t="s">
        <v>80</v>
      </c>
      <c r="H306" s="369">
        <f>'прил13(ведом 21-22)'!M181</f>
        <v>435.7</v>
      </c>
      <c r="I306" s="369">
        <f>'прил13(ведом 21-22)'!N181</f>
        <v>188.8</v>
      </c>
    </row>
    <row r="307" spans="1:9" ht="45" customHeight="1">
      <c r="A307" s="393"/>
      <c r="B307" s="211" t="s">
        <v>508</v>
      </c>
      <c r="C307" s="461" t="s">
        <v>65</v>
      </c>
      <c r="D307" s="462" t="s">
        <v>69</v>
      </c>
      <c r="E307" s="462" t="s">
        <v>109</v>
      </c>
      <c r="F307" s="463" t="s">
        <v>68</v>
      </c>
      <c r="G307" s="193"/>
      <c r="H307" s="369">
        <f>H308</f>
        <v>16.5</v>
      </c>
      <c r="I307" s="369">
        <f>I308</f>
        <v>9.4</v>
      </c>
    </row>
    <row r="308" spans="1:9" ht="18.75">
      <c r="A308" s="393"/>
      <c r="B308" s="211" t="s">
        <v>509</v>
      </c>
      <c r="C308" s="461" t="s">
        <v>65</v>
      </c>
      <c r="D308" s="462" t="s">
        <v>69</v>
      </c>
      <c r="E308" s="462" t="s">
        <v>109</v>
      </c>
      <c r="F308" s="463" t="s">
        <v>510</v>
      </c>
      <c r="G308" s="193"/>
      <c r="H308" s="369">
        <f>H309</f>
        <v>16.5</v>
      </c>
      <c r="I308" s="369">
        <f>I309</f>
        <v>9.4</v>
      </c>
    </row>
    <row r="309" spans="1:9" ht="37.5">
      <c r="A309" s="393"/>
      <c r="B309" s="211" t="s">
        <v>511</v>
      </c>
      <c r="C309" s="461" t="s">
        <v>65</v>
      </c>
      <c r="D309" s="462" t="s">
        <v>69</v>
      </c>
      <c r="E309" s="462" t="s">
        <v>109</v>
      </c>
      <c r="F309" s="463" t="s">
        <v>510</v>
      </c>
      <c r="G309" s="193" t="s">
        <v>512</v>
      </c>
      <c r="H309" s="369">
        <f>'прил13(ведом 21-22)'!M124</f>
        <v>16.5</v>
      </c>
      <c r="I309" s="369">
        <f>'прил13(ведом 21-22)'!N124</f>
        <v>9.4</v>
      </c>
    </row>
    <row r="310" spans="1:9" ht="37.5">
      <c r="A310" s="393"/>
      <c r="B310" s="207" t="s">
        <v>420</v>
      </c>
      <c r="C310" s="461" t="s">
        <v>65</v>
      </c>
      <c r="D310" s="462" t="s">
        <v>69</v>
      </c>
      <c r="E310" s="462" t="s">
        <v>119</v>
      </c>
      <c r="F310" s="463" t="s">
        <v>68</v>
      </c>
      <c r="G310" s="193"/>
      <c r="H310" s="369">
        <f>H311</f>
        <v>4628.3</v>
      </c>
      <c r="I310" s="369">
        <f>I311</f>
        <v>4378.3</v>
      </c>
    </row>
    <row r="311" spans="1:9" ht="75">
      <c r="A311" s="393"/>
      <c r="B311" s="210" t="s">
        <v>121</v>
      </c>
      <c r="C311" s="461" t="s">
        <v>65</v>
      </c>
      <c r="D311" s="462" t="s">
        <v>69</v>
      </c>
      <c r="E311" s="462" t="s">
        <v>119</v>
      </c>
      <c r="F311" s="463" t="s">
        <v>123</v>
      </c>
      <c r="G311" s="193"/>
      <c r="H311" s="369">
        <f>SUM(H312:H313)</f>
        <v>4628.3</v>
      </c>
      <c r="I311" s="369">
        <f>SUM(I312:I313)</f>
        <v>4378.3</v>
      </c>
    </row>
    <row r="312" spans="1:9" ht="93.75">
      <c r="A312" s="393"/>
      <c r="B312" s="207" t="s">
        <v>73</v>
      </c>
      <c r="C312" s="461" t="s">
        <v>65</v>
      </c>
      <c r="D312" s="462" t="s">
        <v>69</v>
      </c>
      <c r="E312" s="462" t="s">
        <v>119</v>
      </c>
      <c r="F312" s="463" t="s">
        <v>123</v>
      </c>
      <c r="G312" s="193" t="s">
        <v>74</v>
      </c>
      <c r="H312" s="369">
        <f>'прил13(ведом 21-22)'!M109</f>
        <v>4317.1000000000004</v>
      </c>
      <c r="I312" s="369">
        <f>'прил13(ведом 21-22)'!N109</f>
        <v>4317.1000000000004</v>
      </c>
    </row>
    <row r="313" spans="1:9" ht="37.5">
      <c r="A313" s="393"/>
      <c r="B313" s="207" t="s">
        <v>79</v>
      </c>
      <c r="C313" s="461" t="s">
        <v>65</v>
      </c>
      <c r="D313" s="462" t="s">
        <v>69</v>
      </c>
      <c r="E313" s="462" t="s">
        <v>119</v>
      </c>
      <c r="F313" s="463" t="s">
        <v>123</v>
      </c>
      <c r="G313" s="193" t="s">
        <v>80</v>
      </c>
      <c r="H313" s="369">
        <f>'прил13(ведом 21-22)'!M110</f>
        <v>311.2</v>
      </c>
      <c r="I313" s="369">
        <f>'прил13(ведом 21-22)'!N110</f>
        <v>61.2</v>
      </c>
    </row>
    <row r="314" spans="1:9" ht="18.75">
      <c r="A314" s="393"/>
      <c r="B314" s="398"/>
      <c r="C314" s="385"/>
      <c r="D314" s="218"/>
      <c r="E314" s="218"/>
      <c r="F314" s="219"/>
      <c r="G314" s="217"/>
      <c r="H314" s="369"/>
      <c r="I314" s="369"/>
    </row>
    <row r="315" spans="1:9" ht="37.5">
      <c r="A315" s="378">
        <v>15</v>
      </c>
      <c r="B315" s="434" t="s">
        <v>163</v>
      </c>
      <c r="C315" s="379" t="s">
        <v>164</v>
      </c>
      <c r="D315" s="379" t="s">
        <v>66</v>
      </c>
      <c r="E315" s="379" t="s">
        <v>67</v>
      </c>
      <c r="F315" s="379" t="s">
        <v>68</v>
      </c>
      <c r="G315" s="365"/>
      <c r="H315" s="366">
        <f>H316</f>
        <v>4148</v>
      </c>
      <c r="I315" s="366">
        <f>I316</f>
        <v>3943.2</v>
      </c>
    </row>
    <row r="316" spans="1:9" ht="56.25">
      <c r="A316" s="355"/>
      <c r="B316" s="382" t="s">
        <v>166</v>
      </c>
      <c r="C316" s="461" t="s">
        <v>164</v>
      </c>
      <c r="D316" s="462" t="s">
        <v>69</v>
      </c>
      <c r="E316" s="462" t="s">
        <v>67</v>
      </c>
      <c r="F316" s="463" t="s">
        <v>68</v>
      </c>
      <c r="G316" s="193"/>
      <c r="H316" s="369">
        <f>H317+H320</f>
        <v>4148</v>
      </c>
      <c r="I316" s="369">
        <f>I317+I320</f>
        <v>3943.2</v>
      </c>
    </row>
    <row r="317" spans="1:9" ht="37.5">
      <c r="A317" s="355"/>
      <c r="B317" s="368" t="s">
        <v>165</v>
      </c>
      <c r="C317" s="461" t="s">
        <v>164</v>
      </c>
      <c r="D317" s="462" t="s">
        <v>69</v>
      </c>
      <c r="E317" s="462" t="s">
        <v>61</v>
      </c>
      <c r="F317" s="463" t="s">
        <v>68</v>
      </c>
      <c r="G317" s="193"/>
      <c r="H317" s="369">
        <f>H318</f>
        <v>1227.7</v>
      </c>
      <c r="I317" s="369">
        <f>I318</f>
        <v>1227.7</v>
      </c>
    </row>
    <row r="318" spans="1:9" ht="37.5">
      <c r="A318" s="355"/>
      <c r="B318" s="368" t="s">
        <v>71</v>
      </c>
      <c r="C318" s="461" t="s">
        <v>164</v>
      </c>
      <c r="D318" s="462" t="s">
        <v>69</v>
      </c>
      <c r="E318" s="462" t="s">
        <v>61</v>
      </c>
      <c r="F318" s="463" t="s">
        <v>72</v>
      </c>
      <c r="G318" s="193"/>
      <c r="H318" s="369">
        <f>H319</f>
        <v>1227.7</v>
      </c>
      <c r="I318" s="369">
        <f>I319</f>
        <v>1227.7</v>
      </c>
    </row>
    <row r="319" spans="1:9" ht="93.75">
      <c r="A319" s="355"/>
      <c r="B319" s="382" t="s">
        <v>73</v>
      </c>
      <c r="C319" s="461" t="s">
        <v>164</v>
      </c>
      <c r="D319" s="462" t="s">
        <v>69</v>
      </c>
      <c r="E319" s="462" t="s">
        <v>61</v>
      </c>
      <c r="F319" s="463" t="s">
        <v>72</v>
      </c>
      <c r="G319" s="193" t="s">
        <v>74</v>
      </c>
      <c r="H319" s="369">
        <f>'прил13(ведом 21-22)'!M151</f>
        <v>1227.7</v>
      </c>
      <c r="I319" s="369">
        <f>'прил13(ведом 21-22)'!N151</f>
        <v>1227.7</v>
      </c>
    </row>
    <row r="320" spans="1:9" ht="37.5">
      <c r="A320" s="355"/>
      <c r="B320" s="368" t="s">
        <v>167</v>
      </c>
      <c r="C320" s="461" t="s">
        <v>164</v>
      </c>
      <c r="D320" s="462" t="s">
        <v>69</v>
      </c>
      <c r="E320" s="462" t="s">
        <v>63</v>
      </c>
      <c r="F320" s="463" t="s">
        <v>68</v>
      </c>
      <c r="G320" s="193"/>
      <c r="H320" s="369">
        <f>H321</f>
        <v>2920.3</v>
      </c>
      <c r="I320" s="369">
        <f>I321</f>
        <v>2715.5</v>
      </c>
    </row>
    <row r="321" spans="1:9" ht="37.5">
      <c r="A321" s="355"/>
      <c r="B321" s="368" t="s">
        <v>71</v>
      </c>
      <c r="C321" s="461" t="s">
        <v>164</v>
      </c>
      <c r="D321" s="462" t="s">
        <v>69</v>
      </c>
      <c r="E321" s="462" t="s">
        <v>63</v>
      </c>
      <c r="F321" s="463" t="s">
        <v>72</v>
      </c>
      <c r="G321" s="193"/>
      <c r="H321" s="369">
        <f>SUM(H322:H324)</f>
        <v>2920.3</v>
      </c>
      <c r="I321" s="369">
        <f>SUM(I322:I324)</f>
        <v>2715.5</v>
      </c>
    </row>
    <row r="322" spans="1:9" ht="93.75">
      <c r="A322" s="355"/>
      <c r="B322" s="368" t="s">
        <v>73</v>
      </c>
      <c r="C322" s="461" t="s">
        <v>164</v>
      </c>
      <c r="D322" s="462" t="s">
        <v>69</v>
      </c>
      <c r="E322" s="462" t="s">
        <v>63</v>
      </c>
      <c r="F322" s="463" t="s">
        <v>72</v>
      </c>
      <c r="G322" s="193" t="s">
        <v>74</v>
      </c>
      <c r="H322" s="369">
        <f>'прил13(ведом 21-22)'!M154</f>
        <v>2715.5</v>
      </c>
      <c r="I322" s="369">
        <f>'прил13(ведом 21-22)'!N154</f>
        <v>2715.5</v>
      </c>
    </row>
    <row r="323" spans="1:9" ht="37.5">
      <c r="A323" s="355"/>
      <c r="B323" s="207" t="s">
        <v>79</v>
      </c>
      <c r="C323" s="461" t="s">
        <v>164</v>
      </c>
      <c r="D323" s="462" t="s">
        <v>69</v>
      </c>
      <c r="E323" s="462" t="s">
        <v>63</v>
      </c>
      <c r="F323" s="463" t="s">
        <v>72</v>
      </c>
      <c r="G323" s="193" t="s">
        <v>80</v>
      </c>
      <c r="H323" s="369">
        <f>'прил13(ведом 21-22)'!M155</f>
        <v>194.8</v>
      </c>
      <c r="I323" s="369">
        <f>'прил13(ведом 21-22)'!N155</f>
        <v>0</v>
      </c>
    </row>
    <row r="324" spans="1:9" ht="18.75">
      <c r="A324" s="355"/>
      <c r="B324" s="207" t="s">
        <v>81</v>
      </c>
      <c r="C324" s="461" t="s">
        <v>164</v>
      </c>
      <c r="D324" s="462" t="s">
        <v>69</v>
      </c>
      <c r="E324" s="462" t="s">
        <v>63</v>
      </c>
      <c r="F324" s="463" t="s">
        <v>72</v>
      </c>
      <c r="G324" s="193" t="s">
        <v>82</v>
      </c>
      <c r="H324" s="369">
        <f>'прил13(ведом 21-22)'!M156</f>
        <v>10</v>
      </c>
      <c r="I324" s="369">
        <f>'прил13(ведом 21-22)'!N156</f>
        <v>0</v>
      </c>
    </row>
    <row r="325" spans="1:9" ht="18.75">
      <c r="A325" s="355"/>
      <c r="B325" s="377"/>
      <c r="C325" s="459"/>
      <c r="D325" s="459"/>
      <c r="E325" s="459"/>
      <c r="F325" s="459"/>
      <c r="G325" s="353"/>
      <c r="H325" s="369"/>
      <c r="I325" s="369"/>
    </row>
    <row r="326" spans="1:9" s="367" customFormat="1" ht="37.5">
      <c r="A326" s="378">
        <v>16</v>
      </c>
      <c r="B326" s="434" t="s">
        <v>94</v>
      </c>
      <c r="C326" s="379" t="s">
        <v>95</v>
      </c>
      <c r="D326" s="379" t="s">
        <v>66</v>
      </c>
      <c r="E326" s="379" t="s">
        <v>67</v>
      </c>
      <c r="F326" s="379" t="s">
        <v>68</v>
      </c>
      <c r="G326" s="365"/>
      <c r="H326" s="366">
        <f t="shared" ref="H326:I329" si="10">H327</f>
        <v>5000</v>
      </c>
      <c r="I326" s="366">
        <f t="shared" si="10"/>
        <v>5000</v>
      </c>
    </row>
    <row r="327" spans="1:9" ht="37.5">
      <c r="A327" s="355"/>
      <c r="B327" s="382" t="s">
        <v>96</v>
      </c>
      <c r="C327" s="461" t="s">
        <v>95</v>
      </c>
      <c r="D327" s="462" t="s">
        <v>69</v>
      </c>
      <c r="E327" s="462" t="s">
        <v>67</v>
      </c>
      <c r="F327" s="463" t="s">
        <v>68</v>
      </c>
      <c r="G327" s="193"/>
      <c r="H327" s="369">
        <f t="shared" si="10"/>
        <v>5000</v>
      </c>
      <c r="I327" s="369">
        <f t="shared" si="10"/>
        <v>5000</v>
      </c>
    </row>
    <row r="328" spans="1:9" ht="18.75">
      <c r="A328" s="355"/>
      <c r="B328" s="368" t="s">
        <v>92</v>
      </c>
      <c r="C328" s="461" t="s">
        <v>95</v>
      </c>
      <c r="D328" s="462" t="s">
        <v>69</v>
      </c>
      <c r="E328" s="462" t="s">
        <v>61</v>
      </c>
      <c r="F328" s="463" t="s">
        <v>68</v>
      </c>
      <c r="G328" s="193"/>
      <c r="H328" s="369">
        <f t="shared" si="10"/>
        <v>5000</v>
      </c>
      <c r="I328" s="369">
        <f t="shared" si="10"/>
        <v>5000</v>
      </c>
    </row>
    <row r="329" spans="1:9" ht="18.75">
      <c r="A329" s="355"/>
      <c r="B329" s="368" t="s">
        <v>97</v>
      </c>
      <c r="C329" s="461" t="s">
        <v>95</v>
      </c>
      <c r="D329" s="462" t="s">
        <v>69</v>
      </c>
      <c r="E329" s="462" t="s">
        <v>61</v>
      </c>
      <c r="F329" s="463" t="s">
        <v>98</v>
      </c>
      <c r="G329" s="193"/>
      <c r="H329" s="369">
        <f t="shared" si="10"/>
        <v>5000</v>
      </c>
      <c r="I329" s="369">
        <f t="shared" si="10"/>
        <v>5000</v>
      </c>
    </row>
    <row r="330" spans="1:9" ht="18.75">
      <c r="A330" s="355"/>
      <c r="B330" s="368" t="s">
        <v>81</v>
      </c>
      <c r="C330" s="461" t="s">
        <v>95</v>
      </c>
      <c r="D330" s="462" t="s">
        <v>69</v>
      </c>
      <c r="E330" s="462" t="s">
        <v>61</v>
      </c>
      <c r="F330" s="463" t="s">
        <v>98</v>
      </c>
      <c r="G330" s="193" t="s">
        <v>82</v>
      </c>
      <c r="H330" s="369">
        <f>'прил13(ведом 21-22)'!M58</f>
        <v>5000</v>
      </c>
      <c r="I330" s="369">
        <f>'прил13(ведом 21-22)'!N58</f>
        <v>5000</v>
      </c>
    </row>
    <row r="331" spans="1:9" ht="18.75">
      <c r="A331" s="355"/>
      <c r="B331" s="368"/>
      <c r="C331" s="461"/>
      <c r="D331" s="462"/>
      <c r="E331" s="462"/>
      <c r="F331" s="463"/>
      <c r="G331" s="193"/>
      <c r="H331" s="369"/>
      <c r="I331" s="369"/>
    </row>
    <row r="332" spans="1:9" s="367" customFormat="1" ht="18.75">
      <c r="A332" s="464">
        <v>17</v>
      </c>
      <c r="B332" s="508" t="s">
        <v>471</v>
      </c>
      <c r="C332" s="204"/>
      <c r="D332" s="205"/>
      <c r="E332" s="205"/>
      <c r="F332" s="206"/>
      <c r="G332" s="203"/>
      <c r="H332" s="366">
        <f>H333</f>
        <v>26950.5</v>
      </c>
      <c r="I332" s="366">
        <f>I333</f>
        <v>55900.4</v>
      </c>
    </row>
    <row r="333" spans="1:9" ht="18.75">
      <c r="A333" s="194"/>
      <c r="B333" s="509" t="s">
        <v>471</v>
      </c>
      <c r="C333" s="461"/>
      <c r="D333" s="462"/>
      <c r="E333" s="462"/>
      <c r="F333" s="463"/>
      <c r="G333" s="193"/>
      <c r="H333" s="562">
        <f>'прил13(ведом 21-22)'!M441</f>
        <v>26950.5</v>
      </c>
      <c r="I333" s="562">
        <f>'прил13(ведом 21-22)'!N441</f>
        <v>55900.4</v>
      </c>
    </row>
    <row r="334" spans="1:9" ht="18.75">
      <c r="A334" s="556"/>
      <c r="B334" s="665"/>
      <c r="C334" s="437"/>
      <c r="D334" s="437"/>
      <c r="E334" s="437"/>
      <c r="F334" s="437"/>
      <c r="G334" s="437"/>
      <c r="H334" s="666"/>
      <c r="I334" s="666"/>
    </row>
    <row r="335" spans="1:9" ht="18.75">
      <c r="A335" s="556"/>
      <c r="B335" s="665"/>
      <c r="C335" s="437"/>
      <c r="D335" s="437"/>
      <c r="E335" s="437"/>
      <c r="F335" s="437"/>
      <c r="G335" s="437"/>
      <c r="H335" s="666"/>
      <c r="I335" s="666"/>
    </row>
    <row r="336" spans="1:9" ht="18.75">
      <c r="A336" s="344"/>
      <c r="B336" s="345"/>
      <c r="C336" s="346"/>
      <c r="D336" s="346"/>
      <c r="E336" s="346"/>
      <c r="F336" s="346"/>
      <c r="G336" s="439"/>
    </row>
    <row r="337" spans="1:9" ht="18.75">
      <c r="A337" s="440" t="s">
        <v>497</v>
      </c>
      <c r="B337" s="345"/>
      <c r="C337" s="346"/>
      <c r="D337" s="346"/>
      <c r="E337" s="346"/>
      <c r="F337" s="346"/>
      <c r="G337" s="439"/>
    </row>
    <row r="338" spans="1:9" ht="18.75">
      <c r="A338" s="440" t="s">
        <v>498</v>
      </c>
      <c r="B338" s="345"/>
      <c r="C338" s="346"/>
      <c r="D338" s="346"/>
      <c r="E338" s="346"/>
      <c r="F338" s="346"/>
      <c r="G338" s="439"/>
    </row>
    <row r="339" spans="1:9" ht="18.75">
      <c r="A339" s="441" t="s">
        <v>499</v>
      </c>
      <c r="B339" s="345"/>
      <c r="C339" s="342"/>
      <c r="D339" s="346"/>
      <c r="E339" s="346"/>
      <c r="F339" s="346"/>
      <c r="G339" s="342"/>
      <c r="H339" s="342"/>
      <c r="I339" s="442" t="s">
        <v>534</v>
      </c>
    </row>
    <row r="340" spans="1:9">
      <c r="A340" s="344"/>
      <c r="B340" s="345"/>
      <c r="C340" s="346"/>
      <c r="D340" s="346"/>
      <c r="E340" s="346"/>
      <c r="F340" s="346"/>
    </row>
    <row r="341" spans="1:9">
      <c r="A341" s="344"/>
      <c r="B341" s="345"/>
      <c r="C341" s="346"/>
      <c r="D341" s="346"/>
      <c r="E341" s="346"/>
      <c r="F341" s="346"/>
    </row>
    <row r="342" spans="1:9">
      <c r="A342" s="344"/>
      <c r="B342" s="345"/>
      <c r="C342" s="346"/>
      <c r="D342" s="346"/>
      <c r="E342" s="346"/>
      <c r="F342" s="346"/>
    </row>
    <row r="343" spans="1:9" ht="18.75">
      <c r="A343" s="344"/>
      <c r="B343" s="345"/>
      <c r="C343" s="346"/>
      <c r="D343" s="346"/>
      <c r="E343" s="346"/>
      <c r="F343" s="346"/>
      <c r="G343" s="439"/>
    </row>
    <row r="344" spans="1:9">
      <c r="B344" s="338" t="s">
        <v>276</v>
      </c>
      <c r="H344" s="343">
        <f>H277+H259+H250+H208+H192+H181+H160+H147+H119+H89+H15</f>
        <v>1303464.3999999999</v>
      </c>
      <c r="I344" s="343">
        <f>I277+I259+I250+I208+I192+I181+I160+I147+I119+I89+I15</f>
        <v>1309795.7000000002</v>
      </c>
    </row>
    <row r="346" spans="1:9">
      <c r="H346" s="343">
        <f>(H344/H14)*100</f>
        <v>97.051547804125505</v>
      </c>
      <c r="I346" s="343">
        <f>(I344/I14)*100</f>
        <v>95.228898728481354</v>
      </c>
    </row>
    <row r="347" spans="1:9">
      <c r="H347" s="343"/>
      <c r="I347" s="343"/>
    </row>
    <row r="348" spans="1:9">
      <c r="B348" s="338" t="s">
        <v>277</v>
      </c>
      <c r="H348" s="343">
        <f>H326+H315</f>
        <v>9148</v>
      </c>
      <c r="I348" s="343">
        <f>I326+I315</f>
        <v>8943.2000000000007</v>
      </c>
    </row>
    <row r="349" spans="1:9">
      <c r="H349" s="343">
        <f>(H348/H353)*100</f>
        <v>0.68290932810993799</v>
      </c>
      <c r="I349" s="343">
        <f>(I348/I353)*100</f>
        <v>0.65058521169880712</v>
      </c>
    </row>
    <row r="350" spans="1:9">
      <c r="H350" s="343"/>
      <c r="I350" s="343"/>
    </row>
    <row r="351" spans="1:9">
      <c r="B351" s="338" t="s">
        <v>473</v>
      </c>
      <c r="H351" s="343">
        <f>H332</f>
        <v>26950.5</v>
      </c>
      <c r="I351" s="343">
        <f>I332</f>
        <v>55900.4</v>
      </c>
    </row>
    <row r="352" spans="1:9">
      <c r="H352" s="343">
        <f>(H351/H353)*100</f>
        <v>2.0118876090103721</v>
      </c>
      <c r="I352" s="343">
        <f>(I351/I353)*100</f>
        <v>4.0665504034403792</v>
      </c>
    </row>
    <row r="353" spans="2:9">
      <c r="B353" s="338" t="s">
        <v>241</v>
      </c>
      <c r="H353" s="343">
        <f>H348+H344+H351</f>
        <v>1339562.8999999999</v>
      </c>
      <c r="I353" s="343">
        <f>I348+I344+I351</f>
        <v>1374639.3</v>
      </c>
    </row>
  </sheetData>
  <autoFilter ref="A1:L353"/>
  <mergeCells count="7">
    <mergeCell ref="A8:I8"/>
    <mergeCell ref="C13:F13"/>
    <mergeCell ref="H11:I11"/>
    <mergeCell ref="A11:A12"/>
    <mergeCell ref="B11:B12"/>
    <mergeCell ref="C11:F12"/>
    <mergeCell ref="G11:G12"/>
  </mergeCells>
  <printOptions horizontalCentered="1"/>
  <pageMargins left="1.1811023622047245" right="0.39370078740157483" top="0.86614173228346458" bottom="0.6692913385826772" header="0" footer="0"/>
  <pageSetup paperSize="9" scale="72" fitToHeight="0" orientation="portrait" blackAndWhite="1" r:id="rId1"/>
  <headerFooter alignWithMargins="0"/>
  <rowBreaks count="1" manualBreakCount="1">
    <brk id="288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autoPageBreaks="0" fitToPage="1"/>
  </sheetPr>
  <dimension ref="A1:Y750"/>
  <sheetViews>
    <sheetView zoomScale="80" zoomScaleNormal="80" zoomScaleSheetLayoutView="40" workbookViewId="0">
      <pane ySplit="4" topLeftCell="A5" activePane="bottomLeft" state="frozen"/>
      <selection activeCell="B44" sqref="B44"/>
      <selection pane="bottomLeft" activeCell="M2" sqref="M2"/>
    </sheetView>
  </sheetViews>
  <sheetFormatPr defaultColWidth="8.85546875" defaultRowHeight="15"/>
  <cols>
    <col min="1" max="1" width="4.7109375" style="184" customWidth="1"/>
    <col min="2" max="2" width="54.42578125" style="184" customWidth="1"/>
    <col min="3" max="3" width="10" style="184" customWidth="1"/>
    <col min="4" max="4" width="3.7109375" style="184" customWidth="1"/>
    <col min="5" max="5" width="4" style="184" customWidth="1"/>
    <col min="6" max="6" width="3.28515625" style="184" customWidth="1"/>
    <col min="7" max="7" width="2.42578125" style="184" customWidth="1"/>
    <col min="8" max="8" width="2.7109375" style="184" customWidth="1"/>
    <col min="9" max="9" width="7.7109375" style="184" customWidth="1"/>
    <col min="10" max="10" width="5" style="184" customWidth="1"/>
    <col min="11" max="11" width="14.85546875" style="184" hidden="1" customWidth="1"/>
    <col min="12" max="12" width="14" style="184" customWidth="1"/>
    <col min="13" max="13" width="17.5703125" style="226" customWidth="1"/>
    <col min="14" max="14" width="10.140625" style="184" customWidth="1"/>
    <col min="15" max="16384" width="8.85546875" style="184"/>
  </cols>
  <sheetData>
    <row r="1" spans="1:14" s="244" customFormat="1" ht="18.75">
      <c r="K1" s="643"/>
      <c r="L1" s="645"/>
      <c r="M1" s="520" t="s">
        <v>610</v>
      </c>
    </row>
    <row r="2" spans="1:14" s="244" customFormat="1" ht="18.75">
      <c r="K2" s="643"/>
      <c r="L2" s="645"/>
      <c r="M2" s="520" t="s">
        <v>936</v>
      </c>
    </row>
    <row r="4" spans="1:14" ht="18.75">
      <c r="M4" s="520" t="s">
        <v>611</v>
      </c>
    </row>
    <row r="5" spans="1:14" ht="18.75">
      <c r="M5" s="255" t="s">
        <v>884</v>
      </c>
    </row>
    <row r="8" spans="1:14" ht="18.75">
      <c r="A8" s="794" t="s">
        <v>630</v>
      </c>
      <c r="B8" s="794"/>
      <c r="C8" s="794"/>
      <c r="D8" s="794"/>
      <c r="E8" s="794"/>
      <c r="F8" s="794"/>
      <c r="G8" s="794"/>
      <c r="H8" s="794"/>
      <c r="I8" s="794"/>
      <c r="J8" s="794"/>
      <c r="K8" s="794"/>
      <c r="L8" s="794"/>
      <c r="M8" s="794"/>
    </row>
    <row r="9" spans="1:14" ht="18.75">
      <c r="A9" s="660"/>
      <c r="B9" s="660"/>
      <c r="C9" s="660"/>
      <c r="D9" s="660"/>
      <c r="E9" s="660"/>
      <c r="F9" s="660"/>
      <c r="G9" s="660"/>
      <c r="H9" s="660"/>
      <c r="I9" s="660"/>
      <c r="J9" s="660"/>
      <c r="K9" s="660"/>
      <c r="L9" s="660"/>
      <c r="M9" s="184"/>
    </row>
    <row r="10" spans="1:14" ht="18.75">
      <c r="A10" s="185"/>
      <c r="B10" s="186"/>
      <c r="C10" s="187"/>
      <c r="D10" s="187"/>
      <c r="E10" s="187"/>
      <c r="F10" s="187"/>
      <c r="G10" s="185"/>
      <c r="H10" s="188"/>
      <c r="I10" s="189"/>
      <c r="J10" s="190"/>
      <c r="K10" s="190"/>
      <c r="L10" s="190"/>
      <c r="M10" s="227" t="s">
        <v>46</v>
      </c>
    </row>
    <row r="11" spans="1:14" ht="21.75" customHeight="1">
      <c r="A11" s="807" t="s">
        <v>47</v>
      </c>
      <c r="B11" s="809" t="s">
        <v>48</v>
      </c>
      <c r="C11" s="811" t="s">
        <v>49</v>
      </c>
      <c r="D11" s="811" t="s">
        <v>50</v>
      </c>
      <c r="E11" s="811" t="s">
        <v>51</v>
      </c>
      <c r="F11" s="813" t="s">
        <v>52</v>
      </c>
      <c r="G11" s="814"/>
      <c r="H11" s="814"/>
      <c r="I11" s="815"/>
      <c r="J11" s="811" t="s">
        <v>53</v>
      </c>
      <c r="K11" s="819" t="s">
        <v>879</v>
      </c>
      <c r="L11" s="821" t="s">
        <v>500</v>
      </c>
      <c r="M11" s="822"/>
    </row>
    <row r="12" spans="1:14" ht="46.5" customHeight="1">
      <c r="A12" s="808"/>
      <c r="B12" s="810"/>
      <c r="C12" s="812"/>
      <c r="D12" s="812"/>
      <c r="E12" s="812"/>
      <c r="F12" s="816"/>
      <c r="G12" s="817"/>
      <c r="H12" s="817"/>
      <c r="I12" s="818"/>
      <c r="J12" s="812"/>
      <c r="K12" s="820"/>
      <c r="L12" s="646" t="s">
        <v>880</v>
      </c>
      <c r="M12" s="647" t="s">
        <v>881</v>
      </c>
    </row>
    <row r="13" spans="1:14" ht="18.75">
      <c r="A13" s="191">
        <v>1</v>
      </c>
      <c r="B13" s="192">
        <v>2</v>
      </c>
      <c r="C13" s="193" t="s">
        <v>54</v>
      </c>
      <c r="D13" s="193" t="s">
        <v>55</v>
      </c>
      <c r="E13" s="193" t="s">
        <v>56</v>
      </c>
      <c r="F13" s="804" t="s">
        <v>57</v>
      </c>
      <c r="G13" s="805"/>
      <c r="H13" s="805"/>
      <c r="I13" s="806"/>
      <c r="J13" s="193" t="s">
        <v>58</v>
      </c>
      <c r="K13" s="193"/>
      <c r="L13" s="193" t="s">
        <v>883</v>
      </c>
      <c r="M13" s="229">
        <v>9</v>
      </c>
    </row>
    <row r="14" spans="1:14" ht="18.75">
      <c r="A14" s="194">
        <v>1</v>
      </c>
      <c r="B14" s="195" t="s">
        <v>241</v>
      </c>
      <c r="C14" s="196"/>
      <c r="D14" s="197"/>
      <c r="E14" s="197"/>
      <c r="F14" s="198"/>
      <c r="G14" s="199"/>
      <c r="H14" s="199"/>
      <c r="I14" s="200"/>
      <c r="J14" s="197"/>
      <c r="K14" s="443">
        <v>1575836.7314400002</v>
      </c>
      <c r="L14" s="443">
        <f>L15+L192+L219+L236+L461+L530+L572+L593+L331</f>
        <v>-104894.49275</v>
      </c>
      <c r="M14" s="443">
        <f>M15+M192+M219+M236+M461+M530+M572+M593+M331</f>
        <v>1470942.23869</v>
      </c>
      <c r="N14" s="226"/>
    </row>
    <row r="15" spans="1:14" s="471" customFormat="1" ht="37.5">
      <c r="A15" s="464">
        <v>1</v>
      </c>
      <c r="B15" s="201" t="s">
        <v>2</v>
      </c>
      <c r="C15" s="202" t="s">
        <v>4</v>
      </c>
      <c r="D15" s="203"/>
      <c r="E15" s="203"/>
      <c r="F15" s="204"/>
      <c r="G15" s="205"/>
      <c r="H15" s="205"/>
      <c r="I15" s="206"/>
      <c r="J15" s="203"/>
      <c r="K15" s="235">
        <v>129901.06300000001</v>
      </c>
      <c r="L15" s="235">
        <f>L16+L88+L118+L157+L184</f>
        <v>2961.8955899999996</v>
      </c>
      <c r="M15" s="235">
        <f>M16+M88+M118+M157+M184</f>
        <v>132862.95859000002</v>
      </c>
    </row>
    <row r="16" spans="1:14" s="472" customFormat="1" ht="18.75">
      <c r="A16" s="194"/>
      <c r="B16" s="207" t="s">
        <v>60</v>
      </c>
      <c r="C16" s="208" t="s">
        <v>4</v>
      </c>
      <c r="D16" s="193" t="s">
        <v>61</v>
      </c>
      <c r="E16" s="193"/>
      <c r="F16" s="661"/>
      <c r="G16" s="662"/>
      <c r="H16" s="662"/>
      <c r="I16" s="663"/>
      <c r="J16" s="193"/>
      <c r="K16" s="209">
        <v>83613.763000000006</v>
      </c>
      <c r="L16" s="209">
        <f>L17+L23+L58+L64+L52+L46</f>
        <v>-1848.4920000000002</v>
      </c>
      <c r="M16" s="209">
        <f>M17+M23+M58+M64+M52+M46</f>
        <v>81765.271000000008</v>
      </c>
    </row>
    <row r="17" spans="1:13" s="465" customFormat="1" ht="56.25">
      <c r="A17" s="194"/>
      <c r="B17" s="207" t="s">
        <v>62</v>
      </c>
      <c r="C17" s="208" t="s">
        <v>4</v>
      </c>
      <c r="D17" s="193" t="s">
        <v>61</v>
      </c>
      <c r="E17" s="193" t="s">
        <v>63</v>
      </c>
      <c r="F17" s="661"/>
      <c r="G17" s="662"/>
      <c r="H17" s="662"/>
      <c r="I17" s="663"/>
      <c r="J17" s="193"/>
      <c r="K17" s="209">
        <v>2046.6</v>
      </c>
      <c r="L17" s="209">
        <f t="shared" ref="L17:M21" si="0">L18</f>
        <v>0</v>
      </c>
      <c r="M17" s="209">
        <f t="shared" si="0"/>
        <v>2046.6</v>
      </c>
    </row>
    <row r="18" spans="1:13" s="465" customFormat="1" ht="59.25" customHeight="1">
      <c r="A18" s="194"/>
      <c r="B18" s="207" t="s">
        <v>64</v>
      </c>
      <c r="C18" s="208" t="s">
        <v>4</v>
      </c>
      <c r="D18" s="193" t="s">
        <v>61</v>
      </c>
      <c r="E18" s="193" t="s">
        <v>63</v>
      </c>
      <c r="F18" s="661" t="s">
        <v>65</v>
      </c>
      <c r="G18" s="662" t="s">
        <v>66</v>
      </c>
      <c r="H18" s="662" t="s">
        <v>67</v>
      </c>
      <c r="I18" s="663" t="s">
        <v>68</v>
      </c>
      <c r="J18" s="193"/>
      <c r="K18" s="209">
        <v>2046.6</v>
      </c>
      <c r="L18" s="209">
        <f t="shared" si="0"/>
        <v>0</v>
      </c>
      <c r="M18" s="209">
        <f t="shared" si="0"/>
        <v>2046.6</v>
      </c>
    </row>
    <row r="19" spans="1:13" s="465" customFormat="1" ht="37.5">
      <c r="A19" s="194"/>
      <c r="B19" s="207" t="s">
        <v>428</v>
      </c>
      <c r="C19" s="208" t="s">
        <v>4</v>
      </c>
      <c r="D19" s="193" t="s">
        <v>61</v>
      </c>
      <c r="E19" s="193" t="s">
        <v>63</v>
      </c>
      <c r="F19" s="661" t="s">
        <v>65</v>
      </c>
      <c r="G19" s="662" t="s">
        <v>69</v>
      </c>
      <c r="H19" s="662" t="s">
        <v>67</v>
      </c>
      <c r="I19" s="663" t="s">
        <v>68</v>
      </c>
      <c r="J19" s="193"/>
      <c r="K19" s="209">
        <v>2046.6</v>
      </c>
      <c r="L19" s="209">
        <f t="shared" si="0"/>
        <v>0</v>
      </c>
      <c r="M19" s="209">
        <f t="shared" si="0"/>
        <v>2046.6</v>
      </c>
    </row>
    <row r="20" spans="1:13" s="465" customFormat="1" ht="56.25">
      <c r="A20" s="194"/>
      <c r="B20" s="207" t="s">
        <v>70</v>
      </c>
      <c r="C20" s="208" t="s">
        <v>4</v>
      </c>
      <c r="D20" s="193" t="s">
        <v>61</v>
      </c>
      <c r="E20" s="193" t="s">
        <v>63</v>
      </c>
      <c r="F20" s="661" t="s">
        <v>65</v>
      </c>
      <c r="G20" s="662" t="s">
        <v>69</v>
      </c>
      <c r="H20" s="662" t="s">
        <v>61</v>
      </c>
      <c r="I20" s="663" t="s">
        <v>68</v>
      </c>
      <c r="J20" s="193"/>
      <c r="K20" s="209">
        <v>2046.6</v>
      </c>
      <c r="L20" s="209">
        <f t="shared" si="0"/>
        <v>0</v>
      </c>
      <c r="M20" s="209">
        <f t="shared" si="0"/>
        <v>2046.6</v>
      </c>
    </row>
    <row r="21" spans="1:13" s="465" customFormat="1" ht="37.5">
      <c r="A21" s="194"/>
      <c r="B21" s="207" t="s">
        <v>71</v>
      </c>
      <c r="C21" s="208" t="s">
        <v>4</v>
      </c>
      <c r="D21" s="193" t="s">
        <v>61</v>
      </c>
      <c r="E21" s="193" t="s">
        <v>63</v>
      </c>
      <c r="F21" s="661" t="s">
        <v>65</v>
      </c>
      <c r="G21" s="662" t="s">
        <v>69</v>
      </c>
      <c r="H21" s="662" t="s">
        <v>61</v>
      </c>
      <c r="I21" s="663" t="s">
        <v>72</v>
      </c>
      <c r="J21" s="193"/>
      <c r="K21" s="209">
        <v>2046.6</v>
      </c>
      <c r="L21" s="209">
        <f t="shared" si="0"/>
        <v>0</v>
      </c>
      <c r="M21" s="209">
        <f t="shared" si="0"/>
        <v>2046.6</v>
      </c>
    </row>
    <row r="22" spans="1:13" s="465" customFormat="1" ht="112.5">
      <c r="A22" s="194"/>
      <c r="B22" s="207" t="s">
        <v>73</v>
      </c>
      <c r="C22" s="208" t="s">
        <v>4</v>
      </c>
      <c r="D22" s="193" t="s">
        <v>61</v>
      </c>
      <c r="E22" s="193" t="s">
        <v>63</v>
      </c>
      <c r="F22" s="661" t="s">
        <v>65</v>
      </c>
      <c r="G22" s="662" t="s">
        <v>69</v>
      </c>
      <c r="H22" s="662" t="s">
        <v>61</v>
      </c>
      <c r="I22" s="663" t="s">
        <v>72</v>
      </c>
      <c r="J22" s="193" t="s">
        <v>74</v>
      </c>
      <c r="K22" s="209">
        <v>2046.6</v>
      </c>
      <c r="L22" s="209">
        <f>M22-K22</f>
        <v>0</v>
      </c>
      <c r="M22" s="209">
        <v>2046.6</v>
      </c>
    </row>
    <row r="23" spans="1:13" s="472" customFormat="1" ht="75.75" customHeight="1">
      <c r="A23" s="194"/>
      <c r="B23" s="207" t="s">
        <v>75</v>
      </c>
      <c r="C23" s="208" t="s">
        <v>4</v>
      </c>
      <c r="D23" s="193" t="s">
        <v>61</v>
      </c>
      <c r="E23" s="193" t="s">
        <v>76</v>
      </c>
      <c r="F23" s="661"/>
      <c r="G23" s="662"/>
      <c r="H23" s="662"/>
      <c r="I23" s="663"/>
      <c r="J23" s="193"/>
      <c r="K23" s="209">
        <v>70753.063000000009</v>
      </c>
      <c r="L23" s="209">
        <f t="shared" ref="L23:M24" si="1">L24</f>
        <v>3.1974423109204508E-14</v>
      </c>
      <c r="M23" s="209">
        <f t="shared" si="1"/>
        <v>70753.063000000009</v>
      </c>
    </row>
    <row r="24" spans="1:13" s="472" customFormat="1" ht="60" customHeight="1">
      <c r="A24" s="194"/>
      <c r="B24" s="207" t="s">
        <v>77</v>
      </c>
      <c r="C24" s="208" t="s">
        <v>4</v>
      </c>
      <c r="D24" s="193" t="s">
        <v>61</v>
      </c>
      <c r="E24" s="193" t="s">
        <v>76</v>
      </c>
      <c r="F24" s="661" t="s">
        <v>65</v>
      </c>
      <c r="G24" s="662" t="s">
        <v>66</v>
      </c>
      <c r="H24" s="662" t="s">
        <v>67</v>
      </c>
      <c r="I24" s="663" t="s">
        <v>68</v>
      </c>
      <c r="J24" s="193"/>
      <c r="K24" s="209">
        <v>70753.063000000009</v>
      </c>
      <c r="L24" s="209">
        <f t="shared" si="1"/>
        <v>3.1974423109204508E-14</v>
      </c>
      <c r="M24" s="209">
        <f t="shared" si="1"/>
        <v>70753.063000000009</v>
      </c>
    </row>
    <row r="25" spans="1:13" s="190" customFormat="1" ht="37.5">
      <c r="A25" s="194"/>
      <c r="B25" s="207" t="s">
        <v>428</v>
      </c>
      <c r="C25" s="208" t="s">
        <v>4</v>
      </c>
      <c r="D25" s="193" t="s">
        <v>61</v>
      </c>
      <c r="E25" s="193" t="s">
        <v>76</v>
      </c>
      <c r="F25" s="661" t="s">
        <v>65</v>
      </c>
      <c r="G25" s="662" t="s">
        <v>69</v>
      </c>
      <c r="H25" s="662" t="s">
        <v>67</v>
      </c>
      <c r="I25" s="663" t="s">
        <v>68</v>
      </c>
      <c r="J25" s="193"/>
      <c r="K25" s="209">
        <v>70753.063000000009</v>
      </c>
      <c r="L25" s="209">
        <f>L26+L43</f>
        <v>3.1974423109204508E-14</v>
      </c>
      <c r="M25" s="209">
        <f>M26+M43</f>
        <v>70753.063000000009</v>
      </c>
    </row>
    <row r="26" spans="1:13" s="190" customFormat="1" ht="37.5">
      <c r="A26" s="194"/>
      <c r="B26" s="207" t="s">
        <v>78</v>
      </c>
      <c r="C26" s="208" t="s">
        <v>4</v>
      </c>
      <c r="D26" s="193" t="s">
        <v>61</v>
      </c>
      <c r="E26" s="193" t="s">
        <v>76</v>
      </c>
      <c r="F26" s="661" t="s">
        <v>65</v>
      </c>
      <c r="G26" s="662" t="s">
        <v>69</v>
      </c>
      <c r="H26" s="662" t="s">
        <v>63</v>
      </c>
      <c r="I26" s="663" t="s">
        <v>68</v>
      </c>
      <c r="J26" s="193"/>
      <c r="K26" s="209">
        <v>70628.363000000012</v>
      </c>
      <c r="L26" s="209">
        <f>L27+L33+L35+L38+L31+L41</f>
        <v>3.1974423109204508E-14</v>
      </c>
      <c r="M26" s="209">
        <f>M27+M33+M35+M38+M31+M41</f>
        <v>70628.363000000012</v>
      </c>
    </row>
    <row r="27" spans="1:13" s="465" customFormat="1" ht="37.5">
      <c r="A27" s="194"/>
      <c r="B27" s="207" t="s">
        <v>71</v>
      </c>
      <c r="C27" s="208" t="s">
        <v>4</v>
      </c>
      <c r="D27" s="193" t="s">
        <v>61</v>
      </c>
      <c r="E27" s="193" t="s">
        <v>76</v>
      </c>
      <c r="F27" s="661" t="s">
        <v>65</v>
      </c>
      <c r="G27" s="662" t="s">
        <v>69</v>
      </c>
      <c r="H27" s="662" t="s">
        <v>63</v>
      </c>
      <c r="I27" s="663" t="s">
        <v>72</v>
      </c>
      <c r="J27" s="193"/>
      <c r="K27" s="209">
        <v>65756.963000000003</v>
      </c>
      <c r="L27" s="209">
        <f>L28+L29+L30</f>
        <v>0</v>
      </c>
      <c r="M27" s="209">
        <f>M28+M29+M30</f>
        <v>65756.963000000003</v>
      </c>
    </row>
    <row r="28" spans="1:13" s="465" customFormat="1" ht="112.5">
      <c r="A28" s="194"/>
      <c r="B28" s="207" t="s">
        <v>73</v>
      </c>
      <c r="C28" s="208" t="s">
        <v>4</v>
      </c>
      <c r="D28" s="193" t="s">
        <v>61</v>
      </c>
      <c r="E28" s="193" t="s">
        <v>76</v>
      </c>
      <c r="F28" s="661" t="s">
        <v>65</v>
      </c>
      <c r="G28" s="662" t="s">
        <v>69</v>
      </c>
      <c r="H28" s="662" t="s">
        <v>63</v>
      </c>
      <c r="I28" s="663" t="s">
        <v>72</v>
      </c>
      <c r="J28" s="193" t="s">
        <v>74</v>
      </c>
      <c r="K28" s="209">
        <v>57781.4</v>
      </c>
      <c r="L28" s="209">
        <f t="shared" ref="L28:L30" si="2">M28-K28</f>
        <v>0</v>
      </c>
      <c r="M28" s="209">
        <f>58071.6-290.2</f>
        <v>57781.4</v>
      </c>
    </row>
    <row r="29" spans="1:13" s="190" customFormat="1" ht="56.25">
      <c r="A29" s="194"/>
      <c r="B29" s="207" t="s">
        <v>79</v>
      </c>
      <c r="C29" s="208" t="s">
        <v>4</v>
      </c>
      <c r="D29" s="193" t="s">
        <v>61</v>
      </c>
      <c r="E29" s="193" t="s">
        <v>76</v>
      </c>
      <c r="F29" s="661" t="s">
        <v>65</v>
      </c>
      <c r="G29" s="662" t="s">
        <v>69</v>
      </c>
      <c r="H29" s="662" t="s">
        <v>63</v>
      </c>
      <c r="I29" s="663" t="s">
        <v>72</v>
      </c>
      <c r="J29" s="193" t="s">
        <v>80</v>
      </c>
      <c r="K29" s="209">
        <v>7463.2630000000008</v>
      </c>
      <c r="L29" s="209">
        <f t="shared" si="2"/>
        <v>0</v>
      </c>
      <c r="M29" s="209">
        <f>5659.1+1700+19.363+2.1+82.7</f>
        <v>7463.2630000000008</v>
      </c>
    </row>
    <row r="30" spans="1:13" s="465" customFormat="1" ht="18.75">
      <c r="A30" s="194"/>
      <c r="B30" s="207" t="s">
        <v>81</v>
      </c>
      <c r="C30" s="208" t="s">
        <v>4</v>
      </c>
      <c r="D30" s="193" t="s">
        <v>61</v>
      </c>
      <c r="E30" s="193" t="s">
        <v>76</v>
      </c>
      <c r="F30" s="661" t="s">
        <v>65</v>
      </c>
      <c r="G30" s="662" t="s">
        <v>69</v>
      </c>
      <c r="H30" s="662" t="s">
        <v>63</v>
      </c>
      <c r="I30" s="663" t="s">
        <v>72</v>
      </c>
      <c r="J30" s="193" t="s">
        <v>82</v>
      </c>
      <c r="K30" s="209">
        <v>512.29999999999995</v>
      </c>
      <c r="L30" s="209">
        <f t="shared" si="2"/>
        <v>0</v>
      </c>
      <c r="M30" s="209">
        <v>512.29999999999995</v>
      </c>
    </row>
    <row r="31" spans="1:13" s="472" customFormat="1" ht="97.5" customHeight="1">
      <c r="A31" s="194"/>
      <c r="B31" s="207" t="s">
        <v>87</v>
      </c>
      <c r="C31" s="208" t="s">
        <v>4</v>
      </c>
      <c r="D31" s="193" t="s">
        <v>61</v>
      </c>
      <c r="E31" s="193" t="s">
        <v>76</v>
      </c>
      <c r="F31" s="661" t="s">
        <v>65</v>
      </c>
      <c r="G31" s="662" t="s">
        <v>69</v>
      </c>
      <c r="H31" s="662" t="s">
        <v>63</v>
      </c>
      <c r="I31" s="663" t="s">
        <v>327</v>
      </c>
      <c r="J31" s="193"/>
      <c r="K31" s="209">
        <v>66</v>
      </c>
      <c r="L31" s="209">
        <f>L32</f>
        <v>0</v>
      </c>
      <c r="M31" s="209">
        <f>M32</f>
        <v>66</v>
      </c>
    </row>
    <row r="32" spans="1:13" s="472" customFormat="1" ht="56.25">
      <c r="A32" s="194"/>
      <c r="B32" s="207" t="s">
        <v>79</v>
      </c>
      <c r="C32" s="208" t="s">
        <v>4</v>
      </c>
      <c r="D32" s="193" t="s">
        <v>61</v>
      </c>
      <c r="E32" s="193" t="s">
        <v>76</v>
      </c>
      <c r="F32" s="661" t="s">
        <v>65</v>
      </c>
      <c r="G32" s="662" t="s">
        <v>69</v>
      </c>
      <c r="H32" s="662" t="s">
        <v>63</v>
      </c>
      <c r="I32" s="663" t="s">
        <v>327</v>
      </c>
      <c r="J32" s="193" t="s">
        <v>80</v>
      </c>
      <c r="K32" s="209">
        <v>66</v>
      </c>
      <c r="L32" s="209">
        <f>M32-K32</f>
        <v>0</v>
      </c>
      <c r="M32" s="209">
        <v>66</v>
      </c>
    </row>
    <row r="33" spans="1:13" s="472" customFormat="1" ht="211.5" customHeight="1">
      <c r="A33" s="194"/>
      <c r="B33" s="250" t="s">
        <v>631</v>
      </c>
      <c r="C33" s="208" t="s">
        <v>4</v>
      </c>
      <c r="D33" s="193" t="s">
        <v>61</v>
      </c>
      <c r="E33" s="193" t="s">
        <v>76</v>
      </c>
      <c r="F33" s="661" t="s">
        <v>65</v>
      </c>
      <c r="G33" s="662" t="s">
        <v>69</v>
      </c>
      <c r="H33" s="662" t="s">
        <v>63</v>
      </c>
      <c r="I33" s="663" t="s">
        <v>83</v>
      </c>
      <c r="J33" s="193"/>
      <c r="K33" s="209">
        <v>640.6</v>
      </c>
      <c r="L33" s="209">
        <f>L34</f>
        <v>0</v>
      </c>
      <c r="M33" s="209">
        <f>M34</f>
        <v>640.6</v>
      </c>
    </row>
    <row r="34" spans="1:13" s="472" customFormat="1" ht="112.5">
      <c r="A34" s="194"/>
      <c r="B34" s="207" t="s">
        <v>73</v>
      </c>
      <c r="C34" s="208" t="s">
        <v>4</v>
      </c>
      <c r="D34" s="193" t="s">
        <v>61</v>
      </c>
      <c r="E34" s="193" t="s">
        <v>76</v>
      </c>
      <c r="F34" s="661" t="s">
        <v>65</v>
      </c>
      <c r="G34" s="662" t="s">
        <v>69</v>
      </c>
      <c r="H34" s="662" t="s">
        <v>63</v>
      </c>
      <c r="I34" s="663" t="s">
        <v>83</v>
      </c>
      <c r="J34" s="193" t="s">
        <v>74</v>
      </c>
      <c r="K34" s="209">
        <v>640.6</v>
      </c>
      <c r="L34" s="209">
        <f>M34-K34</f>
        <v>0</v>
      </c>
      <c r="M34" s="209">
        <v>640.6</v>
      </c>
    </row>
    <row r="35" spans="1:13" s="472" customFormat="1" ht="78.75" customHeight="1">
      <c r="A35" s="194"/>
      <c r="B35" s="207" t="s">
        <v>84</v>
      </c>
      <c r="C35" s="208" t="s">
        <v>4</v>
      </c>
      <c r="D35" s="193" t="s">
        <v>61</v>
      </c>
      <c r="E35" s="193" t="s">
        <v>76</v>
      </c>
      <c r="F35" s="661" t="s">
        <v>65</v>
      </c>
      <c r="G35" s="662" t="s">
        <v>69</v>
      </c>
      <c r="H35" s="662" t="s">
        <v>63</v>
      </c>
      <c r="I35" s="663" t="s">
        <v>85</v>
      </c>
      <c r="J35" s="193"/>
      <c r="K35" s="209">
        <v>3458</v>
      </c>
      <c r="L35" s="209">
        <f>SUM(L36:L37)</f>
        <v>0</v>
      </c>
      <c r="M35" s="209">
        <f>SUM(M36:M37)</f>
        <v>3458</v>
      </c>
    </row>
    <row r="36" spans="1:13" s="472" customFormat="1" ht="112.5">
      <c r="A36" s="194"/>
      <c r="B36" s="207" t="s">
        <v>73</v>
      </c>
      <c r="C36" s="208" t="s">
        <v>4</v>
      </c>
      <c r="D36" s="193" t="s">
        <v>61</v>
      </c>
      <c r="E36" s="193" t="s">
        <v>76</v>
      </c>
      <c r="F36" s="661" t="s">
        <v>65</v>
      </c>
      <c r="G36" s="662" t="s">
        <v>69</v>
      </c>
      <c r="H36" s="662" t="s">
        <v>63</v>
      </c>
      <c r="I36" s="663" t="s">
        <v>85</v>
      </c>
      <c r="J36" s="193" t="s">
        <v>74</v>
      </c>
      <c r="K36" s="209">
        <v>3296</v>
      </c>
      <c r="L36" s="209">
        <f t="shared" ref="L36:L37" si="3">M36-K36</f>
        <v>0</v>
      </c>
      <c r="M36" s="209">
        <v>3296</v>
      </c>
    </row>
    <row r="37" spans="1:13" s="190" customFormat="1" ht="56.25">
      <c r="A37" s="194"/>
      <c r="B37" s="207" t="s">
        <v>79</v>
      </c>
      <c r="C37" s="208" t="s">
        <v>4</v>
      </c>
      <c r="D37" s="193" t="s">
        <v>61</v>
      </c>
      <c r="E37" s="193" t="s">
        <v>76</v>
      </c>
      <c r="F37" s="661" t="s">
        <v>65</v>
      </c>
      <c r="G37" s="662" t="s">
        <v>69</v>
      </c>
      <c r="H37" s="662" t="s">
        <v>63</v>
      </c>
      <c r="I37" s="663" t="s">
        <v>85</v>
      </c>
      <c r="J37" s="193" t="s">
        <v>80</v>
      </c>
      <c r="K37" s="209">
        <v>162</v>
      </c>
      <c r="L37" s="209">
        <f t="shared" si="3"/>
        <v>0</v>
      </c>
      <c r="M37" s="209">
        <v>162</v>
      </c>
    </row>
    <row r="38" spans="1:13" s="472" customFormat="1" ht="75">
      <c r="A38" s="194"/>
      <c r="B38" s="207" t="s">
        <v>638</v>
      </c>
      <c r="C38" s="208" t="s">
        <v>4</v>
      </c>
      <c r="D38" s="193" t="s">
        <v>61</v>
      </c>
      <c r="E38" s="193" t="s">
        <v>76</v>
      </c>
      <c r="F38" s="661" t="s">
        <v>65</v>
      </c>
      <c r="G38" s="662" t="s">
        <v>69</v>
      </c>
      <c r="H38" s="662" t="s">
        <v>63</v>
      </c>
      <c r="I38" s="663" t="s">
        <v>86</v>
      </c>
      <c r="J38" s="193"/>
      <c r="K38" s="209">
        <v>640.79999999999995</v>
      </c>
      <c r="L38" s="209">
        <f>L39+L40</f>
        <v>3.1974423109204508E-14</v>
      </c>
      <c r="M38" s="209">
        <f>M39+M40</f>
        <v>640.79999999999995</v>
      </c>
    </row>
    <row r="39" spans="1:13" s="472" customFormat="1" ht="112.5">
      <c r="A39" s="194"/>
      <c r="B39" s="207" t="s">
        <v>73</v>
      </c>
      <c r="C39" s="208" t="s">
        <v>4</v>
      </c>
      <c r="D39" s="193" t="s">
        <v>61</v>
      </c>
      <c r="E39" s="193" t="s">
        <v>76</v>
      </c>
      <c r="F39" s="661" t="s">
        <v>65</v>
      </c>
      <c r="G39" s="662" t="s">
        <v>69</v>
      </c>
      <c r="H39" s="662" t="s">
        <v>63</v>
      </c>
      <c r="I39" s="663" t="s">
        <v>86</v>
      </c>
      <c r="J39" s="193" t="s">
        <v>74</v>
      </c>
      <c r="K39" s="209">
        <v>640.79999999999995</v>
      </c>
      <c r="L39" s="209">
        <f>M39-K39</f>
        <v>-21.111999999999966</v>
      </c>
      <c r="M39" s="209">
        <f>640.8-21.112</f>
        <v>619.68799999999999</v>
      </c>
    </row>
    <row r="40" spans="1:13" s="472" customFormat="1" ht="56.25">
      <c r="A40" s="194"/>
      <c r="B40" s="207" t="s">
        <v>79</v>
      </c>
      <c r="C40" s="208" t="s">
        <v>4</v>
      </c>
      <c r="D40" s="193" t="s">
        <v>61</v>
      </c>
      <c r="E40" s="193" t="s">
        <v>76</v>
      </c>
      <c r="F40" s="764" t="s">
        <v>65</v>
      </c>
      <c r="G40" s="765" t="s">
        <v>69</v>
      </c>
      <c r="H40" s="765" t="s">
        <v>63</v>
      </c>
      <c r="I40" s="766" t="s">
        <v>86</v>
      </c>
      <c r="J40" s="193" t="s">
        <v>80</v>
      </c>
      <c r="K40" s="209"/>
      <c r="L40" s="209">
        <f>M40-K40</f>
        <v>21.111999999999998</v>
      </c>
      <c r="M40" s="209">
        <f>21.112</f>
        <v>21.111999999999998</v>
      </c>
    </row>
    <row r="41" spans="1:13" s="472" customFormat="1" ht="189" customHeight="1">
      <c r="A41" s="194"/>
      <c r="B41" s="250" t="s">
        <v>496</v>
      </c>
      <c r="C41" s="208" t="s">
        <v>4</v>
      </c>
      <c r="D41" s="193" t="s">
        <v>61</v>
      </c>
      <c r="E41" s="193" t="s">
        <v>76</v>
      </c>
      <c r="F41" s="661" t="s">
        <v>65</v>
      </c>
      <c r="G41" s="662" t="s">
        <v>69</v>
      </c>
      <c r="H41" s="662" t="s">
        <v>63</v>
      </c>
      <c r="I41" s="663" t="s">
        <v>495</v>
      </c>
      <c r="J41" s="193"/>
      <c r="K41" s="209">
        <v>66</v>
      </c>
      <c r="L41" s="209">
        <f>L42</f>
        <v>0</v>
      </c>
      <c r="M41" s="209">
        <f>M42</f>
        <v>66</v>
      </c>
    </row>
    <row r="42" spans="1:13" s="472" customFormat="1" ht="56.25">
      <c r="A42" s="194"/>
      <c r="B42" s="207" t="s">
        <v>79</v>
      </c>
      <c r="C42" s="208" t="s">
        <v>4</v>
      </c>
      <c r="D42" s="193" t="s">
        <v>61</v>
      </c>
      <c r="E42" s="193" t="s">
        <v>76</v>
      </c>
      <c r="F42" s="661" t="s">
        <v>65</v>
      </c>
      <c r="G42" s="662" t="s">
        <v>69</v>
      </c>
      <c r="H42" s="662" t="s">
        <v>63</v>
      </c>
      <c r="I42" s="663" t="s">
        <v>495</v>
      </c>
      <c r="J42" s="193" t="s">
        <v>80</v>
      </c>
      <c r="K42" s="209">
        <v>66</v>
      </c>
      <c r="L42" s="209">
        <f>M42-K42</f>
        <v>0</v>
      </c>
      <c r="M42" s="209">
        <v>66</v>
      </c>
    </row>
    <row r="43" spans="1:13" s="190" customFormat="1" ht="18.75">
      <c r="A43" s="194"/>
      <c r="B43" s="207" t="s">
        <v>88</v>
      </c>
      <c r="C43" s="208" t="s">
        <v>4</v>
      </c>
      <c r="D43" s="193" t="s">
        <v>61</v>
      </c>
      <c r="E43" s="193" t="s">
        <v>76</v>
      </c>
      <c r="F43" s="661" t="s">
        <v>65</v>
      </c>
      <c r="G43" s="662" t="s">
        <v>69</v>
      </c>
      <c r="H43" s="662" t="s">
        <v>89</v>
      </c>
      <c r="I43" s="663" t="s">
        <v>68</v>
      </c>
      <c r="J43" s="193"/>
      <c r="K43" s="209">
        <v>124.7</v>
      </c>
      <c r="L43" s="209">
        <f t="shared" ref="L43:M44" si="4">L44</f>
        <v>0</v>
      </c>
      <c r="M43" s="209">
        <f t="shared" si="4"/>
        <v>124.7</v>
      </c>
    </row>
    <row r="44" spans="1:13" s="465" customFormat="1" ht="37.5">
      <c r="A44" s="194"/>
      <c r="B44" s="207" t="s">
        <v>71</v>
      </c>
      <c r="C44" s="208" t="s">
        <v>4</v>
      </c>
      <c r="D44" s="193" t="s">
        <v>61</v>
      </c>
      <c r="E44" s="193" t="s">
        <v>76</v>
      </c>
      <c r="F44" s="661" t="s">
        <v>65</v>
      </c>
      <c r="G44" s="662" t="s">
        <v>69</v>
      </c>
      <c r="H44" s="662" t="s">
        <v>89</v>
      </c>
      <c r="I44" s="663" t="s">
        <v>72</v>
      </c>
      <c r="J44" s="193"/>
      <c r="K44" s="209">
        <v>124.7</v>
      </c>
      <c r="L44" s="209">
        <f t="shared" si="4"/>
        <v>0</v>
      </c>
      <c r="M44" s="209">
        <f t="shared" si="4"/>
        <v>124.7</v>
      </c>
    </row>
    <row r="45" spans="1:13" s="190" customFormat="1" ht="56.25">
      <c r="A45" s="194"/>
      <c r="B45" s="207" t="s">
        <v>79</v>
      </c>
      <c r="C45" s="208" t="s">
        <v>4</v>
      </c>
      <c r="D45" s="193" t="s">
        <v>61</v>
      </c>
      <c r="E45" s="193" t="s">
        <v>76</v>
      </c>
      <c r="F45" s="661" t="s">
        <v>65</v>
      </c>
      <c r="G45" s="662" t="s">
        <v>69</v>
      </c>
      <c r="H45" s="662" t="s">
        <v>89</v>
      </c>
      <c r="I45" s="663" t="s">
        <v>72</v>
      </c>
      <c r="J45" s="193" t="s">
        <v>80</v>
      </c>
      <c r="K45" s="209">
        <v>124.7</v>
      </c>
      <c r="L45" s="209">
        <f>M45-K45</f>
        <v>0</v>
      </c>
      <c r="M45" s="209">
        <f>63.7+61</f>
        <v>124.7</v>
      </c>
    </row>
    <row r="46" spans="1:13" s="190" customFormat="1" ht="18.75">
      <c r="A46" s="194"/>
      <c r="B46" s="207" t="s">
        <v>528</v>
      </c>
      <c r="C46" s="208" t="s">
        <v>4</v>
      </c>
      <c r="D46" s="193" t="s">
        <v>61</v>
      </c>
      <c r="E46" s="193" t="s">
        <v>91</v>
      </c>
      <c r="F46" s="661"/>
      <c r="G46" s="662"/>
      <c r="H46" s="662"/>
      <c r="I46" s="663"/>
      <c r="J46" s="193"/>
      <c r="K46" s="209">
        <v>12.4</v>
      </c>
      <c r="L46" s="209">
        <f t="shared" ref="L46:M50" si="5">L47</f>
        <v>0</v>
      </c>
      <c r="M46" s="209">
        <f t="shared" si="5"/>
        <v>12.4</v>
      </c>
    </row>
    <row r="47" spans="1:13" s="190" customFormat="1" ht="59.25" customHeight="1">
      <c r="A47" s="194"/>
      <c r="B47" s="207" t="s">
        <v>77</v>
      </c>
      <c r="C47" s="208" t="s">
        <v>4</v>
      </c>
      <c r="D47" s="193" t="s">
        <v>61</v>
      </c>
      <c r="E47" s="193" t="s">
        <v>91</v>
      </c>
      <c r="F47" s="661" t="s">
        <v>65</v>
      </c>
      <c r="G47" s="662" t="s">
        <v>66</v>
      </c>
      <c r="H47" s="662" t="s">
        <v>67</v>
      </c>
      <c r="I47" s="663" t="s">
        <v>68</v>
      </c>
      <c r="J47" s="193"/>
      <c r="K47" s="209">
        <v>12.4</v>
      </c>
      <c r="L47" s="209">
        <f t="shared" si="5"/>
        <v>0</v>
      </c>
      <c r="M47" s="209">
        <f t="shared" si="5"/>
        <v>12.4</v>
      </c>
    </row>
    <row r="48" spans="1:13" s="190" customFormat="1" ht="37.5">
      <c r="A48" s="194"/>
      <c r="B48" s="207" t="s">
        <v>428</v>
      </c>
      <c r="C48" s="208" t="s">
        <v>4</v>
      </c>
      <c r="D48" s="193" t="s">
        <v>61</v>
      </c>
      <c r="E48" s="193" t="s">
        <v>91</v>
      </c>
      <c r="F48" s="661" t="s">
        <v>65</v>
      </c>
      <c r="G48" s="662" t="s">
        <v>69</v>
      </c>
      <c r="H48" s="662" t="s">
        <v>67</v>
      </c>
      <c r="I48" s="663" t="s">
        <v>68</v>
      </c>
      <c r="J48" s="193"/>
      <c r="K48" s="209">
        <v>12.4</v>
      </c>
      <c r="L48" s="209">
        <f t="shared" si="5"/>
        <v>0</v>
      </c>
      <c r="M48" s="209">
        <f t="shared" si="5"/>
        <v>12.4</v>
      </c>
    </row>
    <row r="49" spans="1:13" s="190" customFormat="1" ht="37.5">
      <c r="A49" s="194"/>
      <c r="B49" s="207" t="s">
        <v>78</v>
      </c>
      <c r="C49" s="208" t="s">
        <v>4</v>
      </c>
      <c r="D49" s="193" t="s">
        <v>61</v>
      </c>
      <c r="E49" s="193" t="s">
        <v>91</v>
      </c>
      <c r="F49" s="661" t="s">
        <v>65</v>
      </c>
      <c r="G49" s="662" t="s">
        <v>69</v>
      </c>
      <c r="H49" s="662" t="s">
        <v>63</v>
      </c>
      <c r="I49" s="663" t="s">
        <v>68</v>
      </c>
      <c r="J49" s="193"/>
      <c r="K49" s="209">
        <v>12.4</v>
      </c>
      <c r="L49" s="209">
        <f t="shared" si="5"/>
        <v>0</v>
      </c>
      <c r="M49" s="209">
        <f t="shared" si="5"/>
        <v>12.4</v>
      </c>
    </row>
    <row r="50" spans="1:13" s="190" customFormat="1" ht="79.5" customHeight="1">
      <c r="A50" s="194"/>
      <c r="B50" s="207" t="s">
        <v>530</v>
      </c>
      <c r="C50" s="208" t="s">
        <v>4</v>
      </c>
      <c r="D50" s="193" t="s">
        <v>61</v>
      </c>
      <c r="E50" s="193" t="s">
        <v>91</v>
      </c>
      <c r="F50" s="661" t="s">
        <v>65</v>
      </c>
      <c r="G50" s="662" t="s">
        <v>69</v>
      </c>
      <c r="H50" s="662" t="s">
        <v>63</v>
      </c>
      <c r="I50" s="663" t="s">
        <v>529</v>
      </c>
      <c r="J50" s="193"/>
      <c r="K50" s="209">
        <v>12.4</v>
      </c>
      <c r="L50" s="209">
        <f t="shared" si="5"/>
        <v>0</v>
      </c>
      <c r="M50" s="209">
        <f t="shared" si="5"/>
        <v>12.4</v>
      </c>
    </row>
    <row r="51" spans="1:13" s="190" customFormat="1" ht="56.25">
      <c r="A51" s="194"/>
      <c r="B51" s="207" t="s">
        <v>79</v>
      </c>
      <c r="C51" s="208" t="s">
        <v>4</v>
      </c>
      <c r="D51" s="193" t="s">
        <v>61</v>
      </c>
      <c r="E51" s="193" t="s">
        <v>91</v>
      </c>
      <c r="F51" s="661" t="s">
        <v>65</v>
      </c>
      <c r="G51" s="662" t="s">
        <v>69</v>
      </c>
      <c r="H51" s="662" t="s">
        <v>63</v>
      </c>
      <c r="I51" s="663" t="s">
        <v>529</v>
      </c>
      <c r="J51" s="193" t="s">
        <v>80</v>
      </c>
      <c r="K51" s="209">
        <v>12.4</v>
      </c>
      <c r="L51" s="209">
        <f>M51-K51</f>
        <v>0</v>
      </c>
      <c r="M51" s="209">
        <v>12.4</v>
      </c>
    </row>
    <row r="52" spans="1:13" s="190" customFormat="1" ht="37.5">
      <c r="A52" s="194"/>
      <c r="B52" s="207" t="s">
        <v>632</v>
      </c>
      <c r="C52" s="208" t="s">
        <v>4</v>
      </c>
      <c r="D52" s="193" t="s">
        <v>61</v>
      </c>
      <c r="E52" s="193" t="s">
        <v>263</v>
      </c>
      <c r="F52" s="661"/>
      <c r="G52" s="662"/>
      <c r="H52" s="662"/>
      <c r="I52" s="663"/>
      <c r="J52" s="193"/>
      <c r="K52" s="209">
        <v>2300</v>
      </c>
      <c r="L52" s="209">
        <f t="shared" ref="L52:M56" si="6">L53</f>
        <v>0</v>
      </c>
      <c r="M52" s="209">
        <f t="shared" si="6"/>
        <v>2300</v>
      </c>
    </row>
    <row r="53" spans="1:13" s="190" customFormat="1" ht="60.75" customHeight="1">
      <c r="A53" s="194"/>
      <c r="B53" s="207" t="s">
        <v>77</v>
      </c>
      <c r="C53" s="208" t="s">
        <v>4</v>
      </c>
      <c r="D53" s="193" t="s">
        <v>61</v>
      </c>
      <c r="E53" s="193" t="s">
        <v>263</v>
      </c>
      <c r="F53" s="661" t="s">
        <v>65</v>
      </c>
      <c r="G53" s="662" t="s">
        <v>66</v>
      </c>
      <c r="H53" s="662" t="s">
        <v>67</v>
      </c>
      <c r="I53" s="663" t="s">
        <v>68</v>
      </c>
      <c r="J53" s="193"/>
      <c r="K53" s="209">
        <v>2300</v>
      </c>
      <c r="L53" s="209">
        <f t="shared" si="6"/>
        <v>0</v>
      </c>
      <c r="M53" s="209">
        <f t="shared" si="6"/>
        <v>2300</v>
      </c>
    </row>
    <row r="54" spans="1:13" s="190" customFormat="1" ht="37.5">
      <c r="A54" s="194"/>
      <c r="B54" s="207" t="s">
        <v>428</v>
      </c>
      <c r="C54" s="208" t="s">
        <v>4</v>
      </c>
      <c r="D54" s="193" t="s">
        <v>61</v>
      </c>
      <c r="E54" s="193" t="s">
        <v>263</v>
      </c>
      <c r="F54" s="661" t="s">
        <v>65</v>
      </c>
      <c r="G54" s="662" t="s">
        <v>69</v>
      </c>
      <c r="H54" s="662" t="s">
        <v>67</v>
      </c>
      <c r="I54" s="663" t="s">
        <v>68</v>
      </c>
      <c r="J54" s="193"/>
      <c r="K54" s="209">
        <v>2300</v>
      </c>
      <c r="L54" s="209">
        <f t="shared" si="6"/>
        <v>0</v>
      </c>
      <c r="M54" s="209">
        <f t="shared" si="6"/>
        <v>2300</v>
      </c>
    </row>
    <row r="55" spans="1:13" s="190" customFormat="1" ht="18.75">
      <c r="A55" s="194"/>
      <c r="B55" s="207" t="s">
        <v>633</v>
      </c>
      <c r="C55" s="208" t="s">
        <v>4</v>
      </c>
      <c r="D55" s="193" t="s">
        <v>61</v>
      </c>
      <c r="E55" s="193" t="s">
        <v>263</v>
      </c>
      <c r="F55" s="661" t="s">
        <v>65</v>
      </c>
      <c r="G55" s="662" t="s">
        <v>69</v>
      </c>
      <c r="H55" s="662" t="s">
        <v>263</v>
      </c>
      <c r="I55" s="663" t="s">
        <v>68</v>
      </c>
      <c r="J55" s="193"/>
      <c r="K55" s="209">
        <v>2300</v>
      </c>
      <c r="L55" s="209">
        <f t="shared" si="6"/>
        <v>0</v>
      </c>
      <c r="M55" s="209">
        <f t="shared" si="6"/>
        <v>2300</v>
      </c>
    </row>
    <row r="56" spans="1:13" s="190" customFormat="1" ht="37.5">
      <c r="A56" s="194"/>
      <c r="B56" s="207" t="s">
        <v>634</v>
      </c>
      <c r="C56" s="208" t="s">
        <v>4</v>
      </c>
      <c r="D56" s="193" t="s">
        <v>61</v>
      </c>
      <c r="E56" s="193" t="s">
        <v>263</v>
      </c>
      <c r="F56" s="661" t="s">
        <v>65</v>
      </c>
      <c r="G56" s="662" t="s">
        <v>69</v>
      </c>
      <c r="H56" s="662" t="s">
        <v>263</v>
      </c>
      <c r="I56" s="663" t="s">
        <v>635</v>
      </c>
      <c r="J56" s="193"/>
      <c r="K56" s="209">
        <v>2300</v>
      </c>
      <c r="L56" s="209">
        <f t="shared" si="6"/>
        <v>0</v>
      </c>
      <c r="M56" s="209">
        <f t="shared" si="6"/>
        <v>2300</v>
      </c>
    </row>
    <row r="57" spans="1:13" s="190" customFormat="1" ht="18.75">
      <c r="A57" s="194"/>
      <c r="B57" s="207" t="s">
        <v>81</v>
      </c>
      <c r="C57" s="208" t="s">
        <v>4</v>
      </c>
      <c r="D57" s="193" t="s">
        <v>61</v>
      </c>
      <c r="E57" s="193" t="s">
        <v>263</v>
      </c>
      <c r="F57" s="661" t="s">
        <v>65</v>
      </c>
      <c r="G57" s="662" t="s">
        <v>69</v>
      </c>
      <c r="H57" s="662" t="s">
        <v>263</v>
      </c>
      <c r="I57" s="663" t="s">
        <v>635</v>
      </c>
      <c r="J57" s="193" t="s">
        <v>82</v>
      </c>
      <c r="K57" s="209">
        <v>2300</v>
      </c>
      <c r="L57" s="209">
        <f>M57-K57</f>
        <v>0</v>
      </c>
      <c r="M57" s="209">
        <v>2300</v>
      </c>
    </row>
    <row r="58" spans="1:13" s="465" customFormat="1" ht="18.75">
      <c r="A58" s="194"/>
      <c r="B58" s="207" t="s">
        <v>92</v>
      </c>
      <c r="C58" s="208" t="s">
        <v>4</v>
      </c>
      <c r="D58" s="193" t="s">
        <v>61</v>
      </c>
      <c r="E58" s="193" t="s">
        <v>93</v>
      </c>
      <c r="F58" s="661"/>
      <c r="G58" s="662"/>
      <c r="H58" s="662"/>
      <c r="I58" s="663"/>
      <c r="J58" s="193"/>
      <c r="K58" s="209">
        <v>3000</v>
      </c>
      <c r="L58" s="209">
        <f t="shared" ref="L58:M62" si="7">L59</f>
        <v>-1848.4920000000002</v>
      </c>
      <c r="M58" s="209">
        <f t="shared" si="7"/>
        <v>1151.5079999999998</v>
      </c>
    </row>
    <row r="59" spans="1:13" s="465" customFormat="1" ht="37.5">
      <c r="A59" s="194"/>
      <c r="B59" s="207" t="s">
        <v>94</v>
      </c>
      <c r="C59" s="208" t="s">
        <v>4</v>
      </c>
      <c r="D59" s="193" t="s">
        <v>61</v>
      </c>
      <c r="E59" s="193" t="s">
        <v>93</v>
      </c>
      <c r="F59" s="661" t="s">
        <v>95</v>
      </c>
      <c r="G59" s="662" t="s">
        <v>66</v>
      </c>
      <c r="H59" s="662" t="s">
        <v>67</v>
      </c>
      <c r="I59" s="663" t="s">
        <v>68</v>
      </c>
      <c r="J59" s="193"/>
      <c r="K59" s="209">
        <v>3000</v>
      </c>
      <c r="L59" s="209">
        <f t="shared" si="7"/>
        <v>-1848.4920000000002</v>
      </c>
      <c r="M59" s="209">
        <f t="shared" si="7"/>
        <v>1151.5079999999998</v>
      </c>
    </row>
    <row r="60" spans="1:13" s="465" customFormat="1" ht="37.5">
      <c r="A60" s="194"/>
      <c r="B60" s="210" t="s">
        <v>96</v>
      </c>
      <c r="C60" s="208" t="s">
        <v>4</v>
      </c>
      <c r="D60" s="193" t="s">
        <v>61</v>
      </c>
      <c r="E60" s="193" t="s">
        <v>93</v>
      </c>
      <c r="F60" s="661" t="s">
        <v>95</v>
      </c>
      <c r="G60" s="662" t="s">
        <v>69</v>
      </c>
      <c r="H60" s="662" t="s">
        <v>67</v>
      </c>
      <c r="I60" s="663" t="s">
        <v>68</v>
      </c>
      <c r="J60" s="193"/>
      <c r="K60" s="209">
        <v>3000</v>
      </c>
      <c r="L60" s="209">
        <f t="shared" si="7"/>
        <v>-1848.4920000000002</v>
      </c>
      <c r="M60" s="209">
        <f t="shared" si="7"/>
        <v>1151.5079999999998</v>
      </c>
    </row>
    <row r="61" spans="1:13" s="465" customFormat="1" ht="18.75">
      <c r="A61" s="194"/>
      <c r="B61" s="207" t="s">
        <v>92</v>
      </c>
      <c r="C61" s="208" t="s">
        <v>4</v>
      </c>
      <c r="D61" s="193" t="s">
        <v>61</v>
      </c>
      <c r="E61" s="193" t="s">
        <v>93</v>
      </c>
      <c r="F61" s="661" t="s">
        <v>95</v>
      </c>
      <c r="G61" s="662" t="s">
        <v>69</v>
      </c>
      <c r="H61" s="662" t="s">
        <v>61</v>
      </c>
      <c r="I61" s="663" t="s">
        <v>68</v>
      </c>
      <c r="J61" s="193"/>
      <c r="K61" s="209">
        <v>3000</v>
      </c>
      <c r="L61" s="209">
        <f t="shared" si="7"/>
        <v>-1848.4920000000002</v>
      </c>
      <c r="M61" s="209">
        <f t="shared" si="7"/>
        <v>1151.5079999999998</v>
      </c>
    </row>
    <row r="62" spans="1:13" s="465" customFormat="1" ht="18.75">
      <c r="A62" s="194"/>
      <c r="B62" s="207" t="s">
        <v>97</v>
      </c>
      <c r="C62" s="208" t="s">
        <v>4</v>
      </c>
      <c r="D62" s="193" t="s">
        <v>61</v>
      </c>
      <c r="E62" s="193" t="s">
        <v>93</v>
      </c>
      <c r="F62" s="661" t="s">
        <v>95</v>
      </c>
      <c r="G62" s="662" t="s">
        <v>69</v>
      </c>
      <c r="H62" s="662" t="s">
        <v>61</v>
      </c>
      <c r="I62" s="663" t="s">
        <v>98</v>
      </c>
      <c r="J62" s="193"/>
      <c r="K62" s="209">
        <v>3000</v>
      </c>
      <c r="L62" s="209">
        <f t="shared" si="7"/>
        <v>-1848.4920000000002</v>
      </c>
      <c r="M62" s="209">
        <f t="shared" si="7"/>
        <v>1151.5079999999998</v>
      </c>
    </row>
    <row r="63" spans="1:13" s="465" customFormat="1" ht="18.75">
      <c r="A63" s="194"/>
      <c r="B63" s="207" t="s">
        <v>81</v>
      </c>
      <c r="C63" s="208" t="s">
        <v>4</v>
      </c>
      <c r="D63" s="193" t="s">
        <v>61</v>
      </c>
      <c r="E63" s="193" t="s">
        <v>93</v>
      </c>
      <c r="F63" s="661" t="s">
        <v>95</v>
      </c>
      <c r="G63" s="662" t="s">
        <v>69</v>
      </c>
      <c r="H63" s="662" t="s">
        <v>61</v>
      </c>
      <c r="I63" s="663" t="s">
        <v>98</v>
      </c>
      <c r="J63" s="193" t="s">
        <v>82</v>
      </c>
      <c r="K63" s="209">
        <v>3000</v>
      </c>
      <c r="L63" s="209">
        <f>M63-K63</f>
        <v>-1848.4920000000002</v>
      </c>
      <c r="M63" s="209">
        <f>3000-168.492-1680</f>
        <v>1151.5079999999998</v>
      </c>
    </row>
    <row r="64" spans="1:13" s="465" customFormat="1" ht="18.75">
      <c r="A64" s="194"/>
      <c r="B64" s="207" t="s">
        <v>99</v>
      </c>
      <c r="C64" s="208" t="s">
        <v>4</v>
      </c>
      <c r="D64" s="193" t="s">
        <v>61</v>
      </c>
      <c r="E64" s="193" t="s">
        <v>100</v>
      </c>
      <c r="F64" s="661"/>
      <c r="G64" s="662"/>
      <c r="H64" s="662"/>
      <c r="I64" s="663"/>
      <c r="J64" s="193"/>
      <c r="K64" s="209">
        <v>5501.6999999999989</v>
      </c>
      <c r="L64" s="209">
        <f>L70+L65</f>
        <v>0</v>
      </c>
      <c r="M64" s="209">
        <f>M70+M65</f>
        <v>5501.6999999999989</v>
      </c>
    </row>
    <row r="65" spans="1:13" s="465" customFormat="1" ht="80.25" customHeight="1">
      <c r="A65" s="194"/>
      <c r="B65" s="207" t="s">
        <v>101</v>
      </c>
      <c r="C65" s="208" t="s">
        <v>4</v>
      </c>
      <c r="D65" s="193" t="s">
        <v>61</v>
      </c>
      <c r="E65" s="193" t="s">
        <v>100</v>
      </c>
      <c r="F65" s="661" t="s">
        <v>102</v>
      </c>
      <c r="G65" s="662" t="s">
        <v>66</v>
      </c>
      <c r="H65" s="662" t="s">
        <v>67</v>
      </c>
      <c r="I65" s="663" t="s">
        <v>68</v>
      </c>
      <c r="J65" s="193"/>
      <c r="K65" s="209">
        <v>470</v>
      </c>
      <c r="L65" s="209">
        <f t="shared" ref="L65:M68" si="8">L66</f>
        <v>0</v>
      </c>
      <c r="M65" s="209">
        <f t="shared" si="8"/>
        <v>470</v>
      </c>
    </row>
    <row r="66" spans="1:13" s="465" customFormat="1" ht="37.5">
      <c r="A66" s="194"/>
      <c r="B66" s="207" t="s">
        <v>428</v>
      </c>
      <c r="C66" s="208" t="s">
        <v>4</v>
      </c>
      <c r="D66" s="193" t="s">
        <v>61</v>
      </c>
      <c r="E66" s="193" t="s">
        <v>100</v>
      </c>
      <c r="F66" s="661" t="s">
        <v>102</v>
      </c>
      <c r="G66" s="662" t="s">
        <v>69</v>
      </c>
      <c r="H66" s="662" t="s">
        <v>67</v>
      </c>
      <c r="I66" s="663" t="s">
        <v>68</v>
      </c>
      <c r="J66" s="193"/>
      <c r="K66" s="209">
        <v>470</v>
      </c>
      <c r="L66" s="209">
        <f t="shared" si="8"/>
        <v>0</v>
      </c>
      <c r="M66" s="209">
        <f t="shared" si="8"/>
        <v>470</v>
      </c>
    </row>
    <row r="67" spans="1:13" s="465" customFormat="1" ht="56.25">
      <c r="A67" s="194"/>
      <c r="B67" s="210" t="s">
        <v>328</v>
      </c>
      <c r="C67" s="208" t="s">
        <v>4</v>
      </c>
      <c r="D67" s="193" t="s">
        <v>61</v>
      </c>
      <c r="E67" s="193" t="s">
        <v>100</v>
      </c>
      <c r="F67" s="661" t="s">
        <v>102</v>
      </c>
      <c r="G67" s="662" t="s">
        <v>69</v>
      </c>
      <c r="H67" s="662" t="s">
        <v>61</v>
      </c>
      <c r="I67" s="663" t="s">
        <v>68</v>
      </c>
      <c r="J67" s="193"/>
      <c r="K67" s="209">
        <v>470</v>
      </c>
      <c r="L67" s="209">
        <f t="shared" si="8"/>
        <v>0</v>
      </c>
      <c r="M67" s="209">
        <f t="shared" si="8"/>
        <v>470</v>
      </c>
    </row>
    <row r="68" spans="1:13" s="465" customFormat="1" ht="54" customHeight="1">
      <c r="A68" s="194"/>
      <c r="B68" s="210" t="s">
        <v>103</v>
      </c>
      <c r="C68" s="208" t="s">
        <v>4</v>
      </c>
      <c r="D68" s="193" t="s">
        <v>61</v>
      </c>
      <c r="E68" s="193" t="s">
        <v>100</v>
      </c>
      <c r="F68" s="661" t="s">
        <v>102</v>
      </c>
      <c r="G68" s="662" t="s">
        <v>69</v>
      </c>
      <c r="H68" s="662" t="s">
        <v>61</v>
      </c>
      <c r="I68" s="663" t="s">
        <v>104</v>
      </c>
      <c r="J68" s="193"/>
      <c r="K68" s="209">
        <v>470</v>
      </c>
      <c r="L68" s="209">
        <f t="shared" si="8"/>
        <v>0</v>
      </c>
      <c r="M68" s="209">
        <f t="shared" si="8"/>
        <v>470</v>
      </c>
    </row>
    <row r="69" spans="1:13" s="465" customFormat="1" ht="56.25">
      <c r="A69" s="194"/>
      <c r="B69" s="211" t="s">
        <v>105</v>
      </c>
      <c r="C69" s="208" t="s">
        <v>4</v>
      </c>
      <c r="D69" s="193" t="s">
        <v>61</v>
      </c>
      <c r="E69" s="193" t="s">
        <v>100</v>
      </c>
      <c r="F69" s="661" t="s">
        <v>102</v>
      </c>
      <c r="G69" s="662" t="s">
        <v>69</v>
      </c>
      <c r="H69" s="662" t="s">
        <v>61</v>
      </c>
      <c r="I69" s="663" t="s">
        <v>104</v>
      </c>
      <c r="J69" s="193" t="s">
        <v>106</v>
      </c>
      <c r="K69" s="209">
        <v>470</v>
      </c>
      <c r="L69" s="209">
        <f>M69-K69</f>
        <v>0</v>
      </c>
      <c r="M69" s="209">
        <f>197+273</f>
        <v>470</v>
      </c>
    </row>
    <row r="70" spans="1:13" s="465" customFormat="1" ht="60" customHeight="1">
      <c r="A70" s="194"/>
      <c r="B70" s="207" t="s">
        <v>64</v>
      </c>
      <c r="C70" s="208" t="s">
        <v>4</v>
      </c>
      <c r="D70" s="193" t="s">
        <v>61</v>
      </c>
      <c r="E70" s="193" t="s">
        <v>100</v>
      </c>
      <c r="F70" s="661" t="s">
        <v>65</v>
      </c>
      <c r="G70" s="662" t="s">
        <v>66</v>
      </c>
      <c r="H70" s="662" t="s">
        <v>67</v>
      </c>
      <c r="I70" s="663" t="s">
        <v>68</v>
      </c>
      <c r="J70" s="193"/>
      <c r="K70" s="209">
        <v>5031.6999999999989</v>
      </c>
      <c r="L70" s="209">
        <f>L71</f>
        <v>0</v>
      </c>
      <c r="M70" s="209">
        <f>M71</f>
        <v>5031.6999999999989</v>
      </c>
    </row>
    <row r="71" spans="1:13" s="465" customFormat="1" ht="37.5">
      <c r="A71" s="194"/>
      <c r="B71" s="207" t="s">
        <v>428</v>
      </c>
      <c r="C71" s="208" t="s">
        <v>4</v>
      </c>
      <c r="D71" s="193" t="s">
        <v>61</v>
      </c>
      <c r="E71" s="193" t="s">
        <v>100</v>
      </c>
      <c r="F71" s="661" t="s">
        <v>65</v>
      </c>
      <c r="G71" s="662" t="s">
        <v>69</v>
      </c>
      <c r="H71" s="662" t="s">
        <v>67</v>
      </c>
      <c r="I71" s="663" t="s">
        <v>68</v>
      </c>
      <c r="J71" s="193"/>
      <c r="K71" s="209">
        <v>5031.6999999999989</v>
      </c>
      <c r="L71" s="209">
        <f>L72+L80+L77+L85</f>
        <v>0</v>
      </c>
      <c r="M71" s="209">
        <f>M72+M80+M77+M85</f>
        <v>5031.6999999999989</v>
      </c>
    </row>
    <row r="72" spans="1:13" s="465" customFormat="1" ht="37.5">
      <c r="A72" s="194"/>
      <c r="B72" s="207" t="s">
        <v>78</v>
      </c>
      <c r="C72" s="208" t="s">
        <v>4</v>
      </c>
      <c r="D72" s="193" t="s">
        <v>61</v>
      </c>
      <c r="E72" s="193" t="s">
        <v>100</v>
      </c>
      <c r="F72" s="661" t="s">
        <v>65</v>
      </c>
      <c r="G72" s="662" t="s">
        <v>69</v>
      </c>
      <c r="H72" s="662" t="s">
        <v>63</v>
      </c>
      <c r="I72" s="663" t="s">
        <v>68</v>
      </c>
      <c r="J72" s="193"/>
      <c r="K72" s="209">
        <v>476.29999999999995</v>
      </c>
      <c r="L72" s="209">
        <f>L73+L75</f>
        <v>0</v>
      </c>
      <c r="M72" s="209">
        <f>M73+M75</f>
        <v>476.29999999999995</v>
      </c>
    </row>
    <row r="73" spans="1:13" s="465" customFormat="1" ht="18.75">
      <c r="A73" s="194"/>
      <c r="B73" s="211" t="s">
        <v>636</v>
      </c>
      <c r="C73" s="208" t="s">
        <v>4</v>
      </c>
      <c r="D73" s="193" t="s">
        <v>61</v>
      </c>
      <c r="E73" s="193" t="s">
        <v>100</v>
      </c>
      <c r="F73" s="661" t="s">
        <v>65</v>
      </c>
      <c r="G73" s="662" t="s">
        <v>69</v>
      </c>
      <c r="H73" s="662" t="s">
        <v>63</v>
      </c>
      <c r="I73" s="663" t="s">
        <v>637</v>
      </c>
      <c r="J73" s="193"/>
      <c r="K73" s="209">
        <v>81.199999999999989</v>
      </c>
      <c r="L73" s="209">
        <f t="shared" ref="L73:M73" si="9">L74</f>
        <v>0</v>
      </c>
      <c r="M73" s="209">
        <f t="shared" si="9"/>
        <v>81.199999999999989</v>
      </c>
    </row>
    <row r="74" spans="1:13" s="465" customFormat="1" ht="56.25">
      <c r="A74" s="194"/>
      <c r="B74" s="207" t="s">
        <v>79</v>
      </c>
      <c r="C74" s="208" t="s">
        <v>4</v>
      </c>
      <c r="D74" s="193" t="s">
        <v>61</v>
      </c>
      <c r="E74" s="193" t="s">
        <v>100</v>
      </c>
      <c r="F74" s="661" t="s">
        <v>65</v>
      </c>
      <c r="G74" s="662" t="s">
        <v>69</v>
      </c>
      <c r="H74" s="662" t="s">
        <v>63</v>
      </c>
      <c r="I74" s="663" t="s">
        <v>637</v>
      </c>
      <c r="J74" s="193" t="s">
        <v>80</v>
      </c>
      <c r="K74" s="209">
        <v>81.199999999999989</v>
      </c>
      <c r="L74" s="209">
        <f>M74-K74</f>
        <v>0</v>
      </c>
      <c r="M74" s="209">
        <f>93.1-11.9</f>
        <v>81.199999999999989</v>
      </c>
    </row>
    <row r="75" spans="1:13" s="465" customFormat="1" ht="37.5">
      <c r="A75" s="194"/>
      <c r="B75" s="207" t="s">
        <v>856</v>
      </c>
      <c r="C75" s="208" t="s">
        <v>4</v>
      </c>
      <c r="D75" s="193" t="s">
        <v>61</v>
      </c>
      <c r="E75" s="193" t="s">
        <v>100</v>
      </c>
      <c r="F75" s="661" t="s">
        <v>65</v>
      </c>
      <c r="G75" s="662" t="s">
        <v>69</v>
      </c>
      <c r="H75" s="662" t="s">
        <v>63</v>
      </c>
      <c r="I75" s="663" t="s">
        <v>857</v>
      </c>
      <c r="J75" s="193"/>
      <c r="K75" s="209">
        <v>395.09999999999997</v>
      </c>
      <c r="L75" s="209">
        <f>L76</f>
        <v>0</v>
      </c>
      <c r="M75" s="209">
        <f>M76</f>
        <v>395.09999999999997</v>
      </c>
    </row>
    <row r="76" spans="1:13" s="465" customFormat="1" ht="56.25">
      <c r="A76" s="194"/>
      <c r="B76" s="207" t="s">
        <v>79</v>
      </c>
      <c r="C76" s="208" t="s">
        <v>4</v>
      </c>
      <c r="D76" s="193" t="s">
        <v>61</v>
      </c>
      <c r="E76" s="193" t="s">
        <v>100</v>
      </c>
      <c r="F76" s="661" t="s">
        <v>65</v>
      </c>
      <c r="G76" s="662" t="s">
        <v>69</v>
      </c>
      <c r="H76" s="662" t="s">
        <v>63</v>
      </c>
      <c r="I76" s="663" t="s">
        <v>857</v>
      </c>
      <c r="J76" s="193" t="s">
        <v>80</v>
      </c>
      <c r="K76" s="209">
        <v>395.09999999999997</v>
      </c>
      <c r="L76" s="209">
        <f>M76-K76</f>
        <v>0</v>
      </c>
      <c r="M76" s="209">
        <f>383.2+11.9</f>
        <v>395.09999999999997</v>
      </c>
    </row>
    <row r="77" spans="1:13" s="465" customFormat="1" ht="18.75">
      <c r="A77" s="194"/>
      <c r="B77" s="211" t="s">
        <v>88</v>
      </c>
      <c r="C77" s="208" t="s">
        <v>4</v>
      </c>
      <c r="D77" s="193" t="s">
        <v>61</v>
      </c>
      <c r="E77" s="193" t="s">
        <v>100</v>
      </c>
      <c r="F77" s="661" t="s">
        <v>65</v>
      </c>
      <c r="G77" s="662" t="s">
        <v>69</v>
      </c>
      <c r="H77" s="662" t="s">
        <v>89</v>
      </c>
      <c r="I77" s="663" t="s">
        <v>68</v>
      </c>
      <c r="J77" s="193"/>
      <c r="K77" s="209">
        <v>801.2</v>
      </c>
      <c r="L77" s="209">
        <f t="shared" ref="L77:M78" si="10">L78</f>
        <v>0</v>
      </c>
      <c r="M77" s="209">
        <f t="shared" si="10"/>
        <v>801.2</v>
      </c>
    </row>
    <row r="78" spans="1:13" s="465" customFormat="1" ht="60" customHeight="1">
      <c r="A78" s="194"/>
      <c r="B78" s="211" t="s">
        <v>514</v>
      </c>
      <c r="C78" s="208" t="s">
        <v>4</v>
      </c>
      <c r="D78" s="193" t="s">
        <v>61</v>
      </c>
      <c r="E78" s="193" t="s">
        <v>100</v>
      </c>
      <c r="F78" s="661" t="s">
        <v>65</v>
      </c>
      <c r="G78" s="662" t="s">
        <v>69</v>
      </c>
      <c r="H78" s="662" t="s">
        <v>89</v>
      </c>
      <c r="I78" s="663" t="s">
        <v>513</v>
      </c>
      <c r="J78" s="193"/>
      <c r="K78" s="209">
        <v>801.2</v>
      </c>
      <c r="L78" s="209">
        <f t="shared" si="10"/>
        <v>0</v>
      </c>
      <c r="M78" s="209">
        <f t="shared" si="10"/>
        <v>801.2</v>
      </c>
    </row>
    <row r="79" spans="1:13" s="465" customFormat="1" ht="56.25">
      <c r="A79" s="194"/>
      <c r="B79" s="207" t="s">
        <v>79</v>
      </c>
      <c r="C79" s="208" t="s">
        <v>4</v>
      </c>
      <c r="D79" s="193" t="s">
        <v>61</v>
      </c>
      <c r="E79" s="193" t="s">
        <v>100</v>
      </c>
      <c r="F79" s="661" t="s">
        <v>65</v>
      </c>
      <c r="G79" s="662" t="s">
        <v>69</v>
      </c>
      <c r="H79" s="662" t="s">
        <v>89</v>
      </c>
      <c r="I79" s="663" t="s">
        <v>513</v>
      </c>
      <c r="J79" s="193" t="s">
        <v>80</v>
      </c>
      <c r="K79" s="209">
        <v>801.2</v>
      </c>
      <c r="L79" s="209">
        <f>M79-K79</f>
        <v>0</v>
      </c>
      <c r="M79" s="209">
        <v>801.2</v>
      </c>
    </row>
    <row r="80" spans="1:13" s="465" customFormat="1" ht="18.75">
      <c r="A80" s="194"/>
      <c r="B80" s="207" t="s">
        <v>90</v>
      </c>
      <c r="C80" s="208" t="s">
        <v>4</v>
      </c>
      <c r="D80" s="193" t="s">
        <v>61</v>
      </c>
      <c r="E80" s="193" t="s">
        <v>100</v>
      </c>
      <c r="F80" s="661" t="s">
        <v>65</v>
      </c>
      <c r="G80" s="662" t="s">
        <v>69</v>
      </c>
      <c r="H80" s="662" t="s">
        <v>76</v>
      </c>
      <c r="I80" s="663" t="s">
        <v>68</v>
      </c>
      <c r="J80" s="193"/>
      <c r="K80" s="209">
        <v>2354.1</v>
      </c>
      <c r="L80" s="209">
        <f>L81+L83</f>
        <v>0</v>
      </c>
      <c r="M80" s="209">
        <f>M81+M83</f>
        <v>2354.1</v>
      </c>
    </row>
    <row r="81" spans="1:13" s="465" customFormat="1" ht="58.5" customHeight="1">
      <c r="A81" s="194"/>
      <c r="B81" s="212" t="s">
        <v>453</v>
      </c>
      <c r="C81" s="208" t="s">
        <v>4</v>
      </c>
      <c r="D81" s="193" t="s">
        <v>61</v>
      </c>
      <c r="E81" s="193" t="s">
        <v>100</v>
      </c>
      <c r="F81" s="661" t="s">
        <v>65</v>
      </c>
      <c r="G81" s="662" t="s">
        <v>69</v>
      </c>
      <c r="H81" s="662" t="s">
        <v>76</v>
      </c>
      <c r="I81" s="663" t="s">
        <v>137</v>
      </c>
      <c r="J81" s="193"/>
      <c r="K81" s="209">
        <v>436.5</v>
      </c>
      <c r="L81" s="209">
        <f>L82</f>
        <v>0</v>
      </c>
      <c r="M81" s="209">
        <f>M82</f>
        <v>436.5</v>
      </c>
    </row>
    <row r="82" spans="1:13" s="465" customFormat="1" ht="56.25">
      <c r="A82" s="194"/>
      <c r="B82" s="207" t="s">
        <v>79</v>
      </c>
      <c r="C82" s="208" t="s">
        <v>4</v>
      </c>
      <c r="D82" s="193" t="s">
        <v>61</v>
      </c>
      <c r="E82" s="193" t="s">
        <v>100</v>
      </c>
      <c r="F82" s="661" t="s">
        <v>65</v>
      </c>
      <c r="G82" s="662" t="s">
        <v>69</v>
      </c>
      <c r="H82" s="662" t="s">
        <v>76</v>
      </c>
      <c r="I82" s="663" t="s">
        <v>137</v>
      </c>
      <c r="J82" s="193" t="s">
        <v>80</v>
      </c>
      <c r="K82" s="209">
        <v>436.5</v>
      </c>
      <c r="L82" s="209">
        <f>M82-K82</f>
        <v>0</v>
      </c>
      <c r="M82" s="209">
        <v>436.5</v>
      </c>
    </row>
    <row r="83" spans="1:13" s="465" customFormat="1" ht="56.25">
      <c r="A83" s="194"/>
      <c r="B83" s="207" t="s">
        <v>455</v>
      </c>
      <c r="C83" s="208" t="s">
        <v>4</v>
      </c>
      <c r="D83" s="193" t="s">
        <v>61</v>
      </c>
      <c r="E83" s="193" t="s">
        <v>100</v>
      </c>
      <c r="F83" s="661" t="s">
        <v>65</v>
      </c>
      <c r="G83" s="662" t="s">
        <v>69</v>
      </c>
      <c r="H83" s="662" t="s">
        <v>76</v>
      </c>
      <c r="I83" s="663" t="s">
        <v>454</v>
      </c>
      <c r="J83" s="193"/>
      <c r="K83" s="209">
        <v>1917.6</v>
      </c>
      <c r="L83" s="209">
        <f>L84</f>
        <v>0</v>
      </c>
      <c r="M83" s="209">
        <f>M84</f>
        <v>1917.6</v>
      </c>
    </row>
    <row r="84" spans="1:13" s="465" customFormat="1" ht="56.25">
      <c r="A84" s="194"/>
      <c r="B84" s="207" t="s">
        <v>79</v>
      </c>
      <c r="C84" s="208" t="s">
        <v>4</v>
      </c>
      <c r="D84" s="193" t="s">
        <v>61</v>
      </c>
      <c r="E84" s="193" t="s">
        <v>100</v>
      </c>
      <c r="F84" s="661" t="s">
        <v>65</v>
      </c>
      <c r="G84" s="662" t="s">
        <v>69</v>
      </c>
      <c r="H84" s="662" t="s">
        <v>76</v>
      </c>
      <c r="I84" s="663" t="s">
        <v>454</v>
      </c>
      <c r="J84" s="193" t="s">
        <v>80</v>
      </c>
      <c r="K84" s="209">
        <v>1917.6</v>
      </c>
      <c r="L84" s="209">
        <f>M84-K84</f>
        <v>0</v>
      </c>
      <c r="M84" s="209">
        <v>1917.6</v>
      </c>
    </row>
    <row r="85" spans="1:13" s="465" customFormat="1" ht="37.5">
      <c r="A85" s="194"/>
      <c r="B85" s="207" t="s">
        <v>860</v>
      </c>
      <c r="C85" s="208" t="s">
        <v>4</v>
      </c>
      <c r="D85" s="193" t="s">
        <v>61</v>
      </c>
      <c r="E85" s="193" t="s">
        <v>100</v>
      </c>
      <c r="F85" s="661" t="s">
        <v>65</v>
      </c>
      <c r="G85" s="662" t="s">
        <v>69</v>
      </c>
      <c r="H85" s="662" t="s">
        <v>100</v>
      </c>
      <c r="I85" s="663" t="s">
        <v>68</v>
      </c>
      <c r="J85" s="193"/>
      <c r="K85" s="209">
        <v>1400.1</v>
      </c>
      <c r="L85" s="209">
        <f t="shared" ref="L85:M86" si="11">L86</f>
        <v>0</v>
      </c>
      <c r="M85" s="209">
        <f t="shared" si="11"/>
        <v>1400.1</v>
      </c>
    </row>
    <row r="86" spans="1:13" s="465" customFormat="1" ht="37.5">
      <c r="A86" s="194"/>
      <c r="B86" s="207" t="s">
        <v>858</v>
      </c>
      <c r="C86" s="208" t="s">
        <v>4</v>
      </c>
      <c r="D86" s="193" t="s">
        <v>61</v>
      </c>
      <c r="E86" s="193" t="s">
        <v>100</v>
      </c>
      <c r="F86" s="661" t="s">
        <v>65</v>
      </c>
      <c r="G86" s="662" t="s">
        <v>69</v>
      </c>
      <c r="H86" s="662" t="s">
        <v>100</v>
      </c>
      <c r="I86" s="663" t="s">
        <v>859</v>
      </c>
      <c r="J86" s="193"/>
      <c r="K86" s="209">
        <v>1400.1</v>
      </c>
      <c r="L86" s="209">
        <f t="shared" si="11"/>
        <v>0</v>
      </c>
      <c r="M86" s="209">
        <f t="shared" si="11"/>
        <v>1400.1</v>
      </c>
    </row>
    <row r="87" spans="1:13" s="465" customFormat="1" ht="56.25">
      <c r="A87" s="194"/>
      <c r="B87" s="207" t="s">
        <v>79</v>
      </c>
      <c r="C87" s="208" t="s">
        <v>4</v>
      </c>
      <c r="D87" s="193" t="s">
        <v>61</v>
      </c>
      <c r="E87" s="193" t="s">
        <v>100</v>
      </c>
      <c r="F87" s="661" t="s">
        <v>65</v>
      </c>
      <c r="G87" s="662" t="s">
        <v>69</v>
      </c>
      <c r="H87" s="662" t="s">
        <v>100</v>
      </c>
      <c r="I87" s="663" t="s">
        <v>859</v>
      </c>
      <c r="J87" s="193" t="s">
        <v>80</v>
      </c>
      <c r="K87" s="209">
        <v>1400.1</v>
      </c>
      <c r="L87" s="209">
        <f>M87-K87</f>
        <v>0</v>
      </c>
      <c r="M87" s="209">
        <v>1400.1</v>
      </c>
    </row>
    <row r="88" spans="1:13" s="465" customFormat="1" ht="37.5">
      <c r="A88" s="194"/>
      <c r="B88" s="207" t="s">
        <v>107</v>
      </c>
      <c r="C88" s="208" t="s">
        <v>4</v>
      </c>
      <c r="D88" s="193" t="s">
        <v>89</v>
      </c>
      <c r="E88" s="193"/>
      <c r="F88" s="661"/>
      <c r="G88" s="662"/>
      <c r="H88" s="662"/>
      <c r="I88" s="663"/>
      <c r="J88" s="193"/>
      <c r="K88" s="209">
        <v>12834.600000000002</v>
      </c>
      <c r="L88" s="209">
        <f>L89+L101</f>
        <v>645.6</v>
      </c>
      <c r="M88" s="209">
        <f>M89+M101</f>
        <v>13480.2</v>
      </c>
    </row>
    <row r="89" spans="1:13" s="465" customFormat="1" ht="61.5" customHeight="1">
      <c r="A89" s="194"/>
      <c r="B89" s="207" t="s">
        <v>108</v>
      </c>
      <c r="C89" s="208" t="s">
        <v>4</v>
      </c>
      <c r="D89" s="193" t="s">
        <v>89</v>
      </c>
      <c r="E89" s="193" t="s">
        <v>109</v>
      </c>
      <c r="F89" s="661"/>
      <c r="G89" s="662"/>
      <c r="H89" s="662"/>
      <c r="I89" s="663"/>
      <c r="J89" s="193"/>
      <c r="K89" s="209">
        <v>3447.8</v>
      </c>
      <c r="L89" s="209">
        <f>L90</f>
        <v>0</v>
      </c>
      <c r="M89" s="209">
        <f>M90</f>
        <v>3447.8</v>
      </c>
    </row>
    <row r="90" spans="1:13" s="465" customFormat="1" ht="60.75" customHeight="1">
      <c r="A90" s="194"/>
      <c r="B90" s="207" t="s">
        <v>110</v>
      </c>
      <c r="C90" s="208" t="s">
        <v>4</v>
      </c>
      <c r="D90" s="193" t="s">
        <v>89</v>
      </c>
      <c r="E90" s="193" t="s">
        <v>109</v>
      </c>
      <c r="F90" s="661" t="s">
        <v>111</v>
      </c>
      <c r="G90" s="662" t="s">
        <v>66</v>
      </c>
      <c r="H90" s="662" t="s">
        <v>67</v>
      </c>
      <c r="I90" s="663" t="s">
        <v>68</v>
      </c>
      <c r="J90" s="193"/>
      <c r="K90" s="209">
        <v>3447.8</v>
      </c>
      <c r="L90" s="209">
        <f t="shared" ref="L90:M91" si="12">L91</f>
        <v>0</v>
      </c>
      <c r="M90" s="209">
        <f t="shared" si="12"/>
        <v>3447.8</v>
      </c>
    </row>
    <row r="91" spans="1:13" s="465" customFormat="1" ht="58.5" customHeight="1">
      <c r="A91" s="194"/>
      <c r="B91" s="213" t="s">
        <v>112</v>
      </c>
      <c r="C91" s="208" t="s">
        <v>4</v>
      </c>
      <c r="D91" s="193" t="s">
        <v>89</v>
      </c>
      <c r="E91" s="193" t="s">
        <v>109</v>
      </c>
      <c r="F91" s="661" t="s">
        <v>111</v>
      </c>
      <c r="G91" s="662" t="s">
        <v>69</v>
      </c>
      <c r="H91" s="662" t="s">
        <v>67</v>
      </c>
      <c r="I91" s="663" t="s">
        <v>68</v>
      </c>
      <c r="J91" s="193"/>
      <c r="K91" s="209">
        <v>3447.8</v>
      </c>
      <c r="L91" s="209">
        <f t="shared" si="12"/>
        <v>0</v>
      </c>
      <c r="M91" s="209">
        <f t="shared" si="12"/>
        <v>3447.8</v>
      </c>
    </row>
    <row r="92" spans="1:13" s="465" customFormat="1" ht="78.75" customHeight="1">
      <c r="A92" s="194"/>
      <c r="B92" s="207" t="s">
        <v>113</v>
      </c>
      <c r="C92" s="208" t="s">
        <v>4</v>
      </c>
      <c r="D92" s="193" t="s">
        <v>89</v>
      </c>
      <c r="E92" s="193" t="s">
        <v>109</v>
      </c>
      <c r="F92" s="661" t="s">
        <v>111</v>
      </c>
      <c r="G92" s="662" t="s">
        <v>69</v>
      </c>
      <c r="H92" s="662" t="s">
        <v>61</v>
      </c>
      <c r="I92" s="663" t="s">
        <v>68</v>
      </c>
      <c r="J92" s="193"/>
      <c r="K92" s="209">
        <v>3447.8</v>
      </c>
      <c r="L92" s="209">
        <f>L93+L95+L97+L100</f>
        <v>0</v>
      </c>
      <c r="M92" s="209">
        <f>M93+M95+M97+M100</f>
        <v>3447.8</v>
      </c>
    </row>
    <row r="93" spans="1:13" s="465" customFormat="1" ht="78" customHeight="1">
      <c r="A93" s="194"/>
      <c r="B93" s="213" t="s">
        <v>114</v>
      </c>
      <c r="C93" s="208" t="s">
        <v>4</v>
      </c>
      <c r="D93" s="193" t="s">
        <v>89</v>
      </c>
      <c r="E93" s="193" t="s">
        <v>109</v>
      </c>
      <c r="F93" s="661" t="s">
        <v>111</v>
      </c>
      <c r="G93" s="662" t="s">
        <v>69</v>
      </c>
      <c r="H93" s="662" t="s">
        <v>61</v>
      </c>
      <c r="I93" s="663" t="s">
        <v>115</v>
      </c>
      <c r="J93" s="193"/>
      <c r="K93" s="209">
        <v>298.39999999999998</v>
      </c>
      <c r="L93" s="209">
        <f>L94</f>
        <v>0</v>
      </c>
      <c r="M93" s="209">
        <f>M94</f>
        <v>298.39999999999998</v>
      </c>
    </row>
    <row r="94" spans="1:13" s="465" customFormat="1" ht="56.25">
      <c r="A94" s="194"/>
      <c r="B94" s="207" t="s">
        <v>79</v>
      </c>
      <c r="C94" s="208" t="s">
        <v>4</v>
      </c>
      <c r="D94" s="193" t="s">
        <v>89</v>
      </c>
      <c r="E94" s="193" t="s">
        <v>109</v>
      </c>
      <c r="F94" s="661" t="s">
        <v>111</v>
      </c>
      <c r="G94" s="662" t="s">
        <v>69</v>
      </c>
      <c r="H94" s="662" t="s">
        <v>61</v>
      </c>
      <c r="I94" s="663" t="s">
        <v>115</v>
      </c>
      <c r="J94" s="193" t="s">
        <v>80</v>
      </c>
      <c r="K94" s="209">
        <v>298.39999999999998</v>
      </c>
      <c r="L94" s="209">
        <f>M94-K94</f>
        <v>0</v>
      </c>
      <c r="M94" s="209">
        <v>298.39999999999998</v>
      </c>
    </row>
    <row r="95" spans="1:13" s="465" customFormat="1" ht="56.25">
      <c r="A95" s="194"/>
      <c r="B95" s="207" t="s">
        <v>116</v>
      </c>
      <c r="C95" s="208" t="s">
        <v>4</v>
      </c>
      <c r="D95" s="193" t="s">
        <v>89</v>
      </c>
      <c r="E95" s="193" t="s">
        <v>109</v>
      </c>
      <c r="F95" s="661" t="s">
        <v>111</v>
      </c>
      <c r="G95" s="662" t="s">
        <v>69</v>
      </c>
      <c r="H95" s="662" t="s">
        <v>61</v>
      </c>
      <c r="I95" s="663" t="s">
        <v>117</v>
      </c>
      <c r="J95" s="193"/>
      <c r="K95" s="209">
        <v>180.1</v>
      </c>
      <c r="L95" s="209">
        <f>L96</f>
        <v>0</v>
      </c>
      <c r="M95" s="209">
        <f>M96</f>
        <v>180.1</v>
      </c>
    </row>
    <row r="96" spans="1:13" s="465" customFormat="1" ht="56.25">
      <c r="A96" s="194"/>
      <c r="B96" s="207" t="s">
        <v>79</v>
      </c>
      <c r="C96" s="208" t="s">
        <v>4</v>
      </c>
      <c r="D96" s="193" t="s">
        <v>89</v>
      </c>
      <c r="E96" s="193" t="s">
        <v>109</v>
      </c>
      <c r="F96" s="661" t="s">
        <v>111</v>
      </c>
      <c r="G96" s="662" t="s">
        <v>69</v>
      </c>
      <c r="H96" s="662" t="s">
        <v>61</v>
      </c>
      <c r="I96" s="663" t="s">
        <v>117</v>
      </c>
      <c r="J96" s="193" t="s">
        <v>80</v>
      </c>
      <c r="K96" s="209">
        <v>180.1</v>
      </c>
      <c r="L96" s="209">
        <f>M96-K96</f>
        <v>0</v>
      </c>
      <c r="M96" s="209">
        <v>180.1</v>
      </c>
    </row>
    <row r="97" spans="1:13" s="465" customFormat="1" ht="94.5" customHeight="1">
      <c r="A97" s="194"/>
      <c r="B97" s="207" t="s">
        <v>429</v>
      </c>
      <c r="C97" s="208" t="s">
        <v>4</v>
      </c>
      <c r="D97" s="193" t="s">
        <v>89</v>
      </c>
      <c r="E97" s="193" t="s">
        <v>109</v>
      </c>
      <c r="F97" s="661" t="s">
        <v>111</v>
      </c>
      <c r="G97" s="662" t="s">
        <v>69</v>
      </c>
      <c r="H97" s="662" t="s">
        <v>61</v>
      </c>
      <c r="I97" s="663" t="s">
        <v>417</v>
      </c>
      <c r="J97" s="193"/>
      <c r="K97" s="209">
        <v>2956.9</v>
      </c>
      <c r="L97" s="209">
        <f>L98</f>
        <v>0</v>
      </c>
      <c r="M97" s="209">
        <f>M98</f>
        <v>2956.9</v>
      </c>
    </row>
    <row r="98" spans="1:13" s="465" customFormat="1" ht="18.75">
      <c r="A98" s="194"/>
      <c r="B98" s="207" t="s">
        <v>155</v>
      </c>
      <c r="C98" s="208" t="s">
        <v>4</v>
      </c>
      <c r="D98" s="193" t="s">
        <v>89</v>
      </c>
      <c r="E98" s="193" t="s">
        <v>109</v>
      </c>
      <c r="F98" s="661" t="s">
        <v>111</v>
      </c>
      <c r="G98" s="662" t="s">
        <v>69</v>
      </c>
      <c r="H98" s="662" t="s">
        <v>61</v>
      </c>
      <c r="I98" s="663" t="s">
        <v>417</v>
      </c>
      <c r="J98" s="193" t="s">
        <v>156</v>
      </c>
      <c r="K98" s="209">
        <v>2956.9</v>
      </c>
      <c r="L98" s="209">
        <f>M98-K98</f>
        <v>0</v>
      </c>
      <c r="M98" s="209">
        <v>2956.9</v>
      </c>
    </row>
    <row r="99" spans="1:13" s="465" customFormat="1" ht="131.25">
      <c r="A99" s="194"/>
      <c r="B99" s="207" t="s">
        <v>431</v>
      </c>
      <c r="C99" s="208" t="s">
        <v>4</v>
      </c>
      <c r="D99" s="193" t="s">
        <v>89</v>
      </c>
      <c r="E99" s="193" t="s">
        <v>109</v>
      </c>
      <c r="F99" s="661" t="s">
        <v>111</v>
      </c>
      <c r="G99" s="662" t="s">
        <v>69</v>
      </c>
      <c r="H99" s="662" t="s">
        <v>61</v>
      </c>
      <c r="I99" s="663" t="s">
        <v>418</v>
      </c>
      <c r="J99" s="193"/>
      <c r="K99" s="209">
        <v>12.4</v>
      </c>
      <c r="L99" s="209">
        <f>L100</f>
        <v>0</v>
      </c>
      <c r="M99" s="209">
        <f>M100</f>
        <v>12.4</v>
      </c>
    </row>
    <row r="100" spans="1:13" s="465" customFormat="1" ht="18.75">
      <c r="A100" s="194"/>
      <c r="B100" s="207" t="s">
        <v>155</v>
      </c>
      <c r="C100" s="208" t="s">
        <v>4</v>
      </c>
      <c r="D100" s="193" t="s">
        <v>89</v>
      </c>
      <c r="E100" s="193" t="s">
        <v>109</v>
      </c>
      <c r="F100" s="661" t="s">
        <v>111</v>
      </c>
      <c r="G100" s="662" t="s">
        <v>69</v>
      </c>
      <c r="H100" s="662" t="s">
        <v>61</v>
      </c>
      <c r="I100" s="663" t="s">
        <v>418</v>
      </c>
      <c r="J100" s="193" t="s">
        <v>156</v>
      </c>
      <c r="K100" s="209">
        <v>12.4</v>
      </c>
      <c r="L100" s="209">
        <f>M100-K100</f>
        <v>0</v>
      </c>
      <c r="M100" s="209">
        <v>12.4</v>
      </c>
    </row>
    <row r="101" spans="1:13" s="465" customFormat="1" ht="56.25">
      <c r="A101" s="194"/>
      <c r="B101" s="212" t="s">
        <v>118</v>
      </c>
      <c r="C101" s="208" t="s">
        <v>4</v>
      </c>
      <c r="D101" s="193" t="s">
        <v>89</v>
      </c>
      <c r="E101" s="193" t="s">
        <v>119</v>
      </c>
      <c r="F101" s="661"/>
      <c r="G101" s="662"/>
      <c r="H101" s="662"/>
      <c r="I101" s="663"/>
      <c r="J101" s="193"/>
      <c r="K101" s="209">
        <v>9386.8000000000011</v>
      </c>
      <c r="L101" s="209">
        <f>L102</f>
        <v>645.6</v>
      </c>
      <c r="M101" s="209">
        <f>M102</f>
        <v>10032.400000000001</v>
      </c>
    </row>
    <row r="102" spans="1:13" s="465" customFormat="1" ht="60.75" customHeight="1">
      <c r="A102" s="194"/>
      <c r="B102" s="207" t="s">
        <v>110</v>
      </c>
      <c r="C102" s="208" t="s">
        <v>4</v>
      </c>
      <c r="D102" s="193" t="s">
        <v>89</v>
      </c>
      <c r="E102" s="193" t="s">
        <v>119</v>
      </c>
      <c r="F102" s="661" t="s">
        <v>111</v>
      </c>
      <c r="G102" s="662" t="s">
        <v>66</v>
      </c>
      <c r="H102" s="662" t="s">
        <v>67</v>
      </c>
      <c r="I102" s="663" t="s">
        <v>68</v>
      </c>
      <c r="J102" s="193"/>
      <c r="K102" s="209">
        <v>9386.8000000000011</v>
      </c>
      <c r="L102" s="209">
        <f>L103+L112</f>
        <v>645.6</v>
      </c>
      <c r="M102" s="209">
        <f>M103+M112</f>
        <v>10032.400000000001</v>
      </c>
    </row>
    <row r="103" spans="1:13" s="465" customFormat="1" ht="37.5">
      <c r="A103" s="194"/>
      <c r="B103" s="212" t="s">
        <v>157</v>
      </c>
      <c r="C103" s="208" t="s">
        <v>4</v>
      </c>
      <c r="D103" s="193" t="s">
        <v>89</v>
      </c>
      <c r="E103" s="193" t="s">
        <v>119</v>
      </c>
      <c r="F103" s="661" t="s">
        <v>111</v>
      </c>
      <c r="G103" s="662" t="s">
        <v>120</v>
      </c>
      <c r="H103" s="662" t="s">
        <v>67</v>
      </c>
      <c r="I103" s="663" t="s">
        <v>68</v>
      </c>
      <c r="J103" s="193"/>
      <c r="K103" s="209">
        <v>510.00000000000006</v>
      </c>
      <c r="L103" s="209">
        <f>L109+L104</f>
        <v>645.6</v>
      </c>
      <c r="M103" s="209">
        <f>M109+M104</f>
        <v>1155.6000000000001</v>
      </c>
    </row>
    <row r="104" spans="1:13" s="465" customFormat="1" ht="44.25" customHeight="1">
      <c r="A104" s="194"/>
      <c r="B104" s="212" t="s">
        <v>333</v>
      </c>
      <c r="C104" s="208" t="s">
        <v>4</v>
      </c>
      <c r="D104" s="193" t="s">
        <v>89</v>
      </c>
      <c r="E104" s="193" t="s">
        <v>119</v>
      </c>
      <c r="F104" s="661" t="s">
        <v>111</v>
      </c>
      <c r="G104" s="662" t="s">
        <v>120</v>
      </c>
      <c r="H104" s="662" t="s">
        <v>61</v>
      </c>
      <c r="I104" s="663" t="s">
        <v>68</v>
      </c>
      <c r="J104" s="193"/>
      <c r="K104" s="209">
        <v>142.80000000000001</v>
      </c>
      <c r="L104" s="209">
        <f>L107+L105</f>
        <v>645.6</v>
      </c>
      <c r="M104" s="209">
        <f>M107+M105</f>
        <v>788.40000000000009</v>
      </c>
    </row>
    <row r="105" spans="1:13" s="465" customFormat="1" ht="37.5">
      <c r="A105" s="194"/>
      <c r="B105" s="210" t="s">
        <v>159</v>
      </c>
      <c r="C105" s="208" t="s">
        <v>4</v>
      </c>
      <c r="D105" s="193" t="s">
        <v>89</v>
      </c>
      <c r="E105" s="193" t="s">
        <v>119</v>
      </c>
      <c r="F105" s="661" t="s">
        <v>111</v>
      </c>
      <c r="G105" s="662" t="s">
        <v>120</v>
      </c>
      <c r="H105" s="662" t="s">
        <v>61</v>
      </c>
      <c r="I105" s="663" t="s">
        <v>122</v>
      </c>
      <c r="J105" s="193"/>
      <c r="K105" s="209">
        <v>20.100000000000001</v>
      </c>
      <c r="L105" s="209">
        <f>L106</f>
        <v>645.6</v>
      </c>
      <c r="M105" s="209">
        <f>M106</f>
        <v>665.7</v>
      </c>
    </row>
    <row r="106" spans="1:13" s="465" customFormat="1" ht="56.25">
      <c r="A106" s="194"/>
      <c r="B106" s="207" t="s">
        <v>79</v>
      </c>
      <c r="C106" s="208" t="s">
        <v>4</v>
      </c>
      <c r="D106" s="193" t="s">
        <v>89</v>
      </c>
      <c r="E106" s="193" t="s">
        <v>119</v>
      </c>
      <c r="F106" s="661" t="s">
        <v>111</v>
      </c>
      <c r="G106" s="662" t="s">
        <v>120</v>
      </c>
      <c r="H106" s="662" t="s">
        <v>61</v>
      </c>
      <c r="I106" s="663" t="s">
        <v>122</v>
      </c>
      <c r="J106" s="193" t="s">
        <v>80</v>
      </c>
      <c r="K106" s="209">
        <v>20.100000000000001</v>
      </c>
      <c r="L106" s="209">
        <f>M106-K106</f>
        <v>645.6</v>
      </c>
      <c r="M106" s="209">
        <f>20.1+645.6</f>
        <v>665.7</v>
      </c>
    </row>
    <row r="107" spans="1:13" s="465" customFormat="1" ht="112.5">
      <c r="A107" s="194"/>
      <c r="B107" s="212" t="s">
        <v>430</v>
      </c>
      <c r="C107" s="208" t="s">
        <v>4</v>
      </c>
      <c r="D107" s="193" t="s">
        <v>89</v>
      </c>
      <c r="E107" s="193" t="s">
        <v>119</v>
      </c>
      <c r="F107" s="661" t="s">
        <v>111</v>
      </c>
      <c r="G107" s="662" t="s">
        <v>120</v>
      </c>
      <c r="H107" s="662" t="s">
        <v>61</v>
      </c>
      <c r="I107" s="663" t="s">
        <v>419</v>
      </c>
      <c r="J107" s="193"/>
      <c r="K107" s="209">
        <v>122.7</v>
      </c>
      <c r="L107" s="209">
        <f>L108</f>
        <v>0</v>
      </c>
      <c r="M107" s="209">
        <f>M108</f>
        <v>122.7</v>
      </c>
    </row>
    <row r="108" spans="1:13" s="465" customFormat="1" ht="18.75">
      <c r="A108" s="194"/>
      <c r="B108" s="212" t="s">
        <v>155</v>
      </c>
      <c r="C108" s="208" t="s">
        <v>4</v>
      </c>
      <c r="D108" s="193" t="s">
        <v>89</v>
      </c>
      <c r="E108" s="193" t="s">
        <v>119</v>
      </c>
      <c r="F108" s="661" t="s">
        <v>111</v>
      </c>
      <c r="G108" s="662" t="s">
        <v>120</v>
      </c>
      <c r="H108" s="662" t="s">
        <v>61</v>
      </c>
      <c r="I108" s="663" t="s">
        <v>419</v>
      </c>
      <c r="J108" s="193" t="s">
        <v>156</v>
      </c>
      <c r="K108" s="209">
        <v>122.7</v>
      </c>
      <c r="L108" s="209">
        <f>M108-K108</f>
        <v>0</v>
      </c>
      <c r="M108" s="209">
        <v>122.7</v>
      </c>
    </row>
    <row r="109" spans="1:13" s="465" customFormat="1" ht="56.25">
      <c r="A109" s="194"/>
      <c r="B109" s="210" t="s">
        <v>158</v>
      </c>
      <c r="C109" s="208" t="s">
        <v>4</v>
      </c>
      <c r="D109" s="193" t="s">
        <v>89</v>
      </c>
      <c r="E109" s="193" t="s">
        <v>119</v>
      </c>
      <c r="F109" s="661" t="s">
        <v>111</v>
      </c>
      <c r="G109" s="662" t="s">
        <v>120</v>
      </c>
      <c r="H109" s="662" t="s">
        <v>63</v>
      </c>
      <c r="I109" s="663" t="s">
        <v>68</v>
      </c>
      <c r="J109" s="193"/>
      <c r="K109" s="209">
        <v>367.20000000000005</v>
      </c>
      <c r="L109" s="209">
        <f t="shared" ref="L109:M110" si="13">L110</f>
        <v>0</v>
      </c>
      <c r="M109" s="209">
        <f t="shared" si="13"/>
        <v>367.20000000000005</v>
      </c>
    </row>
    <row r="110" spans="1:13" s="465" customFormat="1" ht="37.5">
      <c r="A110" s="194"/>
      <c r="B110" s="210" t="s">
        <v>159</v>
      </c>
      <c r="C110" s="208" t="s">
        <v>4</v>
      </c>
      <c r="D110" s="193" t="s">
        <v>89</v>
      </c>
      <c r="E110" s="193" t="s">
        <v>119</v>
      </c>
      <c r="F110" s="661" t="s">
        <v>111</v>
      </c>
      <c r="G110" s="662" t="s">
        <v>120</v>
      </c>
      <c r="H110" s="662" t="s">
        <v>63</v>
      </c>
      <c r="I110" s="663" t="s">
        <v>122</v>
      </c>
      <c r="J110" s="193"/>
      <c r="K110" s="209">
        <v>367.20000000000005</v>
      </c>
      <c r="L110" s="209">
        <f t="shared" si="13"/>
        <v>0</v>
      </c>
      <c r="M110" s="209">
        <f t="shared" si="13"/>
        <v>367.20000000000005</v>
      </c>
    </row>
    <row r="111" spans="1:13" s="465" customFormat="1" ht="56.25">
      <c r="A111" s="194"/>
      <c r="B111" s="207" t="s">
        <v>79</v>
      </c>
      <c r="C111" s="208" t="s">
        <v>4</v>
      </c>
      <c r="D111" s="193" t="s">
        <v>89</v>
      </c>
      <c r="E111" s="193" t="s">
        <v>119</v>
      </c>
      <c r="F111" s="661" t="s">
        <v>111</v>
      </c>
      <c r="G111" s="662" t="s">
        <v>120</v>
      </c>
      <c r="H111" s="662" t="s">
        <v>63</v>
      </c>
      <c r="I111" s="663" t="s">
        <v>122</v>
      </c>
      <c r="J111" s="193" t="s">
        <v>80</v>
      </c>
      <c r="K111" s="209">
        <v>367.20000000000005</v>
      </c>
      <c r="L111" s="209">
        <f>M111-K111</f>
        <v>0</v>
      </c>
      <c r="M111" s="209">
        <f>213.8+153.4</f>
        <v>367.20000000000005</v>
      </c>
    </row>
    <row r="112" spans="1:13" s="465" customFormat="1" ht="75">
      <c r="A112" s="194"/>
      <c r="B112" s="212" t="s">
        <v>481</v>
      </c>
      <c r="C112" s="208" t="s">
        <v>4</v>
      </c>
      <c r="D112" s="193" t="s">
        <v>89</v>
      </c>
      <c r="E112" s="193" t="s">
        <v>119</v>
      </c>
      <c r="F112" s="661" t="s">
        <v>111</v>
      </c>
      <c r="G112" s="662" t="s">
        <v>54</v>
      </c>
      <c r="H112" s="662" t="s">
        <v>67</v>
      </c>
      <c r="I112" s="663" t="s">
        <v>68</v>
      </c>
      <c r="J112" s="193"/>
      <c r="K112" s="209">
        <v>8876.8000000000011</v>
      </c>
      <c r="L112" s="209">
        <f t="shared" ref="L112:M113" si="14">L113</f>
        <v>0</v>
      </c>
      <c r="M112" s="209">
        <f t="shared" si="14"/>
        <v>8876.8000000000011</v>
      </c>
    </row>
    <row r="113" spans="1:13" s="465" customFormat="1" ht="79.5" customHeight="1">
      <c r="A113" s="194"/>
      <c r="B113" s="210" t="s">
        <v>410</v>
      </c>
      <c r="C113" s="208" t="s">
        <v>4</v>
      </c>
      <c r="D113" s="193" t="s">
        <v>89</v>
      </c>
      <c r="E113" s="193" t="s">
        <v>119</v>
      </c>
      <c r="F113" s="661" t="s">
        <v>111</v>
      </c>
      <c r="G113" s="662" t="s">
        <v>54</v>
      </c>
      <c r="H113" s="662" t="s">
        <v>61</v>
      </c>
      <c r="I113" s="663" t="s">
        <v>68</v>
      </c>
      <c r="J113" s="193"/>
      <c r="K113" s="209">
        <v>8876.8000000000011</v>
      </c>
      <c r="L113" s="209">
        <f t="shared" si="14"/>
        <v>0</v>
      </c>
      <c r="M113" s="209">
        <f t="shared" si="14"/>
        <v>8876.8000000000011</v>
      </c>
    </row>
    <row r="114" spans="1:13" s="465" customFormat="1" ht="93.75">
      <c r="A114" s="194"/>
      <c r="B114" s="210" t="s">
        <v>121</v>
      </c>
      <c r="C114" s="208" t="s">
        <v>4</v>
      </c>
      <c r="D114" s="193" t="s">
        <v>89</v>
      </c>
      <c r="E114" s="193" t="s">
        <v>119</v>
      </c>
      <c r="F114" s="661" t="s">
        <v>111</v>
      </c>
      <c r="G114" s="662" t="s">
        <v>54</v>
      </c>
      <c r="H114" s="662" t="s">
        <v>61</v>
      </c>
      <c r="I114" s="663" t="s">
        <v>123</v>
      </c>
      <c r="J114" s="193"/>
      <c r="K114" s="209">
        <v>8876.8000000000011</v>
      </c>
      <c r="L114" s="209">
        <f>L115+L116+L117</f>
        <v>0</v>
      </c>
      <c r="M114" s="209">
        <f>M115+M116+M117</f>
        <v>8876.8000000000011</v>
      </c>
    </row>
    <row r="115" spans="1:13" s="465" customFormat="1" ht="112.5">
      <c r="A115" s="194"/>
      <c r="B115" s="207" t="s">
        <v>73</v>
      </c>
      <c r="C115" s="208" t="s">
        <v>4</v>
      </c>
      <c r="D115" s="193" t="s">
        <v>89</v>
      </c>
      <c r="E115" s="193" t="s">
        <v>119</v>
      </c>
      <c r="F115" s="661" t="s">
        <v>111</v>
      </c>
      <c r="G115" s="662" t="s">
        <v>54</v>
      </c>
      <c r="H115" s="662" t="s">
        <v>61</v>
      </c>
      <c r="I115" s="663" t="s">
        <v>123</v>
      </c>
      <c r="J115" s="193" t="s">
        <v>74</v>
      </c>
      <c r="K115" s="209">
        <v>6943.3</v>
      </c>
      <c r="L115" s="209">
        <f t="shared" ref="L115:L117" si="15">M115-K115</f>
        <v>0</v>
      </c>
      <c r="M115" s="209">
        <f>6796.8+146.5</f>
        <v>6943.3</v>
      </c>
    </row>
    <row r="116" spans="1:13" s="465" customFormat="1" ht="56.25">
      <c r="A116" s="194"/>
      <c r="B116" s="207" t="s">
        <v>79</v>
      </c>
      <c r="C116" s="208" t="s">
        <v>4</v>
      </c>
      <c r="D116" s="193" t="s">
        <v>89</v>
      </c>
      <c r="E116" s="193" t="s">
        <v>119</v>
      </c>
      <c r="F116" s="661" t="s">
        <v>111</v>
      </c>
      <c r="G116" s="662" t="s">
        <v>54</v>
      </c>
      <c r="H116" s="662" t="s">
        <v>61</v>
      </c>
      <c r="I116" s="663" t="s">
        <v>123</v>
      </c>
      <c r="J116" s="193" t="s">
        <v>80</v>
      </c>
      <c r="K116" s="209">
        <v>1919.9</v>
      </c>
      <c r="L116" s="209">
        <f t="shared" si="15"/>
        <v>0</v>
      </c>
      <c r="M116" s="209">
        <f>1228.5+305-10.2+396.6</f>
        <v>1919.9</v>
      </c>
    </row>
    <row r="117" spans="1:13" s="465" customFormat="1" ht="18.75">
      <c r="A117" s="194"/>
      <c r="B117" s="207" t="s">
        <v>81</v>
      </c>
      <c r="C117" s="208" t="s">
        <v>4</v>
      </c>
      <c r="D117" s="193" t="s">
        <v>89</v>
      </c>
      <c r="E117" s="193" t="s">
        <v>119</v>
      </c>
      <c r="F117" s="661" t="s">
        <v>111</v>
      </c>
      <c r="G117" s="662" t="s">
        <v>54</v>
      </c>
      <c r="H117" s="662" t="s">
        <v>61</v>
      </c>
      <c r="I117" s="663" t="s">
        <v>123</v>
      </c>
      <c r="J117" s="193" t="s">
        <v>82</v>
      </c>
      <c r="K117" s="209">
        <v>13.6</v>
      </c>
      <c r="L117" s="209">
        <f t="shared" si="15"/>
        <v>0</v>
      </c>
      <c r="M117" s="209">
        <v>13.6</v>
      </c>
    </row>
    <row r="118" spans="1:13" s="465" customFormat="1" ht="18.75">
      <c r="A118" s="194"/>
      <c r="B118" s="207" t="s">
        <v>124</v>
      </c>
      <c r="C118" s="208" t="s">
        <v>4</v>
      </c>
      <c r="D118" s="193" t="s">
        <v>76</v>
      </c>
      <c r="E118" s="193"/>
      <c r="F118" s="661"/>
      <c r="G118" s="662"/>
      <c r="H118" s="662"/>
      <c r="I118" s="663"/>
      <c r="J118" s="193"/>
      <c r="K118" s="209">
        <v>30507.4</v>
      </c>
      <c r="L118" s="209">
        <f>L119+L128+L134</f>
        <v>3573.7875899999999</v>
      </c>
      <c r="M118" s="209">
        <f>M119+M128+M134</f>
        <v>34081.187590000001</v>
      </c>
    </row>
    <row r="119" spans="1:13" s="190" customFormat="1" ht="18.75">
      <c r="A119" s="194"/>
      <c r="B119" s="207" t="s">
        <v>125</v>
      </c>
      <c r="C119" s="208" t="s">
        <v>4</v>
      </c>
      <c r="D119" s="193" t="s">
        <v>76</v>
      </c>
      <c r="E119" s="193" t="s">
        <v>91</v>
      </c>
      <c r="F119" s="661"/>
      <c r="G119" s="662"/>
      <c r="H119" s="662"/>
      <c r="I119" s="663"/>
      <c r="J119" s="193"/>
      <c r="K119" s="209">
        <v>17803.599999999999</v>
      </c>
      <c r="L119" s="209">
        <f t="shared" ref="L119:M120" si="16">L120</f>
        <v>0</v>
      </c>
      <c r="M119" s="209">
        <f t="shared" si="16"/>
        <v>17803.599999999999</v>
      </c>
    </row>
    <row r="120" spans="1:13" s="465" customFormat="1" ht="60" customHeight="1">
      <c r="A120" s="194"/>
      <c r="B120" s="207" t="s">
        <v>126</v>
      </c>
      <c r="C120" s="208" t="s">
        <v>4</v>
      </c>
      <c r="D120" s="193" t="s">
        <v>76</v>
      </c>
      <c r="E120" s="193" t="s">
        <v>91</v>
      </c>
      <c r="F120" s="661" t="s">
        <v>93</v>
      </c>
      <c r="G120" s="662" t="s">
        <v>66</v>
      </c>
      <c r="H120" s="662" t="s">
        <v>67</v>
      </c>
      <c r="I120" s="663" t="s">
        <v>68</v>
      </c>
      <c r="J120" s="193"/>
      <c r="K120" s="209">
        <v>17803.599999999999</v>
      </c>
      <c r="L120" s="209">
        <f t="shared" si="16"/>
        <v>0</v>
      </c>
      <c r="M120" s="209">
        <f t="shared" si="16"/>
        <v>17803.599999999999</v>
      </c>
    </row>
    <row r="121" spans="1:13" s="190" customFormat="1" ht="37.5">
      <c r="A121" s="194"/>
      <c r="B121" s="207" t="s">
        <v>428</v>
      </c>
      <c r="C121" s="208" t="s">
        <v>4</v>
      </c>
      <c r="D121" s="193" t="s">
        <v>76</v>
      </c>
      <c r="E121" s="193" t="s">
        <v>91</v>
      </c>
      <c r="F121" s="661" t="s">
        <v>93</v>
      </c>
      <c r="G121" s="662" t="s">
        <v>69</v>
      </c>
      <c r="H121" s="662" t="s">
        <v>67</v>
      </c>
      <c r="I121" s="663" t="s">
        <v>68</v>
      </c>
      <c r="J121" s="193"/>
      <c r="K121" s="209">
        <v>17803.599999999999</v>
      </c>
      <c r="L121" s="209">
        <f>L122+L125</f>
        <v>0</v>
      </c>
      <c r="M121" s="209">
        <f>M122+M125</f>
        <v>17803.599999999999</v>
      </c>
    </row>
    <row r="122" spans="1:13" s="190" customFormat="1" ht="56.25">
      <c r="A122" s="194"/>
      <c r="B122" s="207" t="s">
        <v>127</v>
      </c>
      <c r="C122" s="208" t="s">
        <v>4</v>
      </c>
      <c r="D122" s="193" t="s">
        <v>76</v>
      </c>
      <c r="E122" s="193" t="s">
        <v>91</v>
      </c>
      <c r="F122" s="661" t="s">
        <v>93</v>
      </c>
      <c r="G122" s="662" t="s">
        <v>69</v>
      </c>
      <c r="H122" s="662" t="s">
        <v>61</v>
      </c>
      <c r="I122" s="663" t="s">
        <v>68</v>
      </c>
      <c r="J122" s="193"/>
      <c r="K122" s="209">
        <v>17620</v>
      </c>
      <c r="L122" s="209">
        <f t="shared" ref="L122:M122" si="17">L123</f>
        <v>0</v>
      </c>
      <c r="M122" s="209">
        <f t="shared" si="17"/>
        <v>17620</v>
      </c>
    </row>
    <row r="123" spans="1:13" s="190" customFormat="1" ht="75">
      <c r="A123" s="194"/>
      <c r="B123" s="250" t="s">
        <v>638</v>
      </c>
      <c r="C123" s="208" t="s">
        <v>4</v>
      </c>
      <c r="D123" s="193" t="s">
        <v>76</v>
      </c>
      <c r="E123" s="193" t="s">
        <v>91</v>
      </c>
      <c r="F123" s="661" t="s">
        <v>93</v>
      </c>
      <c r="G123" s="662" t="s">
        <v>69</v>
      </c>
      <c r="H123" s="662" t="s">
        <v>61</v>
      </c>
      <c r="I123" s="663" t="s">
        <v>86</v>
      </c>
      <c r="J123" s="193"/>
      <c r="K123" s="209">
        <v>17620</v>
      </c>
      <c r="L123" s="209">
        <f>L124</f>
        <v>0</v>
      </c>
      <c r="M123" s="209">
        <f>M124</f>
        <v>17620</v>
      </c>
    </row>
    <row r="124" spans="1:13" s="465" customFormat="1" ht="18.75">
      <c r="A124" s="194"/>
      <c r="B124" s="207" t="s">
        <v>81</v>
      </c>
      <c r="C124" s="208" t="s">
        <v>4</v>
      </c>
      <c r="D124" s="193" t="s">
        <v>76</v>
      </c>
      <c r="E124" s="193" t="s">
        <v>91</v>
      </c>
      <c r="F124" s="661" t="s">
        <v>93</v>
      </c>
      <c r="G124" s="662" t="s">
        <v>69</v>
      </c>
      <c r="H124" s="662" t="s">
        <v>61</v>
      </c>
      <c r="I124" s="663" t="s">
        <v>86</v>
      </c>
      <c r="J124" s="193" t="s">
        <v>82</v>
      </c>
      <c r="K124" s="209">
        <v>17620</v>
      </c>
      <c r="L124" s="209">
        <f>M124-K124</f>
        <v>0</v>
      </c>
      <c r="M124" s="209">
        <v>17620</v>
      </c>
    </row>
    <row r="125" spans="1:13" s="190" customFormat="1" ht="63.75" customHeight="1">
      <c r="A125" s="194"/>
      <c r="B125" s="207" t="s">
        <v>128</v>
      </c>
      <c r="C125" s="208" t="s">
        <v>4</v>
      </c>
      <c r="D125" s="193" t="s">
        <v>76</v>
      </c>
      <c r="E125" s="193" t="s">
        <v>91</v>
      </c>
      <c r="F125" s="661" t="s">
        <v>93</v>
      </c>
      <c r="G125" s="662" t="s">
        <v>69</v>
      </c>
      <c r="H125" s="662" t="s">
        <v>63</v>
      </c>
      <c r="I125" s="663" t="s">
        <v>68</v>
      </c>
      <c r="J125" s="193"/>
      <c r="K125" s="209">
        <v>183.6</v>
      </c>
      <c r="L125" s="209">
        <f t="shared" ref="L125:M126" si="18">L126</f>
        <v>0</v>
      </c>
      <c r="M125" s="209">
        <f t="shared" si="18"/>
        <v>183.6</v>
      </c>
    </row>
    <row r="126" spans="1:13" s="190" customFormat="1" ht="172.5" customHeight="1">
      <c r="A126" s="194"/>
      <c r="B126" s="207" t="s">
        <v>784</v>
      </c>
      <c r="C126" s="208" t="s">
        <v>4</v>
      </c>
      <c r="D126" s="193" t="s">
        <v>76</v>
      </c>
      <c r="E126" s="193" t="s">
        <v>91</v>
      </c>
      <c r="F126" s="661" t="s">
        <v>93</v>
      </c>
      <c r="G126" s="662" t="s">
        <v>69</v>
      </c>
      <c r="H126" s="662" t="s">
        <v>63</v>
      </c>
      <c r="I126" s="663" t="s">
        <v>129</v>
      </c>
      <c r="J126" s="193"/>
      <c r="K126" s="209">
        <v>183.6</v>
      </c>
      <c r="L126" s="209">
        <f t="shared" si="18"/>
        <v>0</v>
      </c>
      <c r="M126" s="209">
        <f t="shared" si="18"/>
        <v>183.6</v>
      </c>
    </row>
    <row r="127" spans="1:13" s="465" customFormat="1" ht="56.25">
      <c r="A127" s="194"/>
      <c r="B127" s="207" t="s">
        <v>79</v>
      </c>
      <c r="C127" s="208" t="s">
        <v>4</v>
      </c>
      <c r="D127" s="193" t="s">
        <v>76</v>
      </c>
      <c r="E127" s="193" t="s">
        <v>91</v>
      </c>
      <c r="F127" s="661" t="s">
        <v>93</v>
      </c>
      <c r="G127" s="662" t="s">
        <v>69</v>
      </c>
      <c r="H127" s="662" t="s">
        <v>63</v>
      </c>
      <c r="I127" s="663" t="s">
        <v>129</v>
      </c>
      <c r="J127" s="193" t="s">
        <v>80</v>
      </c>
      <c r="K127" s="209">
        <v>183.6</v>
      </c>
      <c r="L127" s="209">
        <f>M127-K127</f>
        <v>0</v>
      </c>
      <c r="M127" s="209">
        <v>183.6</v>
      </c>
    </row>
    <row r="128" spans="1:13" s="190" customFormat="1" ht="18.75">
      <c r="A128" s="194"/>
      <c r="B128" s="212" t="s">
        <v>130</v>
      </c>
      <c r="C128" s="208" t="s">
        <v>4</v>
      </c>
      <c r="D128" s="193" t="s">
        <v>76</v>
      </c>
      <c r="E128" s="193" t="s">
        <v>109</v>
      </c>
      <c r="F128" s="661"/>
      <c r="G128" s="662"/>
      <c r="H128" s="662"/>
      <c r="I128" s="663"/>
      <c r="J128" s="193"/>
      <c r="K128" s="209">
        <v>6113</v>
      </c>
      <c r="L128" s="209">
        <f t="shared" ref="L128:M132" si="19">L129</f>
        <v>3073.7875899999999</v>
      </c>
      <c r="M128" s="209">
        <f t="shared" si="19"/>
        <v>9186.7875899999999</v>
      </c>
    </row>
    <row r="129" spans="1:13" s="465" customFormat="1" ht="56.25">
      <c r="A129" s="194"/>
      <c r="B129" s="207" t="s">
        <v>131</v>
      </c>
      <c r="C129" s="208" t="s">
        <v>4</v>
      </c>
      <c r="D129" s="193" t="s">
        <v>76</v>
      </c>
      <c r="E129" s="193" t="s">
        <v>109</v>
      </c>
      <c r="F129" s="661" t="s">
        <v>132</v>
      </c>
      <c r="G129" s="662" t="s">
        <v>66</v>
      </c>
      <c r="H129" s="662" t="s">
        <v>67</v>
      </c>
      <c r="I129" s="663" t="s">
        <v>68</v>
      </c>
      <c r="J129" s="193"/>
      <c r="K129" s="209">
        <v>6113</v>
      </c>
      <c r="L129" s="209">
        <f t="shared" si="19"/>
        <v>3073.7875899999999</v>
      </c>
      <c r="M129" s="209">
        <f t="shared" si="19"/>
        <v>9186.7875899999999</v>
      </c>
    </row>
    <row r="130" spans="1:13" s="190" customFormat="1" ht="37.5">
      <c r="A130" s="194"/>
      <c r="B130" s="207" t="s">
        <v>428</v>
      </c>
      <c r="C130" s="208" t="s">
        <v>4</v>
      </c>
      <c r="D130" s="193" t="s">
        <v>76</v>
      </c>
      <c r="E130" s="193" t="s">
        <v>109</v>
      </c>
      <c r="F130" s="661" t="s">
        <v>132</v>
      </c>
      <c r="G130" s="662" t="s">
        <v>69</v>
      </c>
      <c r="H130" s="662" t="s">
        <v>67</v>
      </c>
      <c r="I130" s="663" t="s">
        <v>68</v>
      </c>
      <c r="J130" s="193"/>
      <c r="K130" s="209">
        <v>6113</v>
      </c>
      <c r="L130" s="209">
        <f t="shared" si="19"/>
        <v>3073.7875899999999</v>
      </c>
      <c r="M130" s="209">
        <f t="shared" si="19"/>
        <v>9186.7875899999999</v>
      </c>
    </row>
    <row r="131" spans="1:13" s="190" customFormat="1" ht="93.75">
      <c r="A131" s="194"/>
      <c r="B131" s="207" t="s">
        <v>133</v>
      </c>
      <c r="C131" s="208" t="s">
        <v>4</v>
      </c>
      <c r="D131" s="193" t="s">
        <v>76</v>
      </c>
      <c r="E131" s="193" t="s">
        <v>109</v>
      </c>
      <c r="F131" s="661" t="s">
        <v>132</v>
      </c>
      <c r="G131" s="662" t="s">
        <v>69</v>
      </c>
      <c r="H131" s="662" t="s">
        <v>61</v>
      </c>
      <c r="I131" s="663" t="s">
        <v>68</v>
      </c>
      <c r="J131" s="193"/>
      <c r="K131" s="209">
        <v>6113</v>
      </c>
      <c r="L131" s="209">
        <f t="shared" si="19"/>
        <v>3073.7875899999999</v>
      </c>
      <c r="M131" s="209">
        <f t="shared" si="19"/>
        <v>9186.7875899999999</v>
      </c>
    </row>
    <row r="132" spans="1:13" s="190" customFormat="1" ht="75.75" customHeight="1">
      <c r="A132" s="194"/>
      <c r="B132" s="213" t="s">
        <v>134</v>
      </c>
      <c r="C132" s="208" t="s">
        <v>4</v>
      </c>
      <c r="D132" s="193" t="s">
        <v>76</v>
      </c>
      <c r="E132" s="193" t="s">
        <v>109</v>
      </c>
      <c r="F132" s="661" t="s">
        <v>132</v>
      </c>
      <c r="G132" s="662" t="s">
        <v>69</v>
      </c>
      <c r="H132" s="662" t="s">
        <v>61</v>
      </c>
      <c r="I132" s="663" t="s">
        <v>135</v>
      </c>
      <c r="J132" s="193"/>
      <c r="K132" s="209">
        <v>6113</v>
      </c>
      <c r="L132" s="209">
        <f t="shared" si="19"/>
        <v>3073.7875899999999</v>
      </c>
      <c r="M132" s="209">
        <f t="shared" si="19"/>
        <v>9186.7875899999999</v>
      </c>
    </row>
    <row r="133" spans="1:13" s="465" customFormat="1" ht="56.25">
      <c r="A133" s="194"/>
      <c r="B133" s="612" t="s">
        <v>79</v>
      </c>
      <c r="C133" s="613" t="s">
        <v>4</v>
      </c>
      <c r="D133" s="614" t="s">
        <v>76</v>
      </c>
      <c r="E133" s="614" t="s">
        <v>109</v>
      </c>
      <c r="F133" s="615" t="s">
        <v>132</v>
      </c>
      <c r="G133" s="616" t="s">
        <v>69</v>
      </c>
      <c r="H133" s="616" t="s">
        <v>61</v>
      </c>
      <c r="I133" s="617" t="s">
        <v>135</v>
      </c>
      <c r="J133" s="614" t="s">
        <v>80</v>
      </c>
      <c r="K133" s="573">
        <v>6113</v>
      </c>
      <c r="L133" s="573">
        <f>M133-K133</f>
        <v>3073.7875899999999</v>
      </c>
      <c r="M133" s="573">
        <f>6113+3073.78759</f>
        <v>9186.7875899999999</v>
      </c>
    </row>
    <row r="134" spans="1:13" s="190" customFormat="1" ht="37.5">
      <c r="A134" s="194"/>
      <c r="B134" s="212" t="s">
        <v>138</v>
      </c>
      <c r="C134" s="208" t="s">
        <v>4</v>
      </c>
      <c r="D134" s="193" t="s">
        <v>76</v>
      </c>
      <c r="E134" s="193" t="s">
        <v>132</v>
      </c>
      <c r="F134" s="661"/>
      <c r="G134" s="662"/>
      <c r="H134" s="662"/>
      <c r="I134" s="663"/>
      <c r="J134" s="193"/>
      <c r="K134" s="209">
        <v>6590.8000000000011</v>
      </c>
      <c r="L134" s="209">
        <f>L135+L144+L151</f>
        <v>500</v>
      </c>
      <c r="M134" s="209">
        <f>M135+M144+M151</f>
        <v>7090.8000000000011</v>
      </c>
    </row>
    <row r="135" spans="1:13" s="465" customFormat="1" ht="75">
      <c r="A135" s="194"/>
      <c r="B135" s="207" t="s">
        <v>139</v>
      </c>
      <c r="C135" s="208" t="s">
        <v>4</v>
      </c>
      <c r="D135" s="193" t="s">
        <v>76</v>
      </c>
      <c r="E135" s="193" t="s">
        <v>132</v>
      </c>
      <c r="F135" s="661" t="s">
        <v>100</v>
      </c>
      <c r="G135" s="662" t="s">
        <v>66</v>
      </c>
      <c r="H135" s="662" t="s">
        <v>67</v>
      </c>
      <c r="I135" s="663" t="s">
        <v>68</v>
      </c>
      <c r="J135" s="193"/>
      <c r="K135" s="209">
        <v>1087</v>
      </c>
      <c r="L135" s="209">
        <f>L136+L140</f>
        <v>0</v>
      </c>
      <c r="M135" s="209">
        <f>M136+M140</f>
        <v>1087</v>
      </c>
    </row>
    <row r="136" spans="1:13" s="465" customFormat="1" ht="56.25">
      <c r="A136" s="194"/>
      <c r="B136" s="212" t="s">
        <v>140</v>
      </c>
      <c r="C136" s="208" t="s">
        <v>4</v>
      </c>
      <c r="D136" s="193" t="s">
        <v>76</v>
      </c>
      <c r="E136" s="193" t="s">
        <v>132</v>
      </c>
      <c r="F136" s="661" t="s">
        <v>100</v>
      </c>
      <c r="G136" s="662" t="s">
        <v>69</v>
      </c>
      <c r="H136" s="662" t="s">
        <v>67</v>
      </c>
      <c r="I136" s="663" t="s">
        <v>68</v>
      </c>
      <c r="J136" s="193"/>
      <c r="K136" s="209">
        <v>310</v>
      </c>
      <c r="L136" s="209">
        <f t="shared" ref="L136:M137" si="20">L137</f>
        <v>0</v>
      </c>
      <c r="M136" s="209">
        <f t="shared" si="20"/>
        <v>310</v>
      </c>
    </row>
    <row r="137" spans="1:13" s="190" customFormat="1" ht="37.5">
      <c r="A137" s="194"/>
      <c r="B137" s="207" t="s">
        <v>141</v>
      </c>
      <c r="C137" s="208" t="s">
        <v>4</v>
      </c>
      <c r="D137" s="193" t="s">
        <v>76</v>
      </c>
      <c r="E137" s="193" t="s">
        <v>132</v>
      </c>
      <c r="F137" s="661" t="s">
        <v>100</v>
      </c>
      <c r="G137" s="662" t="s">
        <v>69</v>
      </c>
      <c r="H137" s="662" t="s">
        <v>61</v>
      </c>
      <c r="I137" s="663" t="s">
        <v>68</v>
      </c>
      <c r="J137" s="193"/>
      <c r="K137" s="209">
        <v>310</v>
      </c>
      <c r="L137" s="209">
        <f t="shared" si="20"/>
        <v>0</v>
      </c>
      <c r="M137" s="209">
        <f t="shared" si="20"/>
        <v>310</v>
      </c>
    </row>
    <row r="138" spans="1:13" s="465" customFormat="1" ht="37.5">
      <c r="A138" s="194"/>
      <c r="B138" s="212" t="s">
        <v>142</v>
      </c>
      <c r="C138" s="208" t="s">
        <v>4</v>
      </c>
      <c r="D138" s="193" t="s">
        <v>76</v>
      </c>
      <c r="E138" s="193" t="s">
        <v>132</v>
      </c>
      <c r="F138" s="661" t="s">
        <v>100</v>
      </c>
      <c r="G138" s="662" t="s">
        <v>69</v>
      </c>
      <c r="H138" s="662" t="s">
        <v>61</v>
      </c>
      <c r="I138" s="663" t="s">
        <v>143</v>
      </c>
      <c r="J138" s="193"/>
      <c r="K138" s="209">
        <v>310</v>
      </c>
      <c r="L138" s="209">
        <f>L139</f>
        <v>0</v>
      </c>
      <c r="M138" s="209">
        <f>M139</f>
        <v>310</v>
      </c>
    </row>
    <row r="139" spans="1:13" s="190" customFormat="1" ht="56.25">
      <c r="A139" s="194"/>
      <c r="B139" s="207" t="s">
        <v>79</v>
      </c>
      <c r="C139" s="208" t="s">
        <v>4</v>
      </c>
      <c r="D139" s="193" t="s">
        <v>76</v>
      </c>
      <c r="E139" s="193" t="s">
        <v>132</v>
      </c>
      <c r="F139" s="661" t="s">
        <v>100</v>
      </c>
      <c r="G139" s="662" t="s">
        <v>69</v>
      </c>
      <c r="H139" s="662" t="s">
        <v>61</v>
      </c>
      <c r="I139" s="663" t="s">
        <v>143</v>
      </c>
      <c r="J139" s="193" t="s">
        <v>80</v>
      </c>
      <c r="K139" s="209">
        <v>310</v>
      </c>
      <c r="L139" s="209">
        <f>M139-K139</f>
        <v>0</v>
      </c>
      <c r="M139" s="209">
        <v>310</v>
      </c>
    </row>
    <row r="140" spans="1:13" s="465" customFormat="1" ht="37.5">
      <c r="A140" s="194"/>
      <c r="B140" s="212" t="s">
        <v>144</v>
      </c>
      <c r="C140" s="208" t="s">
        <v>4</v>
      </c>
      <c r="D140" s="193" t="s">
        <v>76</v>
      </c>
      <c r="E140" s="193" t="s">
        <v>132</v>
      </c>
      <c r="F140" s="661" t="s">
        <v>100</v>
      </c>
      <c r="G140" s="662" t="s">
        <v>120</v>
      </c>
      <c r="H140" s="662" t="s">
        <v>67</v>
      </c>
      <c r="I140" s="663" t="s">
        <v>68</v>
      </c>
      <c r="J140" s="193"/>
      <c r="K140" s="209">
        <v>777</v>
      </c>
      <c r="L140" s="209">
        <f t="shared" ref="L140:M142" si="21">L141</f>
        <v>0</v>
      </c>
      <c r="M140" s="209">
        <f t="shared" si="21"/>
        <v>777</v>
      </c>
    </row>
    <row r="141" spans="1:13" s="190" customFormat="1" ht="56.25">
      <c r="A141" s="194"/>
      <c r="B141" s="212" t="s">
        <v>145</v>
      </c>
      <c r="C141" s="208" t="s">
        <v>4</v>
      </c>
      <c r="D141" s="193" t="s">
        <v>76</v>
      </c>
      <c r="E141" s="193" t="s">
        <v>132</v>
      </c>
      <c r="F141" s="661" t="s">
        <v>100</v>
      </c>
      <c r="G141" s="662" t="s">
        <v>120</v>
      </c>
      <c r="H141" s="662" t="s">
        <v>61</v>
      </c>
      <c r="I141" s="663" t="s">
        <v>68</v>
      </c>
      <c r="J141" s="193"/>
      <c r="K141" s="209">
        <v>777</v>
      </c>
      <c r="L141" s="209">
        <f t="shared" si="21"/>
        <v>0</v>
      </c>
      <c r="M141" s="209">
        <f t="shared" si="21"/>
        <v>777</v>
      </c>
    </row>
    <row r="142" spans="1:13" s="465" customFormat="1" ht="79.5" customHeight="1">
      <c r="A142" s="194"/>
      <c r="B142" s="212" t="s">
        <v>146</v>
      </c>
      <c r="C142" s="208" t="s">
        <v>4</v>
      </c>
      <c r="D142" s="193" t="s">
        <v>76</v>
      </c>
      <c r="E142" s="193" t="s">
        <v>132</v>
      </c>
      <c r="F142" s="661" t="s">
        <v>100</v>
      </c>
      <c r="G142" s="662" t="s">
        <v>120</v>
      </c>
      <c r="H142" s="662" t="s">
        <v>61</v>
      </c>
      <c r="I142" s="663" t="s">
        <v>147</v>
      </c>
      <c r="J142" s="193"/>
      <c r="K142" s="209">
        <v>777</v>
      </c>
      <c r="L142" s="209">
        <f t="shared" si="21"/>
        <v>0</v>
      </c>
      <c r="M142" s="209">
        <f t="shared" si="21"/>
        <v>777</v>
      </c>
    </row>
    <row r="143" spans="1:13" s="190" customFormat="1" ht="56.25">
      <c r="A143" s="194"/>
      <c r="B143" s="207" t="s">
        <v>79</v>
      </c>
      <c r="C143" s="208" t="s">
        <v>4</v>
      </c>
      <c r="D143" s="193" t="s">
        <v>76</v>
      </c>
      <c r="E143" s="193" t="s">
        <v>132</v>
      </c>
      <c r="F143" s="661" t="s">
        <v>100</v>
      </c>
      <c r="G143" s="662" t="s">
        <v>120</v>
      </c>
      <c r="H143" s="662" t="s">
        <v>61</v>
      </c>
      <c r="I143" s="663" t="s">
        <v>147</v>
      </c>
      <c r="J143" s="193" t="s">
        <v>80</v>
      </c>
      <c r="K143" s="209">
        <v>777</v>
      </c>
      <c r="L143" s="209">
        <f>M143-K143</f>
        <v>0</v>
      </c>
      <c r="M143" s="209">
        <v>777</v>
      </c>
    </row>
    <row r="144" spans="1:13" s="465" customFormat="1" ht="75">
      <c r="A144" s="194"/>
      <c r="B144" s="207" t="s">
        <v>148</v>
      </c>
      <c r="C144" s="208" t="s">
        <v>4</v>
      </c>
      <c r="D144" s="193" t="s">
        <v>76</v>
      </c>
      <c r="E144" s="193" t="s">
        <v>132</v>
      </c>
      <c r="F144" s="661" t="s">
        <v>119</v>
      </c>
      <c r="G144" s="662" t="s">
        <v>66</v>
      </c>
      <c r="H144" s="662" t="s">
        <v>67</v>
      </c>
      <c r="I144" s="663" t="s">
        <v>68</v>
      </c>
      <c r="J144" s="193"/>
      <c r="K144" s="209">
        <v>886.9</v>
      </c>
      <c r="L144" s="209">
        <f t="shared" ref="L144:M147" si="22">L145</f>
        <v>500</v>
      </c>
      <c r="M144" s="209">
        <f t="shared" si="22"/>
        <v>1386.9</v>
      </c>
    </row>
    <row r="145" spans="1:13" s="465" customFormat="1" ht="37.5">
      <c r="A145" s="194"/>
      <c r="B145" s="207" t="s">
        <v>428</v>
      </c>
      <c r="C145" s="208" t="s">
        <v>4</v>
      </c>
      <c r="D145" s="193" t="s">
        <v>76</v>
      </c>
      <c r="E145" s="193" t="s">
        <v>132</v>
      </c>
      <c r="F145" s="661" t="s">
        <v>119</v>
      </c>
      <c r="G145" s="662" t="s">
        <v>69</v>
      </c>
      <c r="H145" s="662" t="s">
        <v>67</v>
      </c>
      <c r="I145" s="663" t="s">
        <v>68</v>
      </c>
      <c r="J145" s="193"/>
      <c r="K145" s="209">
        <v>886.9</v>
      </c>
      <c r="L145" s="209">
        <f t="shared" si="22"/>
        <v>500</v>
      </c>
      <c r="M145" s="209">
        <f t="shared" si="22"/>
        <v>1386.9</v>
      </c>
    </row>
    <row r="146" spans="1:13" s="190" customFormat="1" ht="75">
      <c r="A146" s="194"/>
      <c r="B146" s="212" t="s">
        <v>382</v>
      </c>
      <c r="C146" s="208" t="s">
        <v>4</v>
      </c>
      <c r="D146" s="193" t="s">
        <v>76</v>
      </c>
      <c r="E146" s="193" t="s">
        <v>132</v>
      </c>
      <c r="F146" s="661" t="s">
        <v>119</v>
      </c>
      <c r="G146" s="662" t="s">
        <v>69</v>
      </c>
      <c r="H146" s="662" t="s">
        <v>61</v>
      </c>
      <c r="I146" s="663" t="s">
        <v>68</v>
      </c>
      <c r="J146" s="193"/>
      <c r="K146" s="209">
        <v>886.9</v>
      </c>
      <c r="L146" s="209">
        <f>L147+L149</f>
        <v>500</v>
      </c>
      <c r="M146" s="209">
        <f>M147+M149</f>
        <v>1386.9</v>
      </c>
    </row>
    <row r="147" spans="1:13" s="465" customFormat="1" ht="56.25">
      <c r="A147" s="194"/>
      <c r="B147" s="212" t="s">
        <v>149</v>
      </c>
      <c r="C147" s="208" t="s">
        <v>4</v>
      </c>
      <c r="D147" s="193" t="s">
        <v>76</v>
      </c>
      <c r="E147" s="193" t="s">
        <v>132</v>
      </c>
      <c r="F147" s="661" t="s">
        <v>119</v>
      </c>
      <c r="G147" s="662" t="s">
        <v>69</v>
      </c>
      <c r="H147" s="662" t="s">
        <v>61</v>
      </c>
      <c r="I147" s="663" t="s">
        <v>150</v>
      </c>
      <c r="J147" s="193"/>
      <c r="K147" s="209">
        <v>107.9</v>
      </c>
      <c r="L147" s="209">
        <f t="shared" si="22"/>
        <v>500</v>
      </c>
      <c r="M147" s="209">
        <f t="shared" si="22"/>
        <v>607.9</v>
      </c>
    </row>
    <row r="148" spans="1:13" s="190" customFormat="1" ht="56.25">
      <c r="A148" s="194"/>
      <c r="B148" s="207" t="s">
        <v>79</v>
      </c>
      <c r="C148" s="208" t="s">
        <v>4</v>
      </c>
      <c r="D148" s="193" t="s">
        <v>76</v>
      </c>
      <c r="E148" s="193" t="s">
        <v>132</v>
      </c>
      <c r="F148" s="661" t="s">
        <v>119</v>
      </c>
      <c r="G148" s="662" t="s">
        <v>69</v>
      </c>
      <c r="H148" s="662" t="s">
        <v>61</v>
      </c>
      <c r="I148" s="663" t="s">
        <v>150</v>
      </c>
      <c r="J148" s="193" t="s">
        <v>80</v>
      </c>
      <c r="K148" s="209">
        <v>107.9</v>
      </c>
      <c r="L148" s="209">
        <f>M148-K148</f>
        <v>500</v>
      </c>
      <c r="M148" s="209">
        <f>107.9+500</f>
        <v>607.9</v>
      </c>
    </row>
    <row r="149" spans="1:13" s="190" customFormat="1" ht="75">
      <c r="A149" s="194"/>
      <c r="B149" s="207" t="s">
        <v>537</v>
      </c>
      <c r="C149" s="208" t="s">
        <v>4</v>
      </c>
      <c r="D149" s="193" t="s">
        <v>76</v>
      </c>
      <c r="E149" s="193" t="s">
        <v>132</v>
      </c>
      <c r="F149" s="661" t="s">
        <v>119</v>
      </c>
      <c r="G149" s="662" t="s">
        <v>69</v>
      </c>
      <c r="H149" s="662" t="s">
        <v>61</v>
      </c>
      <c r="I149" s="663" t="s">
        <v>536</v>
      </c>
      <c r="J149" s="193"/>
      <c r="K149" s="209">
        <v>779</v>
      </c>
      <c r="L149" s="209">
        <f t="shared" ref="L149:M149" si="23">L150</f>
        <v>0</v>
      </c>
      <c r="M149" s="209">
        <f t="shared" si="23"/>
        <v>779</v>
      </c>
    </row>
    <row r="150" spans="1:13" s="190" customFormat="1" ht="56.25">
      <c r="A150" s="194"/>
      <c r="B150" s="207" t="s">
        <v>79</v>
      </c>
      <c r="C150" s="208" t="s">
        <v>4</v>
      </c>
      <c r="D150" s="193" t="s">
        <v>76</v>
      </c>
      <c r="E150" s="193" t="s">
        <v>132</v>
      </c>
      <c r="F150" s="661" t="s">
        <v>119</v>
      </c>
      <c r="G150" s="662" t="s">
        <v>69</v>
      </c>
      <c r="H150" s="662" t="s">
        <v>61</v>
      </c>
      <c r="I150" s="663" t="s">
        <v>536</v>
      </c>
      <c r="J150" s="193" t="s">
        <v>80</v>
      </c>
      <c r="K150" s="209">
        <v>779</v>
      </c>
      <c r="L150" s="209">
        <f>M150-K150</f>
        <v>0</v>
      </c>
      <c r="M150" s="209">
        <f>39+740</f>
        <v>779</v>
      </c>
    </row>
    <row r="151" spans="1:13" s="190" customFormat="1" ht="57.75" customHeight="1">
      <c r="A151" s="194"/>
      <c r="B151" s="207" t="s">
        <v>64</v>
      </c>
      <c r="C151" s="208" t="s">
        <v>4</v>
      </c>
      <c r="D151" s="193" t="s">
        <v>76</v>
      </c>
      <c r="E151" s="193" t="s">
        <v>132</v>
      </c>
      <c r="F151" s="661" t="s">
        <v>65</v>
      </c>
      <c r="G151" s="662" t="s">
        <v>66</v>
      </c>
      <c r="H151" s="662" t="s">
        <v>67</v>
      </c>
      <c r="I151" s="663" t="s">
        <v>68</v>
      </c>
      <c r="J151" s="193"/>
      <c r="K151" s="209">
        <v>4616.9000000000005</v>
      </c>
      <c r="L151" s="209">
        <f t="shared" ref="L151:M152" si="24">L152</f>
        <v>0</v>
      </c>
      <c r="M151" s="209">
        <f t="shared" si="24"/>
        <v>4616.9000000000005</v>
      </c>
    </row>
    <row r="152" spans="1:13" s="190" customFormat="1" ht="37.5">
      <c r="A152" s="194"/>
      <c r="B152" s="207" t="s">
        <v>428</v>
      </c>
      <c r="C152" s="208" t="s">
        <v>4</v>
      </c>
      <c r="D152" s="193" t="s">
        <v>76</v>
      </c>
      <c r="E152" s="193" t="s">
        <v>132</v>
      </c>
      <c r="F152" s="661" t="s">
        <v>65</v>
      </c>
      <c r="G152" s="662" t="s">
        <v>69</v>
      </c>
      <c r="H152" s="662" t="s">
        <v>67</v>
      </c>
      <c r="I152" s="663" t="s">
        <v>68</v>
      </c>
      <c r="J152" s="193"/>
      <c r="K152" s="209">
        <v>4616.9000000000005</v>
      </c>
      <c r="L152" s="209">
        <f t="shared" si="24"/>
        <v>0</v>
      </c>
      <c r="M152" s="209">
        <f t="shared" si="24"/>
        <v>4616.9000000000005</v>
      </c>
    </row>
    <row r="153" spans="1:13" s="190" customFormat="1" ht="56.25">
      <c r="A153" s="194"/>
      <c r="B153" s="207" t="s">
        <v>420</v>
      </c>
      <c r="C153" s="208" t="s">
        <v>4</v>
      </c>
      <c r="D153" s="193" t="s">
        <v>76</v>
      </c>
      <c r="E153" s="193" t="s">
        <v>132</v>
      </c>
      <c r="F153" s="661" t="s">
        <v>65</v>
      </c>
      <c r="G153" s="662" t="s">
        <v>69</v>
      </c>
      <c r="H153" s="662" t="s">
        <v>119</v>
      </c>
      <c r="I153" s="663" t="s">
        <v>68</v>
      </c>
      <c r="J153" s="193"/>
      <c r="K153" s="209">
        <v>4616.9000000000005</v>
      </c>
      <c r="L153" s="209">
        <f>L154</f>
        <v>0</v>
      </c>
      <c r="M153" s="209">
        <f>M154</f>
        <v>4616.9000000000005</v>
      </c>
    </row>
    <row r="154" spans="1:13" s="190" customFormat="1" ht="93.75">
      <c r="A154" s="194"/>
      <c r="B154" s="207" t="s">
        <v>121</v>
      </c>
      <c r="C154" s="208" t="s">
        <v>4</v>
      </c>
      <c r="D154" s="193" t="s">
        <v>76</v>
      </c>
      <c r="E154" s="193" t="s">
        <v>132</v>
      </c>
      <c r="F154" s="661" t="s">
        <v>65</v>
      </c>
      <c r="G154" s="662" t="s">
        <v>69</v>
      </c>
      <c r="H154" s="662" t="s">
        <v>119</v>
      </c>
      <c r="I154" s="663" t="s">
        <v>123</v>
      </c>
      <c r="J154" s="193"/>
      <c r="K154" s="209">
        <v>4616.9000000000005</v>
      </c>
      <c r="L154" s="209">
        <f>L155+L156</f>
        <v>0</v>
      </c>
      <c r="M154" s="209">
        <f>M155+M156</f>
        <v>4616.9000000000005</v>
      </c>
    </row>
    <row r="155" spans="1:13" s="190" customFormat="1" ht="112.5">
      <c r="A155" s="194"/>
      <c r="B155" s="207" t="s">
        <v>73</v>
      </c>
      <c r="C155" s="208" t="s">
        <v>4</v>
      </c>
      <c r="D155" s="193" t="s">
        <v>76</v>
      </c>
      <c r="E155" s="193" t="s">
        <v>132</v>
      </c>
      <c r="F155" s="661" t="s">
        <v>65</v>
      </c>
      <c r="G155" s="662" t="s">
        <v>69</v>
      </c>
      <c r="H155" s="662" t="s">
        <v>119</v>
      </c>
      <c r="I155" s="663" t="s">
        <v>123</v>
      </c>
      <c r="J155" s="193" t="s">
        <v>74</v>
      </c>
      <c r="K155" s="209">
        <v>4317.1000000000004</v>
      </c>
      <c r="L155" s="209">
        <f t="shared" ref="L155:L156" si="25">M155-K155</f>
        <v>0</v>
      </c>
      <c r="M155" s="209">
        <v>4317.1000000000004</v>
      </c>
    </row>
    <row r="156" spans="1:13" s="190" customFormat="1" ht="56.25">
      <c r="A156" s="194"/>
      <c r="B156" s="207" t="s">
        <v>79</v>
      </c>
      <c r="C156" s="208" t="s">
        <v>4</v>
      </c>
      <c r="D156" s="193" t="s">
        <v>76</v>
      </c>
      <c r="E156" s="193" t="s">
        <v>132</v>
      </c>
      <c r="F156" s="661" t="s">
        <v>65</v>
      </c>
      <c r="G156" s="662" t="s">
        <v>69</v>
      </c>
      <c r="H156" s="662" t="s">
        <v>119</v>
      </c>
      <c r="I156" s="663" t="s">
        <v>123</v>
      </c>
      <c r="J156" s="193" t="s">
        <v>80</v>
      </c>
      <c r="K156" s="209">
        <v>299.8</v>
      </c>
      <c r="L156" s="209">
        <f t="shared" si="25"/>
        <v>0</v>
      </c>
      <c r="M156" s="209">
        <v>299.8</v>
      </c>
    </row>
    <row r="157" spans="1:13" s="465" customFormat="1" ht="18.75">
      <c r="A157" s="194"/>
      <c r="B157" s="207" t="s">
        <v>151</v>
      </c>
      <c r="C157" s="208" t="s">
        <v>4</v>
      </c>
      <c r="D157" s="193" t="s">
        <v>136</v>
      </c>
      <c r="E157" s="193"/>
      <c r="F157" s="661"/>
      <c r="G157" s="662"/>
      <c r="H157" s="662"/>
      <c r="I157" s="663"/>
      <c r="J157" s="193"/>
      <c r="K157" s="209">
        <v>2928.2</v>
      </c>
      <c r="L157" s="209">
        <f>L158+L173+L164</f>
        <v>591</v>
      </c>
      <c r="M157" s="209">
        <f>M158+M173+M164</f>
        <v>3519.2</v>
      </c>
    </row>
    <row r="158" spans="1:13" s="465" customFormat="1" ht="18.75">
      <c r="A158" s="194"/>
      <c r="B158" s="207" t="s">
        <v>456</v>
      </c>
      <c r="C158" s="208" t="s">
        <v>4</v>
      </c>
      <c r="D158" s="193" t="s">
        <v>136</v>
      </c>
      <c r="E158" s="193" t="s">
        <v>61</v>
      </c>
      <c r="F158" s="661"/>
      <c r="G158" s="662"/>
      <c r="H158" s="662"/>
      <c r="I158" s="663"/>
      <c r="J158" s="193"/>
      <c r="K158" s="209">
        <v>552</v>
      </c>
      <c r="L158" s="209">
        <f t="shared" ref="L158:M162" si="26">L159</f>
        <v>0</v>
      </c>
      <c r="M158" s="209">
        <f t="shared" si="26"/>
        <v>552</v>
      </c>
    </row>
    <row r="159" spans="1:13" s="465" customFormat="1" ht="56.25">
      <c r="A159" s="194"/>
      <c r="B159" s="214" t="s">
        <v>361</v>
      </c>
      <c r="C159" s="208" t="s">
        <v>4</v>
      </c>
      <c r="D159" s="193" t="s">
        <v>136</v>
      </c>
      <c r="E159" s="193" t="s">
        <v>61</v>
      </c>
      <c r="F159" s="661" t="s">
        <v>109</v>
      </c>
      <c r="G159" s="662" t="s">
        <v>66</v>
      </c>
      <c r="H159" s="662" t="s">
        <v>67</v>
      </c>
      <c r="I159" s="663" t="s">
        <v>68</v>
      </c>
      <c r="J159" s="193"/>
      <c r="K159" s="209">
        <v>552</v>
      </c>
      <c r="L159" s="209">
        <f t="shared" si="26"/>
        <v>0</v>
      </c>
      <c r="M159" s="209">
        <f t="shared" si="26"/>
        <v>552</v>
      </c>
    </row>
    <row r="160" spans="1:13" s="465" customFormat="1" ht="37.5">
      <c r="A160" s="194"/>
      <c r="B160" s="207" t="s">
        <v>428</v>
      </c>
      <c r="C160" s="208" t="s">
        <v>4</v>
      </c>
      <c r="D160" s="193" t="s">
        <v>136</v>
      </c>
      <c r="E160" s="193" t="s">
        <v>61</v>
      </c>
      <c r="F160" s="661" t="s">
        <v>109</v>
      </c>
      <c r="G160" s="662" t="s">
        <v>69</v>
      </c>
      <c r="H160" s="662" t="s">
        <v>67</v>
      </c>
      <c r="I160" s="663" t="s">
        <v>68</v>
      </c>
      <c r="J160" s="193"/>
      <c r="K160" s="209">
        <v>552</v>
      </c>
      <c r="L160" s="209">
        <f t="shared" si="26"/>
        <v>0</v>
      </c>
      <c r="M160" s="209">
        <f t="shared" si="26"/>
        <v>552</v>
      </c>
    </row>
    <row r="161" spans="1:13" s="465" customFormat="1" ht="93.75">
      <c r="A161" s="194"/>
      <c r="B161" s="210" t="s">
        <v>470</v>
      </c>
      <c r="C161" s="208" t="s">
        <v>4</v>
      </c>
      <c r="D161" s="193" t="s">
        <v>136</v>
      </c>
      <c r="E161" s="193" t="s">
        <v>61</v>
      </c>
      <c r="F161" s="661" t="s">
        <v>109</v>
      </c>
      <c r="G161" s="662" t="s">
        <v>69</v>
      </c>
      <c r="H161" s="662" t="s">
        <v>76</v>
      </c>
      <c r="I161" s="663" t="s">
        <v>68</v>
      </c>
      <c r="J161" s="193"/>
      <c r="K161" s="209">
        <v>552</v>
      </c>
      <c r="L161" s="209">
        <f t="shared" si="26"/>
        <v>0</v>
      </c>
      <c r="M161" s="209">
        <f t="shared" si="26"/>
        <v>552</v>
      </c>
    </row>
    <row r="162" spans="1:13" s="465" customFormat="1" ht="81.75" customHeight="1">
      <c r="A162" s="194"/>
      <c r="B162" s="210" t="s">
        <v>458</v>
      </c>
      <c r="C162" s="208" t="s">
        <v>4</v>
      </c>
      <c r="D162" s="193" t="s">
        <v>136</v>
      </c>
      <c r="E162" s="193" t="s">
        <v>61</v>
      </c>
      <c r="F162" s="661" t="s">
        <v>109</v>
      </c>
      <c r="G162" s="662" t="s">
        <v>69</v>
      </c>
      <c r="H162" s="662" t="s">
        <v>76</v>
      </c>
      <c r="I162" s="663" t="s">
        <v>457</v>
      </c>
      <c r="J162" s="193"/>
      <c r="K162" s="209">
        <v>552</v>
      </c>
      <c r="L162" s="209">
        <f t="shared" si="26"/>
        <v>0</v>
      </c>
      <c r="M162" s="209">
        <f t="shared" si="26"/>
        <v>552</v>
      </c>
    </row>
    <row r="163" spans="1:13" s="465" customFormat="1" ht="37.5">
      <c r="A163" s="194"/>
      <c r="B163" s="211" t="s">
        <v>152</v>
      </c>
      <c r="C163" s="208" t="s">
        <v>4</v>
      </c>
      <c r="D163" s="193" t="s">
        <v>136</v>
      </c>
      <c r="E163" s="193" t="s">
        <v>61</v>
      </c>
      <c r="F163" s="661" t="s">
        <v>109</v>
      </c>
      <c r="G163" s="662" t="s">
        <v>69</v>
      </c>
      <c r="H163" s="662" t="s">
        <v>76</v>
      </c>
      <c r="I163" s="663" t="s">
        <v>457</v>
      </c>
      <c r="J163" s="193" t="s">
        <v>153</v>
      </c>
      <c r="K163" s="209">
        <v>552</v>
      </c>
      <c r="L163" s="209">
        <f>M163-K163</f>
        <v>0</v>
      </c>
      <c r="M163" s="209">
        <v>552</v>
      </c>
    </row>
    <row r="164" spans="1:13" s="465" customFormat="1" ht="24" customHeight="1">
      <c r="A164" s="194"/>
      <c r="B164" s="211" t="s">
        <v>891</v>
      </c>
      <c r="C164" s="208" t="s">
        <v>4</v>
      </c>
      <c r="D164" s="193" t="s">
        <v>136</v>
      </c>
      <c r="E164" s="193" t="s">
        <v>89</v>
      </c>
      <c r="F164" s="676"/>
      <c r="G164" s="677"/>
      <c r="H164" s="677"/>
      <c r="I164" s="678"/>
      <c r="J164" s="193"/>
      <c r="K164" s="209">
        <f>K165</f>
        <v>0</v>
      </c>
      <c r="L164" s="209">
        <f t="shared" ref="L164:M164" si="27">L165</f>
        <v>1680</v>
      </c>
      <c r="M164" s="209">
        <f t="shared" si="27"/>
        <v>1680</v>
      </c>
    </row>
    <row r="165" spans="1:13" s="465" customFormat="1" ht="36" customHeight="1">
      <c r="A165" s="194"/>
      <c r="B165" s="211" t="s">
        <v>96</v>
      </c>
      <c r="C165" s="208" t="s">
        <v>4</v>
      </c>
      <c r="D165" s="193" t="s">
        <v>136</v>
      </c>
      <c r="E165" s="193" t="s">
        <v>89</v>
      </c>
      <c r="F165" s="676" t="s">
        <v>892</v>
      </c>
      <c r="G165" s="677" t="s">
        <v>66</v>
      </c>
      <c r="H165" s="677" t="s">
        <v>67</v>
      </c>
      <c r="I165" s="678" t="s">
        <v>68</v>
      </c>
      <c r="J165" s="193"/>
      <c r="K165" s="209">
        <f>K166</f>
        <v>0</v>
      </c>
      <c r="L165" s="209">
        <f t="shared" ref="L165:M165" si="28">L166</f>
        <v>1680</v>
      </c>
      <c r="M165" s="209">
        <f t="shared" si="28"/>
        <v>1680</v>
      </c>
    </row>
    <row r="166" spans="1:13" s="465" customFormat="1" ht="41.45" customHeight="1">
      <c r="A166" s="194"/>
      <c r="B166" s="211" t="s">
        <v>893</v>
      </c>
      <c r="C166" s="208" t="s">
        <v>4</v>
      </c>
      <c r="D166" s="193" t="s">
        <v>136</v>
      </c>
      <c r="E166" s="193" t="s">
        <v>89</v>
      </c>
      <c r="F166" s="676" t="s">
        <v>892</v>
      </c>
      <c r="G166" s="677" t="s">
        <v>69</v>
      </c>
      <c r="H166" s="677" t="s">
        <v>67</v>
      </c>
      <c r="I166" s="678" t="s">
        <v>68</v>
      </c>
      <c r="J166" s="193"/>
      <c r="K166" s="209">
        <f>K167+K170</f>
        <v>0</v>
      </c>
      <c r="L166" s="209">
        <f t="shared" ref="L166:M166" si="29">L167+L170</f>
        <v>1680</v>
      </c>
      <c r="M166" s="209">
        <f t="shared" si="29"/>
        <v>1680</v>
      </c>
    </row>
    <row r="167" spans="1:13" s="465" customFormat="1" ht="52.9" customHeight="1">
      <c r="A167" s="194"/>
      <c r="B167" s="211" t="s">
        <v>894</v>
      </c>
      <c r="C167" s="208" t="s">
        <v>4</v>
      </c>
      <c r="D167" s="193" t="s">
        <v>136</v>
      </c>
      <c r="E167" s="193" t="s">
        <v>89</v>
      </c>
      <c r="F167" s="676" t="s">
        <v>892</v>
      </c>
      <c r="G167" s="677" t="s">
        <v>69</v>
      </c>
      <c r="H167" s="677" t="s">
        <v>61</v>
      </c>
      <c r="I167" s="678" t="s">
        <v>68</v>
      </c>
      <c r="J167" s="193"/>
      <c r="K167" s="209">
        <f>K168</f>
        <v>0</v>
      </c>
      <c r="L167" s="209">
        <f t="shared" ref="L167:M167" si="30">L168</f>
        <v>630</v>
      </c>
      <c r="M167" s="209">
        <f t="shared" si="30"/>
        <v>630</v>
      </c>
    </row>
    <row r="168" spans="1:13" s="465" customFormat="1" ht="54" customHeight="1">
      <c r="A168" s="194"/>
      <c r="B168" s="211" t="s">
        <v>896</v>
      </c>
      <c r="C168" s="208" t="s">
        <v>4</v>
      </c>
      <c r="D168" s="193" t="s">
        <v>136</v>
      </c>
      <c r="E168" s="193" t="s">
        <v>89</v>
      </c>
      <c r="F168" s="676" t="s">
        <v>892</v>
      </c>
      <c r="G168" s="677" t="s">
        <v>69</v>
      </c>
      <c r="H168" s="677" t="s">
        <v>61</v>
      </c>
      <c r="I168" s="678" t="s">
        <v>895</v>
      </c>
      <c r="J168" s="193"/>
      <c r="K168" s="209">
        <f>K169</f>
        <v>0</v>
      </c>
      <c r="L168" s="209">
        <f t="shared" ref="L168:M168" si="31">L169</f>
        <v>630</v>
      </c>
      <c r="M168" s="209">
        <f t="shared" si="31"/>
        <v>630</v>
      </c>
    </row>
    <row r="169" spans="1:13" s="465" customFormat="1" ht="37.5">
      <c r="A169" s="194"/>
      <c r="B169" s="211" t="s">
        <v>152</v>
      </c>
      <c r="C169" s="208" t="s">
        <v>4</v>
      </c>
      <c r="D169" s="193" t="s">
        <v>136</v>
      </c>
      <c r="E169" s="193" t="s">
        <v>89</v>
      </c>
      <c r="F169" s="676" t="s">
        <v>892</v>
      </c>
      <c r="G169" s="677" t="s">
        <v>69</v>
      </c>
      <c r="H169" s="677" t="s">
        <v>61</v>
      </c>
      <c r="I169" s="678" t="s">
        <v>895</v>
      </c>
      <c r="J169" s="193" t="s">
        <v>153</v>
      </c>
      <c r="K169" s="209">
        <v>0</v>
      </c>
      <c r="L169" s="209">
        <f>M169-K169</f>
        <v>630</v>
      </c>
      <c r="M169" s="209">
        <f>630</f>
        <v>630</v>
      </c>
    </row>
    <row r="170" spans="1:13" s="465" customFormat="1" ht="55.15" customHeight="1">
      <c r="A170" s="194"/>
      <c r="B170" s="211" t="s">
        <v>897</v>
      </c>
      <c r="C170" s="208" t="s">
        <v>4</v>
      </c>
      <c r="D170" s="193" t="s">
        <v>136</v>
      </c>
      <c r="E170" s="193" t="s">
        <v>89</v>
      </c>
      <c r="F170" s="676" t="s">
        <v>892</v>
      </c>
      <c r="G170" s="677" t="s">
        <v>69</v>
      </c>
      <c r="H170" s="677" t="s">
        <v>63</v>
      </c>
      <c r="I170" s="678" t="s">
        <v>68</v>
      </c>
      <c r="J170" s="193"/>
      <c r="K170" s="209">
        <f>K171</f>
        <v>0</v>
      </c>
      <c r="L170" s="209">
        <f t="shared" ref="L170:M170" si="32">L171</f>
        <v>1050</v>
      </c>
      <c r="M170" s="209">
        <f t="shared" si="32"/>
        <v>1050</v>
      </c>
    </row>
    <row r="171" spans="1:13" s="465" customFormat="1" ht="52.15" customHeight="1">
      <c r="A171" s="194"/>
      <c r="B171" s="211" t="s">
        <v>896</v>
      </c>
      <c r="C171" s="208" t="s">
        <v>4</v>
      </c>
      <c r="D171" s="193" t="s">
        <v>136</v>
      </c>
      <c r="E171" s="193" t="s">
        <v>89</v>
      </c>
      <c r="F171" s="676" t="s">
        <v>892</v>
      </c>
      <c r="G171" s="677" t="s">
        <v>69</v>
      </c>
      <c r="H171" s="677" t="s">
        <v>63</v>
      </c>
      <c r="I171" s="678" t="s">
        <v>895</v>
      </c>
      <c r="J171" s="193"/>
      <c r="K171" s="209">
        <f>K172</f>
        <v>0</v>
      </c>
      <c r="L171" s="209">
        <f t="shared" ref="L171:M171" si="33">L172</f>
        <v>1050</v>
      </c>
      <c r="M171" s="209">
        <f t="shared" si="33"/>
        <v>1050</v>
      </c>
    </row>
    <row r="172" spans="1:13" s="465" customFormat="1" ht="37.5">
      <c r="A172" s="194"/>
      <c r="B172" s="211" t="s">
        <v>152</v>
      </c>
      <c r="C172" s="208" t="s">
        <v>4</v>
      </c>
      <c r="D172" s="193" t="s">
        <v>136</v>
      </c>
      <c r="E172" s="193" t="s">
        <v>89</v>
      </c>
      <c r="F172" s="676" t="s">
        <v>892</v>
      </c>
      <c r="G172" s="677" t="s">
        <v>69</v>
      </c>
      <c r="H172" s="677" t="s">
        <v>63</v>
      </c>
      <c r="I172" s="678" t="s">
        <v>895</v>
      </c>
      <c r="J172" s="193" t="s">
        <v>153</v>
      </c>
      <c r="K172" s="209">
        <v>0</v>
      </c>
      <c r="L172" s="209">
        <f>M172-K172</f>
        <v>1050</v>
      </c>
      <c r="M172" s="209">
        <f>1050</f>
        <v>1050</v>
      </c>
    </row>
    <row r="173" spans="1:13" s="465" customFormat="1" ht="37.5">
      <c r="A173" s="194"/>
      <c r="B173" s="207" t="s">
        <v>154</v>
      </c>
      <c r="C173" s="208" t="s">
        <v>4</v>
      </c>
      <c r="D173" s="193" t="s">
        <v>136</v>
      </c>
      <c r="E173" s="193" t="s">
        <v>111</v>
      </c>
      <c r="F173" s="661"/>
      <c r="G173" s="662"/>
      <c r="H173" s="662"/>
      <c r="I173" s="663"/>
      <c r="J173" s="193"/>
      <c r="K173" s="209">
        <v>2376.1999999999998</v>
      </c>
      <c r="L173" s="209">
        <f>L174+L179</f>
        <v>-1089</v>
      </c>
      <c r="M173" s="209">
        <f>M174+M179</f>
        <v>1287.2</v>
      </c>
    </row>
    <row r="174" spans="1:13" s="465" customFormat="1" ht="56.25">
      <c r="A174" s="194"/>
      <c r="B174" s="207" t="s">
        <v>361</v>
      </c>
      <c r="C174" s="208" t="s">
        <v>4</v>
      </c>
      <c r="D174" s="193" t="s">
        <v>136</v>
      </c>
      <c r="E174" s="193" t="s">
        <v>111</v>
      </c>
      <c r="F174" s="661" t="s">
        <v>109</v>
      </c>
      <c r="G174" s="662" t="s">
        <v>66</v>
      </c>
      <c r="H174" s="662" t="s">
        <v>67</v>
      </c>
      <c r="I174" s="663" t="s">
        <v>68</v>
      </c>
      <c r="J174" s="193"/>
      <c r="K174" s="209">
        <v>1500</v>
      </c>
      <c r="L174" s="209">
        <f t="shared" ref="L174:M177" si="34">L175</f>
        <v>-1224</v>
      </c>
      <c r="M174" s="209">
        <f t="shared" si="34"/>
        <v>276</v>
      </c>
    </row>
    <row r="175" spans="1:13" s="465" customFormat="1" ht="37.5">
      <c r="A175" s="194"/>
      <c r="B175" s="207" t="s">
        <v>428</v>
      </c>
      <c r="C175" s="208" t="s">
        <v>4</v>
      </c>
      <c r="D175" s="193" t="s">
        <v>136</v>
      </c>
      <c r="E175" s="193" t="s">
        <v>111</v>
      </c>
      <c r="F175" s="661" t="s">
        <v>109</v>
      </c>
      <c r="G175" s="662" t="s">
        <v>69</v>
      </c>
      <c r="H175" s="662" t="s">
        <v>67</v>
      </c>
      <c r="I175" s="663" t="s">
        <v>68</v>
      </c>
      <c r="J175" s="193"/>
      <c r="K175" s="209">
        <v>1500</v>
      </c>
      <c r="L175" s="209">
        <f t="shared" si="34"/>
        <v>-1224</v>
      </c>
      <c r="M175" s="209">
        <f t="shared" si="34"/>
        <v>276</v>
      </c>
    </row>
    <row r="176" spans="1:13" s="465" customFormat="1" ht="37.5">
      <c r="A176" s="194"/>
      <c r="B176" s="210" t="s">
        <v>639</v>
      </c>
      <c r="C176" s="208" t="s">
        <v>4</v>
      </c>
      <c r="D176" s="193" t="s">
        <v>136</v>
      </c>
      <c r="E176" s="193" t="s">
        <v>111</v>
      </c>
      <c r="F176" s="661" t="s">
        <v>109</v>
      </c>
      <c r="G176" s="662" t="s">
        <v>69</v>
      </c>
      <c r="H176" s="662" t="s">
        <v>91</v>
      </c>
      <c r="I176" s="663" t="s">
        <v>68</v>
      </c>
      <c r="J176" s="193"/>
      <c r="K176" s="209">
        <v>1500</v>
      </c>
      <c r="L176" s="209">
        <f t="shared" si="34"/>
        <v>-1224</v>
      </c>
      <c r="M176" s="209">
        <f t="shared" si="34"/>
        <v>276</v>
      </c>
    </row>
    <row r="177" spans="1:13" s="465" customFormat="1" ht="80.45" customHeight="1">
      <c r="A177" s="194"/>
      <c r="B177" s="210" t="s">
        <v>800</v>
      </c>
      <c r="C177" s="208" t="s">
        <v>4</v>
      </c>
      <c r="D177" s="193" t="s">
        <v>136</v>
      </c>
      <c r="E177" s="193" t="s">
        <v>111</v>
      </c>
      <c r="F177" s="661" t="s">
        <v>109</v>
      </c>
      <c r="G177" s="662" t="s">
        <v>69</v>
      </c>
      <c r="H177" s="662" t="s">
        <v>91</v>
      </c>
      <c r="I177" s="663" t="s">
        <v>640</v>
      </c>
      <c r="J177" s="193"/>
      <c r="K177" s="209">
        <v>1500</v>
      </c>
      <c r="L177" s="209">
        <f t="shared" si="34"/>
        <v>-1224</v>
      </c>
      <c r="M177" s="209">
        <f t="shared" si="34"/>
        <v>276</v>
      </c>
    </row>
    <row r="178" spans="1:13" s="465" customFormat="1" ht="37.5">
      <c r="A178" s="194"/>
      <c r="B178" s="211" t="s">
        <v>152</v>
      </c>
      <c r="C178" s="208" t="s">
        <v>4</v>
      </c>
      <c r="D178" s="193" t="s">
        <v>136</v>
      </c>
      <c r="E178" s="193" t="s">
        <v>111</v>
      </c>
      <c r="F178" s="661" t="s">
        <v>109</v>
      </c>
      <c r="G178" s="662" t="s">
        <v>69</v>
      </c>
      <c r="H178" s="662" t="s">
        <v>91</v>
      </c>
      <c r="I178" s="663" t="s">
        <v>640</v>
      </c>
      <c r="J178" s="193" t="s">
        <v>153</v>
      </c>
      <c r="K178" s="209">
        <v>1500</v>
      </c>
      <c r="L178" s="209">
        <f>M178-K178</f>
        <v>-1224</v>
      </c>
      <c r="M178" s="209">
        <f>1500-1224</f>
        <v>276</v>
      </c>
    </row>
    <row r="179" spans="1:13" s="465" customFormat="1" ht="78" customHeight="1">
      <c r="A179" s="194"/>
      <c r="B179" s="207" t="s">
        <v>101</v>
      </c>
      <c r="C179" s="208" t="s">
        <v>4</v>
      </c>
      <c r="D179" s="193" t="s">
        <v>136</v>
      </c>
      <c r="E179" s="193" t="s">
        <v>111</v>
      </c>
      <c r="F179" s="661" t="s">
        <v>102</v>
      </c>
      <c r="G179" s="662" t="s">
        <v>66</v>
      </c>
      <c r="H179" s="662" t="s">
        <v>67</v>
      </c>
      <c r="I179" s="663" t="s">
        <v>68</v>
      </c>
      <c r="J179" s="193"/>
      <c r="K179" s="209">
        <v>876.2</v>
      </c>
      <c r="L179" s="209">
        <f t="shared" ref="L179:M182" si="35">L180</f>
        <v>135</v>
      </c>
      <c r="M179" s="209">
        <f t="shared" si="35"/>
        <v>1011.2</v>
      </c>
    </row>
    <row r="180" spans="1:13" s="465" customFormat="1" ht="37.5">
      <c r="A180" s="194"/>
      <c r="B180" s="207" t="s">
        <v>428</v>
      </c>
      <c r="C180" s="208" t="s">
        <v>4</v>
      </c>
      <c r="D180" s="193" t="s">
        <v>136</v>
      </c>
      <c r="E180" s="193" t="s">
        <v>111</v>
      </c>
      <c r="F180" s="661" t="s">
        <v>102</v>
      </c>
      <c r="G180" s="662" t="s">
        <v>69</v>
      </c>
      <c r="H180" s="662" t="s">
        <v>67</v>
      </c>
      <c r="I180" s="663" t="s">
        <v>68</v>
      </c>
      <c r="J180" s="193"/>
      <c r="K180" s="209">
        <v>876.2</v>
      </c>
      <c r="L180" s="209">
        <f t="shared" si="35"/>
        <v>135</v>
      </c>
      <c r="M180" s="209">
        <f t="shared" si="35"/>
        <v>1011.2</v>
      </c>
    </row>
    <row r="181" spans="1:13" s="465" customFormat="1" ht="56.25">
      <c r="A181" s="194"/>
      <c r="B181" s="210" t="s">
        <v>328</v>
      </c>
      <c r="C181" s="208" t="s">
        <v>4</v>
      </c>
      <c r="D181" s="193" t="s">
        <v>136</v>
      </c>
      <c r="E181" s="193" t="s">
        <v>111</v>
      </c>
      <c r="F181" s="661" t="s">
        <v>102</v>
      </c>
      <c r="G181" s="662" t="s">
        <v>69</v>
      </c>
      <c r="H181" s="662" t="s">
        <v>61</v>
      </c>
      <c r="I181" s="663" t="s">
        <v>68</v>
      </c>
      <c r="J181" s="193"/>
      <c r="K181" s="209">
        <v>876.2</v>
      </c>
      <c r="L181" s="209">
        <f t="shared" si="35"/>
        <v>135</v>
      </c>
      <c r="M181" s="209">
        <f t="shared" si="35"/>
        <v>1011.2</v>
      </c>
    </row>
    <row r="182" spans="1:13" s="465" customFormat="1" ht="38.25" customHeight="1">
      <c r="A182" s="194"/>
      <c r="B182" s="210" t="s">
        <v>103</v>
      </c>
      <c r="C182" s="208" t="s">
        <v>4</v>
      </c>
      <c r="D182" s="193" t="s">
        <v>136</v>
      </c>
      <c r="E182" s="193" t="s">
        <v>111</v>
      </c>
      <c r="F182" s="661" t="s">
        <v>102</v>
      </c>
      <c r="G182" s="662" t="s">
        <v>69</v>
      </c>
      <c r="H182" s="662" t="s">
        <v>61</v>
      </c>
      <c r="I182" s="663" t="s">
        <v>104</v>
      </c>
      <c r="J182" s="193"/>
      <c r="K182" s="209">
        <v>876.2</v>
      </c>
      <c r="L182" s="209">
        <f t="shared" si="35"/>
        <v>135</v>
      </c>
      <c r="M182" s="209">
        <f t="shared" si="35"/>
        <v>1011.2</v>
      </c>
    </row>
    <row r="183" spans="1:13" s="465" customFormat="1" ht="56.25">
      <c r="A183" s="194"/>
      <c r="B183" s="211" t="s">
        <v>105</v>
      </c>
      <c r="C183" s="208" t="s">
        <v>4</v>
      </c>
      <c r="D183" s="193" t="s">
        <v>136</v>
      </c>
      <c r="E183" s="193" t="s">
        <v>111</v>
      </c>
      <c r="F183" s="661" t="s">
        <v>102</v>
      </c>
      <c r="G183" s="662" t="s">
        <v>69</v>
      </c>
      <c r="H183" s="662" t="s">
        <v>61</v>
      </c>
      <c r="I183" s="663" t="s">
        <v>104</v>
      </c>
      <c r="J183" s="193" t="s">
        <v>106</v>
      </c>
      <c r="K183" s="209">
        <v>876.2</v>
      </c>
      <c r="L183" s="209">
        <f>M183-K183</f>
        <v>135</v>
      </c>
      <c r="M183" s="209">
        <f>726.2+150+40+95</f>
        <v>1011.2</v>
      </c>
    </row>
    <row r="184" spans="1:13" s="465" customFormat="1" ht="37.5">
      <c r="A184" s="194"/>
      <c r="B184" s="211" t="s">
        <v>506</v>
      </c>
      <c r="C184" s="208" t="s">
        <v>4</v>
      </c>
      <c r="D184" s="193" t="s">
        <v>100</v>
      </c>
      <c r="E184" s="193"/>
      <c r="F184" s="661"/>
      <c r="G184" s="662"/>
      <c r="H184" s="662"/>
      <c r="I184" s="663"/>
      <c r="J184" s="193"/>
      <c r="K184" s="209">
        <v>17.100000000000001</v>
      </c>
      <c r="L184" s="209">
        <f t="shared" ref="L184:M189" si="36">L185</f>
        <v>0</v>
      </c>
      <c r="M184" s="209">
        <f t="shared" si="36"/>
        <v>17.100000000000001</v>
      </c>
    </row>
    <row r="185" spans="1:13" s="465" customFormat="1" ht="37.5">
      <c r="A185" s="194"/>
      <c r="B185" s="211" t="s">
        <v>507</v>
      </c>
      <c r="C185" s="208" t="s">
        <v>4</v>
      </c>
      <c r="D185" s="193" t="s">
        <v>100</v>
      </c>
      <c r="E185" s="193" t="s">
        <v>61</v>
      </c>
      <c r="F185" s="661"/>
      <c r="G185" s="662"/>
      <c r="H185" s="662"/>
      <c r="I185" s="663"/>
      <c r="J185" s="193"/>
      <c r="K185" s="209">
        <v>17.100000000000001</v>
      </c>
      <c r="L185" s="209">
        <f t="shared" si="36"/>
        <v>0</v>
      </c>
      <c r="M185" s="209">
        <f t="shared" si="36"/>
        <v>17.100000000000001</v>
      </c>
    </row>
    <row r="186" spans="1:13" s="465" customFormat="1" ht="61.5" customHeight="1">
      <c r="A186" s="194"/>
      <c r="B186" s="207" t="s">
        <v>64</v>
      </c>
      <c r="C186" s="208" t="s">
        <v>4</v>
      </c>
      <c r="D186" s="193" t="s">
        <v>100</v>
      </c>
      <c r="E186" s="193" t="s">
        <v>61</v>
      </c>
      <c r="F186" s="661" t="s">
        <v>65</v>
      </c>
      <c r="G186" s="662" t="s">
        <v>66</v>
      </c>
      <c r="H186" s="662" t="s">
        <v>67</v>
      </c>
      <c r="I186" s="663" t="s">
        <v>68</v>
      </c>
      <c r="J186" s="193"/>
      <c r="K186" s="209">
        <v>17.100000000000001</v>
      </c>
      <c r="L186" s="209">
        <f t="shared" si="36"/>
        <v>0</v>
      </c>
      <c r="M186" s="209">
        <f t="shared" si="36"/>
        <v>17.100000000000001</v>
      </c>
    </row>
    <row r="187" spans="1:13" s="465" customFormat="1" ht="37.5">
      <c r="A187" s="194"/>
      <c r="B187" s="207" t="s">
        <v>428</v>
      </c>
      <c r="C187" s="208" t="s">
        <v>4</v>
      </c>
      <c r="D187" s="193" t="s">
        <v>100</v>
      </c>
      <c r="E187" s="193" t="s">
        <v>61</v>
      </c>
      <c r="F187" s="661" t="s">
        <v>65</v>
      </c>
      <c r="G187" s="662" t="s">
        <v>69</v>
      </c>
      <c r="H187" s="662" t="s">
        <v>67</v>
      </c>
      <c r="I187" s="663" t="s">
        <v>68</v>
      </c>
      <c r="J187" s="193"/>
      <c r="K187" s="209">
        <v>17.100000000000001</v>
      </c>
      <c r="L187" s="209">
        <f t="shared" si="36"/>
        <v>0</v>
      </c>
      <c r="M187" s="209">
        <f t="shared" si="36"/>
        <v>17.100000000000001</v>
      </c>
    </row>
    <row r="188" spans="1:13" s="465" customFormat="1" ht="56.25">
      <c r="A188" s="194"/>
      <c r="B188" s="211" t="s">
        <v>508</v>
      </c>
      <c r="C188" s="208" t="s">
        <v>4</v>
      </c>
      <c r="D188" s="193" t="s">
        <v>100</v>
      </c>
      <c r="E188" s="193" t="s">
        <v>61</v>
      </c>
      <c r="F188" s="661" t="s">
        <v>65</v>
      </c>
      <c r="G188" s="662" t="s">
        <v>69</v>
      </c>
      <c r="H188" s="662" t="s">
        <v>109</v>
      </c>
      <c r="I188" s="663" t="s">
        <v>68</v>
      </c>
      <c r="J188" s="193"/>
      <c r="K188" s="209">
        <v>17.100000000000001</v>
      </c>
      <c r="L188" s="209">
        <f t="shared" si="36"/>
        <v>0</v>
      </c>
      <c r="M188" s="209">
        <f t="shared" si="36"/>
        <v>17.100000000000001</v>
      </c>
    </row>
    <row r="189" spans="1:13" s="465" customFormat="1" ht="21" customHeight="1">
      <c r="A189" s="194"/>
      <c r="B189" s="211" t="s">
        <v>509</v>
      </c>
      <c r="C189" s="208" t="s">
        <v>4</v>
      </c>
      <c r="D189" s="193" t="s">
        <v>100</v>
      </c>
      <c r="E189" s="193" t="s">
        <v>61</v>
      </c>
      <c r="F189" s="661" t="s">
        <v>65</v>
      </c>
      <c r="G189" s="662" t="s">
        <v>69</v>
      </c>
      <c r="H189" s="662" t="s">
        <v>109</v>
      </c>
      <c r="I189" s="663" t="s">
        <v>510</v>
      </c>
      <c r="J189" s="193"/>
      <c r="K189" s="209">
        <v>17.100000000000001</v>
      </c>
      <c r="L189" s="209">
        <f t="shared" si="36"/>
        <v>0</v>
      </c>
      <c r="M189" s="209">
        <f t="shared" si="36"/>
        <v>17.100000000000001</v>
      </c>
    </row>
    <row r="190" spans="1:13" s="465" customFormat="1" ht="37.5">
      <c r="A190" s="194"/>
      <c r="B190" s="211" t="s">
        <v>511</v>
      </c>
      <c r="C190" s="208" t="s">
        <v>4</v>
      </c>
      <c r="D190" s="193" t="s">
        <v>100</v>
      </c>
      <c r="E190" s="193" t="s">
        <v>61</v>
      </c>
      <c r="F190" s="661" t="s">
        <v>65</v>
      </c>
      <c r="G190" s="662" t="s">
        <v>69</v>
      </c>
      <c r="H190" s="662" t="s">
        <v>109</v>
      </c>
      <c r="I190" s="663" t="s">
        <v>510</v>
      </c>
      <c r="J190" s="193" t="s">
        <v>512</v>
      </c>
      <c r="K190" s="209">
        <v>17.100000000000001</v>
      </c>
      <c r="L190" s="209">
        <f>M190-K190</f>
        <v>0</v>
      </c>
      <c r="M190" s="209">
        <f>6.9+10.2</f>
        <v>17.100000000000001</v>
      </c>
    </row>
    <row r="191" spans="1:13" ht="18.75">
      <c r="A191" s="194"/>
      <c r="B191" s="207"/>
      <c r="C191" s="208"/>
      <c r="D191" s="193"/>
      <c r="E191" s="193"/>
      <c r="F191" s="661"/>
      <c r="G191" s="662"/>
      <c r="H191" s="662"/>
      <c r="I191" s="663"/>
      <c r="J191" s="193"/>
      <c r="K191" s="209"/>
      <c r="L191" s="209"/>
      <c r="M191" s="209"/>
    </row>
    <row r="192" spans="1:13" ht="56.25">
      <c r="A192" s="464">
        <v>2</v>
      </c>
      <c r="B192" s="195" t="s">
        <v>14</v>
      </c>
      <c r="C192" s="202" t="s">
        <v>376</v>
      </c>
      <c r="D192" s="203"/>
      <c r="E192" s="203"/>
      <c r="F192" s="204"/>
      <c r="G192" s="205"/>
      <c r="H192" s="205"/>
      <c r="I192" s="206"/>
      <c r="J192" s="203"/>
      <c r="K192" s="235">
        <v>32039.400000000005</v>
      </c>
      <c r="L192" s="235">
        <f>L193+L211</f>
        <v>0</v>
      </c>
      <c r="M192" s="235">
        <f>M193+M211</f>
        <v>32039.400000000005</v>
      </c>
    </row>
    <row r="193" spans="1:13" s="471" customFormat="1" ht="18.75">
      <c r="A193" s="194"/>
      <c r="B193" s="207" t="s">
        <v>60</v>
      </c>
      <c r="C193" s="208" t="s">
        <v>376</v>
      </c>
      <c r="D193" s="193" t="s">
        <v>61</v>
      </c>
      <c r="E193" s="193"/>
      <c r="F193" s="661"/>
      <c r="G193" s="662"/>
      <c r="H193" s="662"/>
      <c r="I193" s="663"/>
      <c r="J193" s="193"/>
      <c r="K193" s="209">
        <v>26789.400000000005</v>
      </c>
      <c r="L193" s="209">
        <f>L194+L205</f>
        <v>0</v>
      </c>
      <c r="M193" s="209">
        <f>M194+M205</f>
        <v>26789.400000000005</v>
      </c>
    </row>
    <row r="194" spans="1:13" s="472" customFormat="1" ht="57.75" customHeight="1">
      <c r="A194" s="194"/>
      <c r="B194" s="207" t="s">
        <v>162</v>
      </c>
      <c r="C194" s="208" t="s">
        <v>376</v>
      </c>
      <c r="D194" s="193" t="s">
        <v>61</v>
      </c>
      <c r="E194" s="193" t="s">
        <v>111</v>
      </c>
      <c r="F194" s="661"/>
      <c r="G194" s="662"/>
      <c r="H194" s="662"/>
      <c r="I194" s="663"/>
      <c r="J194" s="193"/>
      <c r="K194" s="209">
        <v>24566.700000000004</v>
      </c>
      <c r="L194" s="209">
        <f t="shared" ref="L194:M197" si="37">L195</f>
        <v>0</v>
      </c>
      <c r="M194" s="209">
        <f t="shared" si="37"/>
        <v>24566.700000000004</v>
      </c>
    </row>
    <row r="195" spans="1:13" s="465" customFormat="1" ht="59.25" customHeight="1">
      <c r="A195" s="194"/>
      <c r="B195" s="207" t="s">
        <v>262</v>
      </c>
      <c r="C195" s="208" t="s">
        <v>376</v>
      </c>
      <c r="D195" s="193" t="s">
        <v>61</v>
      </c>
      <c r="E195" s="193" t="s">
        <v>111</v>
      </c>
      <c r="F195" s="661" t="s">
        <v>263</v>
      </c>
      <c r="G195" s="662" t="s">
        <v>66</v>
      </c>
      <c r="H195" s="662" t="s">
        <v>67</v>
      </c>
      <c r="I195" s="663" t="s">
        <v>68</v>
      </c>
      <c r="J195" s="193"/>
      <c r="K195" s="209">
        <v>24566.700000000004</v>
      </c>
      <c r="L195" s="209">
        <f t="shared" si="37"/>
        <v>0</v>
      </c>
      <c r="M195" s="209">
        <f t="shared" si="37"/>
        <v>24566.700000000004</v>
      </c>
    </row>
    <row r="196" spans="1:13" s="465" customFormat="1" ht="37.5">
      <c r="A196" s="194"/>
      <c r="B196" s="207" t="s">
        <v>428</v>
      </c>
      <c r="C196" s="208" t="s">
        <v>376</v>
      </c>
      <c r="D196" s="193" t="s">
        <v>61</v>
      </c>
      <c r="E196" s="193" t="s">
        <v>111</v>
      </c>
      <c r="F196" s="215" t="s">
        <v>263</v>
      </c>
      <c r="G196" s="216" t="s">
        <v>69</v>
      </c>
      <c r="H196" s="662" t="s">
        <v>67</v>
      </c>
      <c r="I196" s="663" t="s">
        <v>68</v>
      </c>
      <c r="J196" s="193"/>
      <c r="K196" s="209">
        <v>24566.700000000004</v>
      </c>
      <c r="L196" s="209">
        <f t="shared" ref="L196" si="38">L197+L202</f>
        <v>0</v>
      </c>
      <c r="M196" s="209">
        <f t="shared" ref="M196" si="39">M197+M202</f>
        <v>24566.700000000004</v>
      </c>
    </row>
    <row r="197" spans="1:13" s="465" customFormat="1" ht="56.25">
      <c r="A197" s="194"/>
      <c r="B197" s="207" t="s">
        <v>377</v>
      </c>
      <c r="C197" s="208" t="s">
        <v>376</v>
      </c>
      <c r="D197" s="193" t="s">
        <v>61</v>
      </c>
      <c r="E197" s="193" t="s">
        <v>111</v>
      </c>
      <c r="F197" s="215" t="s">
        <v>263</v>
      </c>
      <c r="G197" s="216" t="s">
        <v>69</v>
      </c>
      <c r="H197" s="662" t="s">
        <v>61</v>
      </c>
      <c r="I197" s="663" t="s">
        <v>68</v>
      </c>
      <c r="J197" s="193"/>
      <c r="K197" s="209">
        <v>24366.000000000004</v>
      </c>
      <c r="L197" s="209">
        <f t="shared" si="37"/>
        <v>0</v>
      </c>
      <c r="M197" s="209">
        <f t="shared" si="37"/>
        <v>24366.000000000004</v>
      </c>
    </row>
    <row r="198" spans="1:13" s="465" customFormat="1" ht="37.5">
      <c r="A198" s="194"/>
      <c r="B198" s="207" t="s">
        <v>71</v>
      </c>
      <c r="C198" s="208" t="s">
        <v>376</v>
      </c>
      <c r="D198" s="193" t="s">
        <v>61</v>
      </c>
      <c r="E198" s="193" t="s">
        <v>111</v>
      </c>
      <c r="F198" s="215" t="s">
        <v>263</v>
      </c>
      <c r="G198" s="216" t="s">
        <v>69</v>
      </c>
      <c r="H198" s="662" t="s">
        <v>61</v>
      </c>
      <c r="I198" s="663" t="s">
        <v>72</v>
      </c>
      <c r="J198" s="193"/>
      <c r="K198" s="209">
        <v>24366.000000000004</v>
      </c>
      <c r="L198" s="209">
        <f>SUM(L199:L201)</f>
        <v>0</v>
      </c>
      <c r="M198" s="209">
        <f>SUM(M199:M201)</f>
        <v>24366.000000000004</v>
      </c>
    </row>
    <row r="199" spans="1:13" s="465" customFormat="1" ht="112.5">
      <c r="A199" s="194"/>
      <c r="B199" s="207" t="s">
        <v>73</v>
      </c>
      <c r="C199" s="208" t="s">
        <v>376</v>
      </c>
      <c r="D199" s="193" t="s">
        <v>61</v>
      </c>
      <c r="E199" s="193" t="s">
        <v>111</v>
      </c>
      <c r="F199" s="215" t="s">
        <v>263</v>
      </c>
      <c r="G199" s="216" t="s">
        <v>69</v>
      </c>
      <c r="H199" s="662" t="s">
        <v>61</v>
      </c>
      <c r="I199" s="663" t="s">
        <v>72</v>
      </c>
      <c r="J199" s="193" t="s">
        <v>74</v>
      </c>
      <c r="K199" s="209">
        <v>23325.200000000001</v>
      </c>
      <c r="L199" s="209">
        <f t="shared" ref="L199:L201" si="40">M199-K199</f>
        <v>0</v>
      </c>
      <c r="M199" s="209">
        <v>23325.200000000001</v>
      </c>
    </row>
    <row r="200" spans="1:13" s="465" customFormat="1" ht="56.25">
      <c r="A200" s="194"/>
      <c r="B200" s="207" t="s">
        <v>79</v>
      </c>
      <c r="C200" s="208" t="s">
        <v>376</v>
      </c>
      <c r="D200" s="193" t="s">
        <v>61</v>
      </c>
      <c r="E200" s="193" t="s">
        <v>111</v>
      </c>
      <c r="F200" s="215" t="s">
        <v>263</v>
      </c>
      <c r="G200" s="216" t="s">
        <v>69</v>
      </c>
      <c r="H200" s="662" t="s">
        <v>61</v>
      </c>
      <c r="I200" s="663" t="s">
        <v>72</v>
      </c>
      <c r="J200" s="193" t="s">
        <v>80</v>
      </c>
      <c r="K200" s="209">
        <v>1035.9000000000001</v>
      </c>
      <c r="L200" s="209">
        <f t="shared" si="40"/>
        <v>0</v>
      </c>
      <c r="M200" s="209">
        <v>1035.9000000000001</v>
      </c>
    </row>
    <row r="201" spans="1:13" s="472" customFormat="1" ht="18.75">
      <c r="A201" s="194"/>
      <c r="B201" s="207" t="s">
        <v>81</v>
      </c>
      <c r="C201" s="208" t="s">
        <v>376</v>
      </c>
      <c r="D201" s="193" t="s">
        <v>61</v>
      </c>
      <c r="E201" s="193" t="s">
        <v>111</v>
      </c>
      <c r="F201" s="215" t="s">
        <v>263</v>
      </c>
      <c r="G201" s="216" t="s">
        <v>69</v>
      </c>
      <c r="H201" s="662" t="s">
        <v>61</v>
      </c>
      <c r="I201" s="663" t="s">
        <v>72</v>
      </c>
      <c r="J201" s="193" t="s">
        <v>82</v>
      </c>
      <c r="K201" s="209">
        <v>4.9000000000000004</v>
      </c>
      <c r="L201" s="209">
        <f t="shared" si="40"/>
        <v>0</v>
      </c>
      <c r="M201" s="209">
        <v>4.9000000000000004</v>
      </c>
    </row>
    <row r="202" spans="1:13" s="472" customFormat="1" ht="58.5" customHeight="1">
      <c r="A202" s="194"/>
      <c r="B202" s="207" t="s">
        <v>411</v>
      </c>
      <c r="C202" s="208" t="s">
        <v>376</v>
      </c>
      <c r="D202" s="193" t="s">
        <v>61</v>
      </c>
      <c r="E202" s="193" t="s">
        <v>111</v>
      </c>
      <c r="F202" s="215" t="s">
        <v>263</v>
      </c>
      <c r="G202" s="216" t="s">
        <v>69</v>
      </c>
      <c r="H202" s="662" t="s">
        <v>76</v>
      </c>
      <c r="I202" s="663" t="s">
        <v>68</v>
      </c>
      <c r="J202" s="193"/>
      <c r="K202" s="209">
        <v>200.7</v>
      </c>
      <c r="L202" s="209">
        <f t="shared" ref="L202:M203" si="41">L203</f>
        <v>0</v>
      </c>
      <c r="M202" s="209">
        <f t="shared" si="41"/>
        <v>200.7</v>
      </c>
    </row>
    <row r="203" spans="1:13" s="190" customFormat="1" ht="37.5">
      <c r="A203" s="194"/>
      <c r="B203" s="207" t="s">
        <v>492</v>
      </c>
      <c r="C203" s="208" t="s">
        <v>376</v>
      </c>
      <c r="D203" s="193" t="s">
        <v>61</v>
      </c>
      <c r="E203" s="193" t="s">
        <v>111</v>
      </c>
      <c r="F203" s="215" t="s">
        <v>263</v>
      </c>
      <c r="G203" s="216" t="s">
        <v>69</v>
      </c>
      <c r="H203" s="662" t="s">
        <v>76</v>
      </c>
      <c r="I203" s="663" t="s">
        <v>491</v>
      </c>
      <c r="J203" s="193"/>
      <c r="K203" s="209">
        <v>200.7</v>
      </c>
      <c r="L203" s="209">
        <f t="shared" si="41"/>
        <v>0</v>
      </c>
      <c r="M203" s="209">
        <f t="shared" si="41"/>
        <v>200.7</v>
      </c>
    </row>
    <row r="204" spans="1:13" s="190" customFormat="1" ht="56.25">
      <c r="A204" s="194"/>
      <c r="B204" s="207" t="s">
        <v>79</v>
      </c>
      <c r="C204" s="208" t="s">
        <v>376</v>
      </c>
      <c r="D204" s="193" t="s">
        <v>61</v>
      </c>
      <c r="E204" s="193" t="s">
        <v>111</v>
      </c>
      <c r="F204" s="215" t="s">
        <v>263</v>
      </c>
      <c r="G204" s="216" t="s">
        <v>69</v>
      </c>
      <c r="H204" s="662" t="s">
        <v>76</v>
      </c>
      <c r="I204" s="663" t="s">
        <v>491</v>
      </c>
      <c r="J204" s="193" t="s">
        <v>80</v>
      </c>
      <c r="K204" s="209">
        <v>200.7</v>
      </c>
      <c r="L204" s="209">
        <f>M204-K204</f>
        <v>0</v>
      </c>
      <c r="M204" s="209">
        <v>200.7</v>
      </c>
    </row>
    <row r="205" spans="1:13" s="465" customFormat="1" ht="18.75">
      <c r="A205" s="194"/>
      <c r="B205" s="207" t="s">
        <v>99</v>
      </c>
      <c r="C205" s="208" t="s">
        <v>376</v>
      </c>
      <c r="D205" s="193" t="s">
        <v>61</v>
      </c>
      <c r="E205" s="193" t="s">
        <v>100</v>
      </c>
      <c r="F205" s="215"/>
      <c r="G205" s="216"/>
      <c r="H205" s="662"/>
      <c r="I205" s="663"/>
      <c r="J205" s="193"/>
      <c r="K205" s="209">
        <v>2222.6999999999998</v>
      </c>
      <c r="L205" s="209">
        <f t="shared" ref="L205:M209" si="42">L206</f>
        <v>0</v>
      </c>
      <c r="M205" s="209">
        <f t="shared" si="42"/>
        <v>2222.6999999999998</v>
      </c>
    </row>
    <row r="206" spans="1:13" s="465" customFormat="1" ht="60.75" customHeight="1">
      <c r="A206" s="194"/>
      <c r="B206" s="207" t="s">
        <v>262</v>
      </c>
      <c r="C206" s="208" t="s">
        <v>376</v>
      </c>
      <c r="D206" s="193" t="s">
        <v>61</v>
      </c>
      <c r="E206" s="193" t="s">
        <v>100</v>
      </c>
      <c r="F206" s="215" t="s">
        <v>263</v>
      </c>
      <c r="G206" s="216" t="s">
        <v>66</v>
      </c>
      <c r="H206" s="662" t="s">
        <v>67</v>
      </c>
      <c r="I206" s="663" t="s">
        <v>68</v>
      </c>
      <c r="J206" s="193"/>
      <c r="K206" s="209">
        <v>2222.6999999999998</v>
      </c>
      <c r="L206" s="209">
        <f t="shared" si="42"/>
        <v>0</v>
      </c>
      <c r="M206" s="209">
        <f t="shared" si="42"/>
        <v>2222.6999999999998</v>
      </c>
    </row>
    <row r="207" spans="1:13" s="190" customFormat="1" ht="37.5">
      <c r="A207" s="194"/>
      <c r="B207" s="207" t="s">
        <v>428</v>
      </c>
      <c r="C207" s="208" t="s">
        <v>376</v>
      </c>
      <c r="D207" s="193" t="s">
        <v>61</v>
      </c>
      <c r="E207" s="193" t="s">
        <v>100</v>
      </c>
      <c r="F207" s="215" t="s">
        <v>263</v>
      </c>
      <c r="G207" s="216" t="s">
        <v>69</v>
      </c>
      <c r="H207" s="662" t="s">
        <v>67</v>
      </c>
      <c r="I207" s="663" t="s">
        <v>68</v>
      </c>
      <c r="J207" s="193"/>
      <c r="K207" s="209">
        <v>2222.6999999999998</v>
      </c>
      <c r="L207" s="209">
        <f t="shared" si="42"/>
        <v>0</v>
      </c>
      <c r="M207" s="209">
        <f t="shared" si="42"/>
        <v>2222.6999999999998</v>
      </c>
    </row>
    <row r="208" spans="1:13" s="465" customFormat="1" ht="37.5">
      <c r="A208" s="194"/>
      <c r="B208" s="207" t="s">
        <v>452</v>
      </c>
      <c r="C208" s="208" t="s">
        <v>376</v>
      </c>
      <c r="D208" s="193" t="s">
        <v>61</v>
      </c>
      <c r="E208" s="193" t="s">
        <v>100</v>
      </c>
      <c r="F208" s="215" t="s">
        <v>263</v>
      </c>
      <c r="G208" s="216" t="s">
        <v>69</v>
      </c>
      <c r="H208" s="662" t="s">
        <v>89</v>
      </c>
      <c r="I208" s="663" t="s">
        <v>68</v>
      </c>
      <c r="J208" s="193"/>
      <c r="K208" s="209">
        <v>2222.6999999999998</v>
      </c>
      <c r="L208" s="209">
        <f t="shared" si="42"/>
        <v>0</v>
      </c>
      <c r="M208" s="209">
        <f t="shared" si="42"/>
        <v>2222.6999999999998</v>
      </c>
    </row>
    <row r="209" spans="1:13" s="472" customFormat="1" ht="60" customHeight="1">
      <c r="A209" s="194"/>
      <c r="B209" s="207" t="s">
        <v>453</v>
      </c>
      <c r="C209" s="208" t="s">
        <v>376</v>
      </c>
      <c r="D209" s="193" t="s">
        <v>61</v>
      </c>
      <c r="E209" s="193" t="s">
        <v>100</v>
      </c>
      <c r="F209" s="215" t="s">
        <v>263</v>
      </c>
      <c r="G209" s="216" t="s">
        <v>69</v>
      </c>
      <c r="H209" s="662" t="s">
        <v>89</v>
      </c>
      <c r="I209" s="663" t="s">
        <v>137</v>
      </c>
      <c r="J209" s="193"/>
      <c r="K209" s="209">
        <v>2222.6999999999998</v>
      </c>
      <c r="L209" s="209">
        <f t="shared" si="42"/>
        <v>0</v>
      </c>
      <c r="M209" s="209">
        <f t="shared" si="42"/>
        <v>2222.6999999999998</v>
      </c>
    </row>
    <row r="210" spans="1:13" s="472" customFormat="1" ht="56.25">
      <c r="A210" s="194"/>
      <c r="B210" s="207" t="s">
        <v>79</v>
      </c>
      <c r="C210" s="208" t="s">
        <v>376</v>
      </c>
      <c r="D210" s="193" t="s">
        <v>61</v>
      </c>
      <c r="E210" s="193" t="s">
        <v>100</v>
      </c>
      <c r="F210" s="215" t="s">
        <v>263</v>
      </c>
      <c r="G210" s="216" t="s">
        <v>69</v>
      </c>
      <c r="H210" s="662" t="s">
        <v>89</v>
      </c>
      <c r="I210" s="663" t="s">
        <v>137</v>
      </c>
      <c r="J210" s="193" t="s">
        <v>80</v>
      </c>
      <c r="K210" s="209">
        <v>2222.6999999999998</v>
      </c>
      <c r="L210" s="209">
        <f>M210-K210</f>
        <v>0</v>
      </c>
      <c r="M210" s="209">
        <v>2222.6999999999998</v>
      </c>
    </row>
    <row r="211" spans="1:13" s="472" customFormat="1" ht="56.25">
      <c r="A211" s="194"/>
      <c r="B211" s="207" t="s">
        <v>239</v>
      </c>
      <c r="C211" s="208" t="s">
        <v>376</v>
      </c>
      <c r="D211" s="193" t="s">
        <v>119</v>
      </c>
      <c r="E211" s="193"/>
      <c r="F211" s="215"/>
      <c r="G211" s="216"/>
      <c r="H211" s="662"/>
      <c r="I211" s="663"/>
      <c r="J211" s="193"/>
      <c r="K211" s="209">
        <v>5250</v>
      </c>
      <c r="L211" s="209">
        <f t="shared" ref="L211:M214" si="43">L212</f>
        <v>0</v>
      </c>
      <c r="M211" s="209">
        <f t="shared" si="43"/>
        <v>5250</v>
      </c>
    </row>
    <row r="212" spans="1:13" s="472" customFormat="1" ht="56.25">
      <c r="A212" s="194"/>
      <c r="B212" s="213" t="s">
        <v>240</v>
      </c>
      <c r="C212" s="208" t="s">
        <v>376</v>
      </c>
      <c r="D212" s="193" t="s">
        <v>119</v>
      </c>
      <c r="E212" s="193" t="s">
        <v>61</v>
      </c>
      <c r="F212" s="215"/>
      <c r="G212" s="216"/>
      <c r="H212" s="662"/>
      <c r="I212" s="663"/>
      <c r="J212" s="193"/>
      <c r="K212" s="209">
        <v>5250</v>
      </c>
      <c r="L212" s="209">
        <f t="shared" si="43"/>
        <v>0</v>
      </c>
      <c r="M212" s="209">
        <f t="shared" si="43"/>
        <v>5250</v>
      </c>
    </row>
    <row r="213" spans="1:13" s="472" customFormat="1" ht="60.75" customHeight="1">
      <c r="A213" s="194"/>
      <c r="B213" s="207" t="s">
        <v>262</v>
      </c>
      <c r="C213" s="208" t="s">
        <v>376</v>
      </c>
      <c r="D213" s="193" t="s">
        <v>119</v>
      </c>
      <c r="E213" s="193" t="s">
        <v>61</v>
      </c>
      <c r="F213" s="215" t="s">
        <v>263</v>
      </c>
      <c r="G213" s="216" t="s">
        <v>66</v>
      </c>
      <c r="H213" s="662" t="s">
        <v>67</v>
      </c>
      <c r="I213" s="663" t="s">
        <v>68</v>
      </c>
      <c r="J213" s="193"/>
      <c r="K213" s="209">
        <v>5250</v>
      </c>
      <c r="L213" s="209">
        <f t="shared" si="43"/>
        <v>0</v>
      </c>
      <c r="M213" s="209">
        <f t="shared" si="43"/>
        <v>5250</v>
      </c>
    </row>
    <row r="214" spans="1:13" s="472" customFormat="1" ht="37.5">
      <c r="A214" s="194"/>
      <c r="B214" s="207" t="s">
        <v>428</v>
      </c>
      <c r="C214" s="208" t="s">
        <v>376</v>
      </c>
      <c r="D214" s="193" t="s">
        <v>119</v>
      </c>
      <c r="E214" s="193" t="s">
        <v>61</v>
      </c>
      <c r="F214" s="215" t="s">
        <v>263</v>
      </c>
      <c r="G214" s="216" t="s">
        <v>69</v>
      </c>
      <c r="H214" s="662" t="s">
        <v>67</v>
      </c>
      <c r="I214" s="663" t="s">
        <v>68</v>
      </c>
      <c r="J214" s="193"/>
      <c r="K214" s="209">
        <v>5250</v>
      </c>
      <c r="L214" s="209">
        <f t="shared" si="43"/>
        <v>0</v>
      </c>
      <c r="M214" s="209">
        <f t="shared" si="43"/>
        <v>5250</v>
      </c>
    </row>
    <row r="215" spans="1:13" s="472" customFormat="1" ht="37.5">
      <c r="A215" s="194"/>
      <c r="B215" s="207" t="s">
        <v>378</v>
      </c>
      <c r="C215" s="208" t="s">
        <v>376</v>
      </c>
      <c r="D215" s="193" t="s">
        <v>119</v>
      </c>
      <c r="E215" s="193" t="s">
        <v>61</v>
      </c>
      <c r="F215" s="215" t="s">
        <v>263</v>
      </c>
      <c r="G215" s="216" t="s">
        <v>69</v>
      </c>
      <c r="H215" s="662" t="s">
        <v>63</v>
      </c>
      <c r="I215" s="663" t="s">
        <v>68</v>
      </c>
      <c r="J215" s="193"/>
      <c r="K215" s="209">
        <v>5250</v>
      </c>
      <c r="L215" s="209">
        <f>L216</f>
        <v>0</v>
      </c>
      <c r="M215" s="209">
        <f>M216</f>
        <v>5250</v>
      </c>
    </row>
    <row r="216" spans="1:13" s="472" customFormat="1" ht="37.5">
      <c r="A216" s="194"/>
      <c r="B216" s="207" t="s">
        <v>320</v>
      </c>
      <c r="C216" s="208" t="s">
        <v>376</v>
      </c>
      <c r="D216" s="193" t="s">
        <v>119</v>
      </c>
      <c r="E216" s="193" t="s">
        <v>61</v>
      </c>
      <c r="F216" s="215" t="s">
        <v>263</v>
      </c>
      <c r="G216" s="216" t="s">
        <v>69</v>
      </c>
      <c r="H216" s="662" t="s">
        <v>63</v>
      </c>
      <c r="I216" s="663" t="s">
        <v>620</v>
      </c>
      <c r="J216" s="193"/>
      <c r="K216" s="209">
        <v>5250</v>
      </c>
      <c r="L216" s="209">
        <f t="shared" ref="L216:M216" si="44">L217</f>
        <v>0</v>
      </c>
      <c r="M216" s="209">
        <f t="shared" si="44"/>
        <v>5250</v>
      </c>
    </row>
    <row r="217" spans="1:13" s="472" customFormat="1" ht="18.75">
      <c r="A217" s="194"/>
      <c r="B217" s="207" t="s">
        <v>155</v>
      </c>
      <c r="C217" s="208" t="s">
        <v>376</v>
      </c>
      <c r="D217" s="193" t="s">
        <v>119</v>
      </c>
      <c r="E217" s="193" t="s">
        <v>61</v>
      </c>
      <c r="F217" s="215" t="s">
        <v>263</v>
      </c>
      <c r="G217" s="216" t="s">
        <v>69</v>
      </c>
      <c r="H217" s="662" t="s">
        <v>63</v>
      </c>
      <c r="I217" s="663" t="s">
        <v>620</v>
      </c>
      <c r="J217" s="193" t="s">
        <v>156</v>
      </c>
      <c r="K217" s="209">
        <v>5250</v>
      </c>
      <c r="L217" s="209">
        <f>M217-K217</f>
        <v>0</v>
      </c>
      <c r="M217" s="209">
        <v>5250</v>
      </c>
    </row>
    <row r="218" spans="1:13" s="472" customFormat="1" ht="18.75">
      <c r="A218" s="194"/>
      <c r="B218" s="207"/>
      <c r="C218" s="208"/>
      <c r="D218" s="193"/>
      <c r="E218" s="193"/>
      <c r="F218" s="215"/>
      <c r="G218" s="216"/>
      <c r="H218" s="662"/>
      <c r="I218" s="663"/>
      <c r="J218" s="193"/>
      <c r="K218" s="209"/>
      <c r="L218" s="209"/>
      <c r="M218" s="209"/>
    </row>
    <row r="219" spans="1:13" s="473" customFormat="1" ht="36.75" customHeight="1">
      <c r="A219" s="464">
        <v>3</v>
      </c>
      <c r="B219" s="201" t="s">
        <v>59</v>
      </c>
      <c r="C219" s="202" t="s">
        <v>161</v>
      </c>
      <c r="D219" s="203"/>
      <c r="E219" s="203"/>
      <c r="F219" s="204"/>
      <c r="G219" s="205"/>
      <c r="H219" s="205"/>
      <c r="I219" s="206"/>
      <c r="J219" s="203"/>
      <c r="K219" s="235">
        <v>4140.5</v>
      </c>
      <c r="L219" s="235">
        <f t="shared" ref="L219:M222" si="45">L220</f>
        <v>14.799999999999944</v>
      </c>
      <c r="M219" s="235">
        <f t="shared" si="45"/>
        <v>4155.3</v>
      </c>
    </row>
    <row r="220" spans="1:13" s="473" customFormat="1" ht="18.75">
      <c r="A220" s="194"/>
      <c r="B220" s="207" t="s">
        <v>60</v>
      </c>
      <c r="C220" s="208" t="s">
        <v>161</v>
      </c>
      <c r="D220" s="193" t="s">
        <v>61</v>
      </c>
      <c r="E220" s="193"/>
      <c r="F220" s="661"/>
      <c r="G220" s="662"/>
      <c r="H220" s="662"/>
      <c r="I220" s="663"/>
      <c r="J220" s="193"/>
      <c r="K220" s="209">
        <v>4140.5</v>
      </c>
      <c r="L220" s="209">
        <f t="shared" si="45"/>
        <v>14.799999999999944</v>
      </c>
      <c r="M220" s="209">
        <f t="shared" si="45"/>
        <v>4155.3</v>
      </c>
    </row>
    <row r="221" spans="1:13" s="473" customFormat="1" ht="60.75" customHeight="1">
      <c r="A221" s="194"/>
      <c r="B221" s="207" t="s">
        <v>162</v>
      </c>
      <c r="C221" s="208" t="s">
        <v>161</v>
      </c>
      <c r="D221" s="193" t="s">
        <v>61</v>
      </c>
      <c r="E221" s="193" t="s">
        <v>111</v>
      </c>
      <c r="F221" s="661"/>
      <c r="G221" s="662"/>
      <c r="H221" s="662"/>
      <c r="I221" s="663"/>
      <c r="J221" s="193"/>
      <c r="K221" s="209">
        <v>4140.5</v>
      </c>
      <c r="L221" s="209">
        <f t="shared" si="45"/>
        <v>14.799999999999944</v>
      </c>
      <c r="M221" s="209">
        <f t="shared" si="45"/>
        <v>4155.3</v>
      </c>
    </row>
    <row r="222" spans="1:13" s="473" customFormat="1" ht="39" customHeight="1">
      <c r="A222" s="194"/>
      <c r="B222" s="210" t="s">
        <v>163</v>
      </c>
      <c r="C222" s="208" t="s">
        <v>161</v>
      </c>
      <c r="D222" s="193" t="s">
        <v>61</v>
      </c>
      <c r="E222" s="193" t="s">
        <v>111</v>
      </c>
      <c r="F222" s="661" t="s">
        <v>164</v>
      </c>
      <c r="G222" s="662" t="s">
        <v>66</v>
      </c>
      <c r="H222" s="662" t="s">
        <v>67</v>
      </c>
      <c r="I222" s="663" t="s">
        <v>68</v>
      </c>
      <c r="J222" s="193"/>
      <c r="K222" s="209">
        <v>4140.5</v>
      </c>
      <c r="L222" s="209">
        <f t="shared" si="45"/>
        <v>14.799999999999944</v>
      </c>
      <c r="M222" s="209">
        <f t="shared" si="45"/>
        <v>4155.3</v>
      </c>
    </row>
    <row r="223" spans="1:13" s="473" customFormat="1" ht="60" customHeight="1">
      <c r="A223" s="194"/>
      <c r="B223" s="210" t="s">
        <v>166</v>
      </c>
      <c r="C223" s="208" t="s">
        <v>161</v>
      </c>
      <c r="D223" s="193" t="s">
        <v>61</v>
      </c>
      <c r="E223" s="193" t="s">
        <v>111</v>
      </c>
      <c r="F223" s="661" t="s">
        <v>164</v>
      </c>
      <c r="G223" s="662" t="s">
        <v>69</v>
      </c>
      <c r="H223" s="662" t="s">
        <v>67</v>
      </c>
      <c r="I223" s="663" t="s">
        <v>68</v>
      </c>
      <c r="J223" s="193"/>
      <c r="K223" s="209">
        <v>4140.5</v>
      </c>
      <c r="L223" s="209">
        <f>L224+L227+L232</f>
        <v>14.799999999999944</v>
      </c>
      <c r="M223" s="209">
        <f>M224+M227+M232</f>
        <v>4155.3</v>
      </c>
    </row>
    <row r="224" spans="1:13" s="473" customFormat="1" ht="37.5">
      <c r="A224" s="194"/>
      <c r="B224" s="207" t="s">
        <v>165</v>
      </c>
      <c r="C224" s="208" t="s">
        <v>161</v>
      </c>
      <c r="D224" s="193" t="s">
        <v>61</v>
      </c>
      <c r="E224" s="193" t="s">
        <v>111</v>
      </c>
      <c r="F224" s="661" t="s">
        <v>164</v>
      </c>
      <c r="G224" s="662" t="s">
        <v>69</v>
      </c>
      <c r="H224" s="662" t="s">
        <v>61</v>
      </c>
      <c r="I224" s="663" t="s">
        <v>68</v>
      </c>
      <c r="J224" s="193"/>
      <c r="K224" s="209">
        <v>1227.7</v>
      </c>
      <c r="L224" s="209">
        <f t="shared" ref="L224:M225" si="46">L225</f>
        <v>0</v>
      </c>
      <c r="M224" s="209">
        <f t="shared" si="46"/>
        <v>1227.7</v>
      </c>
    </row>
    <row r="225" spans="1:13" s="473" customFormat="1" ht="37.5">
      <c r="A225" s="194"/>
      <c r="B225" s="207" t="s">
        <v>71</v>
      </c>
      <c r="C225" s="208" t="s">
        <v>161</v>
      </c>
      <c r="D225" s="193" t="s">
        <v>61</v>
      </c>
      <c r="E225" s="193" t="s">
        <v>111</v>
      </c>
      <c r="F225" s="661" t="s">
        <v>164</v>
      </c>
      <c r="G225" s="662" t="s">
        <v>69</v>
      </c>
      <c r="H225" s="662" t="s">
        <v>61</v>
      </c>
      <c r="I225" s="663" t="s">
        <v>72</v>
      </c>
      <c r="J225" s="193"/>
      <c r="K225" s="209">
        <v>1227.7</v>
      </c>
      <c r="L225" s="209">
        <f t="shared" si="46"/>
        <v>0</v>
      </c>
      <c r="M225" s="209">
        <f t="shared" si="46"/>
        <v>1227.7</v>
      </c>
    </row>
    <row r="226" spans="1:13" s="473" customFormat="1" ht="112.5">
      <c r="A226" s="194"/>
      <c r="B226" s="210" t="s">
        <v>73</v>
      </c>
      <c r="C226" s="208" t="s">
        <v>161</v>
      </c>
      <c r="D226" s="193" t="s">
        <v>61</v>
      </c>
      <c r="E226" s="193" t="s">
        <v>111</v>
      </c>
      <c r="F226" s="661" t="s">
        <v>164</v>
      </c>
      <c r="G226" s="662" t="s">
        <v>69</v>
      </c>
      <c r="H226" s="662" t="s">
        <v>61</v>
      </c>
      <c r="I226" s="663" t="s">
        <v>72</v>
      </c>
      <c r="J226" s="193" t="s">
        <v>74</v>
      </c>
      <c r="K226" s="209">
        <v>1227.7</v>
      </c>
      <c r="L226" s="209">
        <f>M226-K226</f>
        <v>0</v>
      </c>
      <c r="M226" s="209">
        <v>1227.7</v>
      </c>
    </row>
    <row r="227" spans="1:13" s="473" customFormat="1" ht="37.5">
      <c r="A227" s="194"/>
      <c r="B227" s="207" t="s">
        <v>167</v>
      </c>
      <c r="C227" s="208" t="s">
        <v>161</v>
      </c>
      <c r="D227" s="193" t="s">
        <v>61</v>
      </c>
      <c r="E227" s="193" t="s">
        <v>111</v>
      </c>
      <c r="F227" s="661" t="s">
        <v>164</v>
      </c>
      <c r="G227" s="662" t="s">
        <v>69</v>
      </c>
      <c r="H227" s="662" t="s">
        <v>63</v>
      </c>
      <c r="I227" s="663" t="s">
        <v>68</v>
      </c>
      <c r="J227" s="193"/>
      <c r="K227" s="209">
        <v>2007.5</v>
      </c>
      <c r="L227" s="209">
        <f>L228</f>
        <v>14.799999999999944</v>
      </c>
      <c r="M227" s="209">
        <f>M228</f>
        <v>2022.3</v>
      </c>
    </row>
    <row r="228" spans="1:13" s="473" customFormat="1" ht="37.5">
      <c r="A228" s="194"/>
      <c r="B228" s="207" t="s">
        <v>71</v>
      </c>
      <c r="C228" s="208" t="s">
        <v>161</v>
      </c>
      <c r="D228" s="193" t="s">
        <v>61</v>
      </c>
      <c r="E228" s="193" t="s">
        <v>111</v>
      </c>
      <c r="F228" s="661" t="s">
        <v>164</v>
      </c>
      <c r="G228" s="662" t="s">
        <v>69</v>
      </c>
      <c r="H228" s="662" t="s">
        <v>63</v>
      </c>
      <c r="I228" s="663" t="s">
        <v>72</v>
      </c>
      <c r="J228" s="193"/>
      <c r="K228" s="209">
        <v>2007.5</v>
      </c>
      <c r="L228" s="209">
        <f>L229+L230+L231</f>
        <v>14.799999999999944</v>
      </c>
      <c r="M228" s="209">
        <f>M229+M230+M231</f>
        <v>2022.3</v>
      </c>
    </row>
    <row r="229" spans="1:13" s="473" customFormat="1" ht="112.5">
      <c r="A229" s="194"/>
      <c r="B229" s="207" t="s">
        <v>73</v>
      </c>
      <c r="C229" s="208" t="s">
        <v>161</v>
      </c>
      <c r="D229" s="193" t="s">
        <v>61</v>
      </c>
      <c r="E229" s="193" t="s">
        <v>111</v>
      </c>
      <c r="F229" s="661" t="s">
        <v>164</v>
      </c>
      <c r="G229" s="662" t="s">
        <v>69</v>
      </c>
      <c r="H229" s="662" t="s">
        <v>63</v>
      </c>
      <c r="I229" s="663" t="s">
        <v>72</v>
      </c>
      <c r="J229" s="193" t="s">
        <v>74</v>
      </c>
      <c r="K229" s="209">
        <v>1810.5</v>
      </c>
      <c r="L229" s="209">
        <f t="shared" ref="L229:L231" si="47">M229-K229</f>
        <v>14.799999999999955</v>
      </c>
      <c r="M229" s="209">
        <f>1810.5+14.8</f>
        <v>1825.3</v>
      </c>
    </row>
    <row r="230" spans="1:13" s="473" customFormat="1" ht="56.25">
      <c r="A230" s="194"/>
      <c r="B230" s="207" t="s">
        <v>79</v>
      </c>
      <c r="C230" s="208" t="s">
        <v>161</v>
      </c>
      <c r="D230" s="193" t="s">
        <v>61</v>
      </c>
      <c r="E230" s="193" t="s">
        <v>111</v>
      </c>
      <c r="F230" s="661" t="s">
        <v>164</v>
      </c>
      <c r="G230" s="662" t="s">
        <v>69</v>
      </c>
      <c r="H230" s="662" t="s">
        <v>63</v>
      </c>
      <c r="I230" s="663" t="s">
        <v>72</v>
      </c>
      <c r="J230" s="193" t="s">
        <v>80</v>
      </c>
      <c r="K230" s="209">
        <v>187</v>
      </c>
      <c r="L230" s="209">
        <f t="shared" si="47"/>
        <v>-2.0000000000010232E-2</v>
      </c>
      <c r="M230" s="209">
        <f>187-0.02</f>
        <v>186.98</v>
      </c>
    </row>
    <row r="231" spans="1:13" s="473" customFormat="1" ht="18.75">
      <c r="A231" s="194"/>
      <c r="B231" s="207" t="s">
        <v>81</v>
      </c>
      <c r="C231" s="208" t="s">
        <v>161</v>
      </c>
      <c r="D231" s="193" t="s">
        <v>61</v>
      </c>
      <c r="E231" s="193" t="s">
        <v>111</v>
      </c>
      <c r="F231" s="661" t="s">
        <v>164</v>
      </c>
      <c r="G231" s="662" t="s">
        <v>69</v>
      </c>
      <c r="H231" s="662" t="s">
        <v>63</v>
      </c>
      <c r="I231" s="663" t="s">
        <v>72</v>
      </c>
      <c r="J231" s="193" t="s">
        <v>82</v>
      </c>
      <c r="K231" s="209">
        <v>10</v>
      </c>
      <c r="L231" s="209">
        <f t="shared" si="47"/>
        <v>1.9999999999999574E-2</v>
      </c>
      <c r="M231" s="209">
        <f>10+0.02</f>
        <v>10.02</v>
      </c>
    </row>
    <row r="232" spans="1:13" s="473" customFormat="1" ht="56.25" customHeight="1">
      <c r="A232" s="194"/>
      <c r="B232" s="207" t="s">
        <v>411</v>
      </c>
      <c r="C232" s="208" t="s">
        <v>161</v>
      </c>
      <c r="D232" s="193" t="s">
        <v>61</v>
      </c>
      <c r="E232" s="193" t="s">
        <v>111</v>
      </c>
      <c r="F232" s="661" t="s">
        <v>164</v>
      </c>
      <c r="G232" s="662" t="s">
        <v>69</v>
      </c>
      <c r="H232" s="662" t="s">
        <v>89</v>
      </c>
      <c r="I232" s="663" t="s">
        <v>68</v>
      </c>
      <c r="J232" s="193"/>
      <c r="K232" s="209">
        <v>905.3</v>
      </c>
      <c r="L232" s="209">
        <f t="shared" ref="L232:M233" si="48">L233</f>
        <v>0</v>
      </c>
      <c r="M232" s="209">
        <f t="shared" si="48"/>
        <v>905.3</v>
      </c>
    </row>
    <row r="233" spans="1:13" s="473" customFormat="1" ht="37.5">
      <c r="A233" s="194"/>
      <c r="B233" s="207" t="s">
        <v>275</v>
      </c>
      <c r="C233" s="208" t="s">
        <v>161</v>
      </c>
      <c r="D233" s="193" t="s">
        <v>61</v>
      </c>
      <c r="E233" s="193" t="s">
        <v>111</v>
      </c>
      <c r="F233" s="661" t="s">
        <v>164</v>
      </c>
      <c r="G233" s="662" t="s">
        <v>69</v>
      </c>
      <c r="H233" s="662" t="s">
        <v>89</v>
      </c>
      <c r="I233" s="663" t="s">
        <v>168</v>
      </c>
      <c r="J233" s="193"/>
      <c r="K233" s="209">
        <v>905.3</v>
      </c>
      <c r="L233" s="209">
        <f t="shared" si="48"/>
        <v>0</v>
      </c>
      <c r="M233" s="209">
        <f t="shared" si="48"/>
        <v>905.3</v>
      </c>
    </row>
    <row r="234" spans="1:13" s="473" customFormat="1" ht="112.5">
      <c r="A234" s="521"/>
      <c r="B234" s="522" t="s">
        <v>73</v>
      </c>
      <c r="C234" s="523" t="s">
        <v>161</v>
      </c>
      <c r="D234" s="524" t="s">
        <v>61</v>
      </c>
      <c r="E234" s="524" t="s">
        <v>111</v>
      </c>
      <c r="F234" s="430" t="s">
        <v>164</v>
      </c>
      <c r="G234" s="431" t="s">
        <v>69</v>
      </c>
      <c r="H234" s="431" t="s">
        <v>89</v>
      </c>
      <c r="I234" s="432" t="s">
        <v>168</v>
      </c>
      <c r="J234" s="524" t="s">
        <v>74</v>
      </c>
      <c r="K234" s="525">
        <v>905.3</v>
      </c>
      <c r="L234" s="209">
        <f>M234-K234</f>
        <v>0</v>
      </c>
      <c r="M234" s="525">
        <v>905.3</v>
      </c>
    </row>
    <row r="235" spans="1:13" s="488" customFormat="1" ht="18.75">
      <c r="A235" s="483"/>
      <c r="B235" s="428"/>
      <c r="C235" s="526"/>
      <c r="D235" s="527"/>
      <c r="E235" s="527"/>
      <c r="F235" s="528"/>
      <c r="G235" s="529"/>
      <c r="H235" s="529"/>
      <c r="I235" s="530"/>
      <c r="J235" s="527"/>
      <c r="K235" s="487"/>
      <c r="L235" s="487"/>
      <c r="M235" s="487"/>
    </row>
    <row r="236" spans="1:13" s="482" customFormat="1" ht="56.25">
      <c r="A236" s="474">
        <v>4</v>
      </c>
      <c r="B236" s="475" t="s">
        <v>21</v>
      </c>
      <c r="C236" s="476" t="s">
        <v>651</v>
      </c>
      <c r="D236" s="477"/>
      <c r="E236" s="477"/>
      <c r="F236" s="478"/>
      <c r="G236" s="479"/>
      <c r="H236" s="479"/>
      <c r="I236" s="480"/>
      <c r="J236" s="477"/>
      <c r="K236" s="481">
        <v>245102.43636999998</v>
      </c>
      <c r="L236" s="481">
        <f>L237+L285+L292+L278+L314+L323+L307</f>
        <v>-116344.7</v>
      </c>
      <c r="M236" s="481">
        <f>M237+M285+M292+M278+M314+M323+M307</f>
        <v>128757.73637</v>
      </c>
    </row>
    <row r="237" spans="1:13" s="488" customFormat="1" ht="18.75">
      <c r="A237" s="483"/>
      <c r="B237" s="428" t="s">
        <v>60</v>
      </c>
      <c r="C237" s="484" t="s">
        <v>651</v>
      </c>
      <c r="D237" s="485" t="s">
        <v>61</v>
      </c>
      <c r="E237" s="375"/>
      <c r="F237" s="486"/>
      <c r="G237" s="373"/>
      <c r="H237" s="373"/>
      <c r="I237" s="374"/>
      <c r="J237" s="375"/>
      <c r="K237" s="487">
        <v>32570.775000000001</v>
      </c>
      <c r="L237" s="487">
        <f>L238</f>
        <v>3689.3</v>
      </c>
      <c r="M237" s="487">
        <f>M238</f>
        <v>36260.074999999997</v>
      </c>
    </row>
    <row r="238" spans="1:13" s="482" customFormat="1" ht="18.75">
      <c r="A238" s="483"/>
      <c r="B238" s="428" t="s">
        <v>99</v>
      </c>
      <c r="C238" s="484" t="s">
        <v>651</v>
      </c>
      <c r="D238" s="485" t="s">
        <v>61</v>
      </c>
      <c r="E238" s="485" t="s">
        <v>100</v>
      </c>
      <c r="F238" s="486"/>
      <c r="G238" s="373"/>
      <c r="H238" s="373"/>
      <c r="I238" s="374"/>
      <c r="J238" s="375"/>
      <c r="K238" s="487">
        <v>32570.775000000001</v>
      </c>
      <c r="L238" s="487">
        <f>L239+L271</f>
        <v>3689.3</v>
      </c>
      <c r="M238" s="487">
        <f>M239+M271</f>
        <v>36260.074999999997</v>
      </c>
    </row>
    <row r="239" spans="1:13" s="488" customFormat="1" ht="57" customHeight="1">
      <c r="A239" s="483"/>
      <c r="B239" s="428" t="s">
        <v>264</v>
      </c>
      <c r="C239" s="484" t="s">
        <v>651</v>
      </c>
      <c r="D239" s="485" t="s">
        <v>61</v>
      </c>
      <c r="E239" s="485" t="s">
        <v>100</v>
      </c>
      <c r="F239" s="404" t="s">
        <v>265</v>
      </c>
      <c r="G239" s="373" t="s">
        <v>66</v>
      </c>
      <c r="H239" s="373" t="s">
        <v>67</v>
      </c>
      <c r="I239" s="374" t="s">
        <v>68</v>
      </c>
      <c r="J239" s="375"/>
      <c r="K239" s="487">
        <v>27590.575000000001</v>
      </c>
      <c r="L239" s="487">
        <f>L240+L248+L266</f>
        <v>3689.3</v>
      </c>
      <c r="M239" s="487">
        <f>M240+M248+M266</f>
        <v>31279.874999999996</v>
      </c>
    </row>
    <row r="240" spans="1:13" s="488" customFormat="1" ht="42.75" customHeight="1">
      <c r="A240" s="483"/>
      <c r="B240" s="428" t="s">
        <v>266</v>
      </c>
      <c r="C240" s="484" t="s">
        <v>651</v>
      </c>
      <c r="D240" s="485" t="s">
        <v>61</v>
      </c>
      <c r="E240" s="485" t="s">
        <v>100</v>
      </c>
      <c r="F240" s="489" t="s">
        <v>265</v>
      </c>
      <c r="G240" s="490" t="s">
        <v>69</v>
      </c>
      <c r="H240" s="490" t="s">
        <v>67</v>
      </c>
      <c r="I240" s="491" t="s">
        <v>68</v>
      </c>
      <c r="J240" s="375"/>
      <c r="K240" s="487">
        <v>7872.7750000000005</v>
      </c>
      <c r="L240" s="487">
        <f>L241+L244</f>
        <v>3051.9</v>
      </c>
      <c r="M240" s="487">
        <f>M241+M244</f>
        <v>10924.674999999999</v>
      </c>
    </row>
    <row r="241" spans="1:14" s="488" customFormat="1" ht="100.5" customHeight="1">
      <c r="A241" s="483"/>
      <c r="B241" s="428" t="s">
        <v>371</v>
      </c>
      <c r="C241" s="484" t="s">
        <v>651</v>
      </c>
      <c r="D241" s="485" t="s">
        <v>61</v>
      </c>
      <c r="E241" s="485" t="s">
        <v>100</v>
      </c>
      <c r="F241" s="372" t="s">
        <v>265</v>
      </c>
      <c r="G241" s="373" t="s">
        <v>69</v>
      </c>
      <c r="H241" s="373" t="s">
        <v>61</v>
      </c>
      <c r="I241" s="374" t="s">
        <v>68</v>
      </c>
      <c r="J241" s="375"/>
      <c r="K241" s="487">
        <v>320.59999999999997</v>
      </c>
      <c r="L241" s="487">
        <f t="shared" ref="L241:M242" si="49">L242</f>
        <v>-148.1</v>
      </c>
      <c r="M241" s="487">
        <f t="shared" si="49"/>
        <v>172.49999999999997</v>
      </c>
    </row>
    <row r="242" spans="1:14" s="488" customFormat="1" ht="56.25">
      <c r="A242" s="483"/>
      <c r="B242" s="428" t="s">
        <v>267</v>
      </c>
      <c r="C242" s="484" t="s">
        <v>651</v>
      </c>
      <c r="D242" s="485" t="s">
        <v>61</v>
      </c>
      <c r="E242" s="485" t="s">
        <v>100</v>
      </c>
      <c r="F242" s="372" t="s">
        <v>265</v>
      </c>
      <c r="G242" s="373" t="s">
        <v>69</v>
      </c>
      <c r="H242" s="373" t="s">
        <v>61</v>
      </c>
      <c r="I242" s="374" t="s">
        <v>372</v>
      </c>
      <c r="J242" s="375"/>
      <c r="K242" s="487">
        <v>320.59999999999997</v>
      </c>
      <c r="L242" s="487">
        <f t="shared" si="49"/>
        <v>-148.1</v>
      </c>
      <c r="M242" s="487">
        <f t="shared" si="49"/>
        <v>172.49999999999997</v>
      </c>
    </row>
    <row r="243" spans="1:14" s="482" customFormat="1" ht="56.25">
      <c r="A243" s="483"/>
      <c r="B243" s="423" t="s">
        <v>79</v>
      </c>
      <c r="C243" s="484" t="s">
        <v>651</v>
      </c>
      <c r="D243" s="485" t="s">
        <v>61</v>
      </c>
      <c r="E243" s="485" t="s">
        <v>100</v>
      </c>
      <c r="F243" s="372" t="s">
        <v>265</v>
      </c>
      <c r="G243" s="373" t="s">
        <v>69</v>
      </c>
      <c r="H243" s="373" t="s">
        <v>61</v>
      </c>
      <c r="I243" s="374" t="s">
        <v>372</v>
      </c>
      <c r="J243" s="375" t="s">
        <v>80</v>
      </c>
      <c r="K243" s="487">
        <v>320.59999999999997</v>
      </c>
      <c r="L243" s="209">
        <f>M243-K243</f>
        <v>-148.1</v>
      </c>
      <c r="M243" s="487">
        <f>320.9-0.3-148.1</f>
        <v>172.49999999999997</v>
      </c>
    </row>
    <row r="244" spans="1:14" s="482" customFormat="1" ht="37.5">
      <c r="A244" s="483"/>
      <c r="B244" s="423" t="s">
        <v>427</v>
      </c>
      <c r="C244" s="484" t="s">
        <v>651</v>
      </c>
      <c r="D244" s="485" t="s">
        <v>61</v>
      </c>
      <c r="E244" s="485" t="s">
        <v>100</v>
      </c>
      <c r="F244" s="372" t="s">
        <v>265</v>
      </c>
      <c r="G244" s="373" t="s">
        <v>69</v>
      </c>
      <c r="H244" s="373" t="s">
        <v>63</v>
      </c>
      <c r="I244" s="374" t="s">
        <v>68</v>
      </c>
      <c r="J244" s="375"/>
      <c r="K244" s="487">
        <v>7552.1750000000002</v>
      </c>
      <c r="L244" s="487">
        <f>L245</f>
        <v>3200</v>
      </c>
      <c r="M244" s="487">
        <f>M245</f>
        <v>10752.174999999999</v>
      </c>
    </row>
    <row r="245" spans="1:14" s="482" customFormat="1" ht="37.5">
      <c r="A245" s="483"/>
      <c r="B245" s="423" t="s">
        <v>426</v>
      </c>
      <c r="C245" s="484" t="s">
        <v>651</v>
      </c>
      <c r="D245" s="485" t="s">
        <v>61</v>
      </c>
      <c r="E245" s="485" t="s">
        <v>100</v>
      </c>
      <c r="F245" s="372" t="s">
        <v>265</v>
      </c>
      <c r="G245" s="373" t="s">
        <v>69</v>
      </c>
      <c r="H245" s="373" t="s">
        <v>63</v>
      </c>
      <c r="I245" s="374" t="s">
        <v>425</v>
      </c>
      <c r="J245" s="375"/>
      <c r="K245" s="487">
        <v>7552.1750000000002</v>
      </c>
      <c r="L245" s="487">
        <f>SUM(L246:L247)</f>
        <v>3200</v>
      </c>
      <c r="M245" s="487">
        <f>SUM(M246:M247)</f>
        <v>10752.174999999999</v>
      </c>
    </row>
    <row r="246" spans="1:14" s="482" customFormat="1" ht="56.25">
      <c r="A246" s="483"/>
      <c r="B246" s="423" t="s">
        <v>79</v>
      </c>
      <c r="C246" s="484" t="s">
        <v>651</v>
      </c>
      <c r="D246" s="485" t="s">
        <v>61</v>
      </c>
      <c r="E246" s="485" t="s">
        <v>100</v>
      </c>
      <c r="F246" s="372" t="s">
        <v>265</v>
      </c>
      <c r="G246" s="373" t="s">
        <v>69</v>
      </c>
      <c r="H246" s="373" t="s">
        <v>63</v>
      </c>
      <c r="I246" s="374" t="s">
        <v>425</v>
      </c>
      <c r="J246" s="375" t="s">
        <v>80</v>
      </c>
      <c r="K246" s="487">
        <v>406.8</v>
      </c>
      <c r="L246" s="209">
        <f>M246-K246</f>
        <v>3200</v>
      </c>
      <c r="M246" s="487">
        <f>349.1+57.7+3200</f>
        <v>3606.8</v>
      </c>
    </row>
    <row r="247" spans="1:14" s="482" customFormat="1" ht="56.25">
      <c r="A247" s="483"/>
      <c r="B247" s="207" t="s">
        <v>242</v>
      </c>
      <c r="C247" s="484" t="s">
        <v>651</v>
      </c>
      <c r="D247" s="485" t="s">
        <v>61</v>
      </c>
      <c r="E247" s="485" t="s">
        <v>100</v>
      </c>
      <c r="F247" s="372" t="s">
        <v>265</v>
      </c>
      <c r="G247" s="373" t="s">
        <v>69</v>
      </c>
      <c r="H247" s="373" t="s">
        <v>63</v>
      </c>
      <c r="I247" s="374" t="s">
        <v>425</v>
      </c>
      <c r="J247" s="375" t="s">
        <v>243</v>
      </c>
      <c r="K247" s="487">
        <v>7145.375</v>
      </c>
      <c r="L247" s="209">
        <f>M247-K247</f>
        <v>0</v>
      </c>
      <c r="M247" s="487">
        <f>7145.375</f>
        <v>7145.375</v>
      </c>
    </row>
    <row r="248" spans="1:14" s="482" customFormat="1" ht="37.5">
      <c r="A248" s="483"/>
      <c r="B248" s="428" t="s">
        <v>268</v>
      </c>
      <c r="C248" s="484" t="s">
        <v>651</v>
      </c>
      <c r="D248" s="485" t="s">
        <v>61</v>
      </c>
      <c r="E248" s="485" t="s">
        <v>100</v>
      </c>
      <c r="F248" s="404" t="s">
        <v>265</v>
      </c>
      <c r="G248" s="373" t="s">
        <v>120</v>
      </c>
      <c r="H248" s="373" t="s">
        <v>67</v>
      </c>
      <c r="I248" s="374" t="s">
        <v>68</v>
      </c>
      <c r="J248" s="375"/>
      <c r="K248" s="487">
        <v>18539.399999999998</v>
      </c>
      <c r="L248" s="487">
        <f>L249+L260+L263</f>
        <v>41.300000000000011</v>
      </c>
      <c r="M248" s="487">
        <f>M249+M260+M263</f>
        <v>18580.699999999997</v>
      </c>
    </row>
    <row r="249" spans="1:14" s="488" customFormat="1" ht="79.5" customHeight="1">
      <c r="A249" s="483"/>
      <c r="B249" s="428" t="s">
        <v>375</v>
      </c>
      <c r="C249" s="484" t="s">
        <v>651</v>
      </c>
      <c r="D249" s="485" t="s">
        <v>61</v>
      </c>
      <c r="E249" s="485" t="s">
        <v>100</v>
      </c>
      <c r="F249" s="404" t="s">
        <v>265</v>
      </c>
      <c r="G249" s="373" t="s">
        <v>120</v>
      </c>
      <c r="H249" s="373" t="s">
        <v>61</v>
      </c>
      <c r="I249" s="374" t="s">
        <v>68</v>
      </c>
      <c r="J249" s="375"/>
      <c r="K249" s="487">
        <v>18090.399999999998</v>
      </c>
      <c r="L249" s="487">
        <f>L250+L254+L258</f>
        <v>0</v>
      </c>
      <c r="M249" s="487">
        <f>M250+M254+M258</f>
        <v>18090.399999999998</v>
      </c>
    </row>
    <row r="250" spans="1:14" s="482" customFormat="1" ht="37.5">
      <c r="A250" s="483"/>
      <c r="B250" s="428" t="s">
        <v>71</v>
      </c>
      <c r="C250" s="484" t="s">
        <v>651</v>
      </c>
      <c r="D250" s="485" t="s">
        <v>61</v>
      </c>
      <c r="E250" s="485" t="s">
        <v>100</v>
      </c>
      <c r="F250" s="492" t="s">
        <v>265</v>
      </c>
      <c r="G250" s="490" t="s">
        <v>120</v>
      </c>
      <c r="H250" s="490" t="s">
        <v>61</v>
      </c>
      <c r="I250" s="491" t="s">
        <v>72</v>
      </c>
      <c r="J250" s="375"/>
      <c r="K250" s="487">
        <v>12910</v>
      </c>
      <c r="L250" s="487">
        <f>L251+L252+L253</f>
        <v>0</v>
      </c>
      <c r="M250" s="487">
        <f>M251+M252+M253</f>
        <v>12910</v>
      </c>
    </row>
    <row r="251" spans="1:14" s="488" customFormat="1" ht="112.5">
      <c r="A251" s="483"/>
      <c r="B251" s="428" t="s">
        <v>73</v>
      </c>
      <c r="C251" s="484" t="s">
        <v>651</v>
      </c>
      <c r="D251" s="485" t="s">
        <v>61</v>
      </c>
      <c r="E251" s="485" t="s">
        <v>100</v>
      </c>
      <c r="F251" s="404" t="s">
        <v>265</v>
      </c>
      <c r="G251" s="373" t="s">
        <v>120</v>
      </c>
      <c r="H251" s="373" t="s">
        <v>61</v>
      </c>
      <c r="I251" s="374" t="s">
        <v>72</v>
      </c>
      <c r="J251" s="375" t="s">
        <v>74</v>
      </c>
      <c r="K251" s="487">
        <v>12340</v>
      </c>
      <c r="L251" s="209">
        <f t="shared" ref="L251:L253" si="50">M251-K251</f>
        <v>0</v>
      </c>
      <c r="M251" s="487">
        <f>12237.6+102.4</f>
        <v>12340</v>
      </c>
    </row>
    <row r="252" spans="1:14" s="488" customFormat="1" ht="56.25">
      <c r="A252" s="483"/>
      <c r="B252" s="423" t="s">
        <v>79</v>
      </c>
      <c r="C252" s="484" t="s">
        <v>651</v>
      </c>
      <c r="D252" s="485" t="s">
        <v>61</v>
      </c>
      <c r="E252" s="485" t="s">
        <v>100</v>
      </c>
      <c r="F252" s="404" t="s">
        <v>265</v>
      </c>
      <c r="G252" s="373" t="s">
        <v>120</v>
      </c>
      <c r="H252" s="373" t="s">
        <v>61</v>
      </c>
      <c r="I252" s="374" t="s">
        <v>72</v>
      </c>
      <c r="J252" s="375" t="s">
        <v>80</v>
      </c>
      <c r="K252" s="487">
        <v>568.79999999999995</v>
      </c>
      <c r="L252" s="209">
        <f t="shared" si="50"/>
        <v>0</v>
      </c>
      <c r="M252" s="487">
        <v>568.79999999999995</v>
      </c>
      <c r="N252" s="531"/>
    </row>
    <row r="253" spans="1:14" s="488" customFormat="1" ht="18.75">
      <c r="A253" s="483"/>
      <c r="B253" s="428" t="s">
        <v>81</v>
      </c>
      <c r="C253" s="484" t="s">
        <v>651</v>
      </c>
      <c r="D253" s="485" t="s">
        <v>61</v>
      </c>
      <c r="E253" s="485" t="s">
        <v>100</v>
      </c>
      <c r="F253" s="404" t="s">
        <v>265</v>
      </c>
      <c r="G253" s="373" t="s">
        <v>120</v>
      </c>
      <c r="H253" s="373" t="s">
        <v>61</v>
      </c>
      <c r="I253" s="374" t="s">
        <v>72</v>
      </c>
      <c r="J253" s="375" t="s">
        <v>82</v>
      </c>
      <c r="K253" s="487">
        <v>1.2</v>
      </c>
      <c r="L253" s="209">
        <f t="shared" si="50"/>
        <v>0</v>
      </c>
      <c r="M253" s="487">
        <v>1.2</v>
      </c>
    </row>
    <row r="254" spans="1:14" s="488" customFormat="1" ht="93.75">
      <c r="A254" s="483"/>
      <c r="B254" s="428" t="s">
        <v>121</v>
      </c>
      <c r="C254" s="484" t="s">
        <v>651</v>
      </c>
      <c r="D254" s="485" t="s">
        <v>61</v>
      </c>
      <c r="E254" s="485" t="s">
        <v>100</v>
      </c>
      <c r="F254" s="404" t="s">
        <v>265</v>
      </c>
      <c r="G254" s="373" t="s">
        <v>120</v>
      </c>
      <c r="H254" s="373" t="s">
        <v>61</v>
      </c>
      <c r="I254" s="374" t="s">
        <v>123</v>
      </c>
      <c r="J254" s="375"/>
      <c r="K254" s="487">
        <v>5146.6000000000004</v>
      </c>
      <c r="L254" s="487">
        <f>L255+L256+L257</f>
        <v>0</v>
      </c>
      <c r="M254" s="487">
        <f>M255+M256+M257</f>
        <v>5146.6000000000004</v>
      </c>
      <c r="N254" s="531"/>
    </row>
    <row r="255" spans="1:14" s="488" customFormat="1" ht="112.5">
      <c r="A255" s="483"/>
      <c r="B255" s="428" t="s">
        <v>73</v>
      </c>
      <c r="C255" s="484" t="s">
        <v>651</v>
      </c>
      <c r="D255" s="485" t="s">
        <v>61</v>
      </c>
      <c r="E255" s="485" t="s">
        <v>100</v>
      </c>
      <c r="F255" s="404" t="s">
        <v>265</v>
      </c>
      <c r="G255" s="373" t="s">
        <v>120</v>
      </c>
      <c r="H255" s="373" t="s">
        <v>61</v>
      </c>
      <c r="I255" s="374" t="s">
        <v>123</v>
      </c>
      <c r="J255" s="375" t="s">
        <v>74</v>
      </c>
      <c r="K255" s="487">
        <v>4790.7</v>
      </c>
      <c r="L255" s="209">
        <f t="shared" ref="L255:L257" si="51">M255-K255</f>
        <v>0</v>
      </c>
      <c r="M255" s="487">
        <v>4790.7</v>
      </c>
      <c r="N255" s="531"/>
    </row>
    <row r="256" spans="1:14" s="488" customFormat="1" ht="56.25">
      <c r="A256" s="483"/>
      <c r="B256" s="423" t="s">
        <v>79</v>
      </c>
      <c r="C256" s="484" t="s">
        <v>651</v>
      </c>
      <c r="D256" s="485" t="s">
        <v>61</v>
      </c>
      <c r="E256" s="485" t="s">
        <v>100</v>
      </c>
      <c r="F256" s="492" t="s">
        <v>265</v>
      </c>
      <c r="G256" s="490" t="s">
        <v>120</v>
      </c>
      <c r="H256" s="490" t="s">
        <v>61</v>
      </c>
      <c r="I256" s="491" t="s">
        <v>123</v>
      </c>
      <c r="J256" s="375" t="s">
        <v>80</v>
      </c>
      <c r="K256" s="487">
        <v>329.6</v>
      </c>
      <c r="L256" s="209">
        <f t="shared" si="51"/>
        <v>0</v>
      </c>
      <c r="M256" s="487">
        <f>263.7+65.9</f>
        <v>329.6</v>
      </c>
    </row>
    <row r="257" spans="1:14" s="488" customFormat="1" ht="18.75">
      <c r="A257" s="483"/>
      <c r="B257" s="428" t="s">
        <v>81</v>
      </c>
      <c r="C257" s="484" t="s">
        <v>651</v>
      </c>
      <c r="D257" s="485" t="s">
        <v>61</v>
      </c>
      <c r="E257" s="485" t="s">
        <v>100</v>
      </c>
      <c r="F257" s="404" t="s">
        <v>265</v>
      </c>
      <c r="G257" s="373" t="s">
        <v>120</v>
      </c>
      <c r="H257" s="373" t="s">
        <v>61</v>
      </c>
      <c r="I257" s="374" t="s">
        <v>123</v>
      </c>
      <c r="J257" s="375" t="s">
        <v>82</v>
      </c>
      <c r="K257" s="487">
        <v>26.3</v>
      </c>
      <c r="L257" s="209">
        <f t="shared" si="51"/>
        <v>0</v>
      </c>
      <c r="M257" s="487">
        <v>26.3</v>
      </c>
      <c r="N257" s="531"/>
    </row>
    <row r="258" spans="1:14" s="488" customFormat="1" ht="56.25">
      <c r="A258" s="483"/>
      <c r="B258" s="423" t="s">
        <v>455</v>
      </c>
      <c r="C258" s="484" t="s">
        <v>651</v>
      </c>
      <c r="D258" s="485" t="s">
        <v>61</v>
      </c>
      <c r="E258" s="485" t="s">
        <v>100</v>
      </c>
      <c r="F258" s="404" t="s">
        <v>265</v>
      </c>
      <c r="G258" s="373" t="s">
        <v>120</v>
      </c>
      <c r="H258" s="373" t="s">
        <v>61</v>
      </c>
      <c r="I258" s="374" t="s">
        <v>454</v>
      </c>
      <c r="J258" s="375"/>
      <c r="K258" s="487">
        <v>33.799999999999997</v>
      </c>
      <c r="L258" s="487">
        <f>L259</f>
        <v>0</v>
      </c>
      <c r="M258" s="487">
        <f>M259</f>
        <v>33.799999999999997</v>
      </c>
      <c r="N258" s="531"/>
    </row>
    <row r="259" spans="1:14" s="488" customFormat="1" ht="56.25">
      <c r="A259" s="483"/>
      <c r="B259" s="423" t="s">
        <v>79</v>
      </c>
      <c r="C259" s="484" t="s">
        <v>651</v>
      </c>
      <c r="D259" s="485" t="s">
        <v>61</v>
      </c>
      <c r="E259" s="485" t="s">
        <v>100</v>
      </c>
      <c r="F259" s="404" t="s">
        <v>265</v>
      </c>
      <c r="G259" s="373" t="s">
        <v>120</v>
      </c>
      <c r="H259" s="373" t="s">
        <v>61</v>
      </c>
      <c r="I259" s="532" t="s">
        <v>454</v>
      </c>
      <c r="J259" s="375" t="s">
        <v>80</v>
      </c>
      <c r="K259" s="487">
        <v>33.799999999999997</v>
      </c>
      <c r="L259" s="209">
        <f>M259-K259</f>
        <v>0</v>
      </c>
      <c r="M259" s="487">
        <v>33.799999999999997</v>
      </c>
      <c r="N259" s="531"/>
    </row>
    <row r="260" spans="1:14" s="539" customFormat="1" ht="37.5">
      <c r="A260" s="533"/>
      <c r="B260" s="534" t="s">
        <v>452</v>
      </c>
      <c r="C260" s="535" t="s">
        <v>651</v>
      </c>
      <c r="D260" s="536" t="s">
        <v>61</v>
      </c>
      <c r="E260" s="536" t="s">
        <v>100</v>
      </c>
      <c r="F260" s="404" t="s">
        <v>265</v>
      </c>
      <c r="G260" s="405" t="s">
        <v>120</v>
      </c>
      <c r="H260" s="405" t="s">
        <v>63</v>
      </c>
      <c r="I260" s="406" t="s">
        <v>68</v>
      </c>
      <c r="J260" s="407"/>
      <c r="K260" s="537">
        <v>238</v>
      </c>
      <c r="L260" s="537">
        <f t="shared" ref="L260:M261" si="52">L261</f>
        <v>0</v>
      </c>
      <c r="M260" s="537">
        <f t="shared" si="52"/>
        <v>238</v>
      </c>
      <c r="N260" s="538"/>
    </row>
    <row r="261" spans="1:14" s="539" customFormat="1" ht="60.75" customHeight="1">
      <c r="A261" s="540"/>
      <c r="B261" s="541" t="s">
        <v>453</v>
      </c>
      <c r="C261" s="484" t="s">
        <v>651</v>
      </c>
      <c r="D261" s="485" t="s">
        <v>61</v>
      </c>
      <c r="E261" s="485" t="s">
        <v>100</v>
      </c>
      <c r="F261" s="494" t="s">
        <v>265</v>
      </c>
      <c r="G261" s="405" t="s">
        <v>120</v>
      </c>
      <c r="H261" s="405" t="s">
        <v>63</v>
      </c>
      <c r="I261" s="406" t="s">
        <v>137</v>
      </c>
      <c r="J261" s="409"/>
      <c r="K261" s="542">
        <v>238</v>
      </c>
      <c r="L261" s="542">
        <f t="shared" si="52"/>
        <v>0</v>
      </c>
      <c r="M261" s="542">
        <f t="shared" si="52"/>
        <v>238</v>
      </c>
      <c r="N261" s="538"/>
    </row>
    <row r="262" spans="1:14" s="539" customFormat="1" ht="56.25">
      <c r="A262" s="540"/>
      <c r="B262" s="543" t="s">
        <v>79</v>
      </c>
      <c r="C262" s="484" t="s">
        <v>651</v>
      </c>
      <c r="D262" s="485" t="s">
        <v>61</v>
      </c>
      <c r="E262" s="485" t="s">
        <v>100</v>
      </c>
      <c r="F262" s="494" t="s">
        <v>265</v>
      </c>
      <c r="G262" s="413" t="s">
        <v>120</v>
      </c>
      <c r="H262" s="413" t="s">
        <v>63</v>
      </c>
      <c r="I262" s="544" t="s">
        <v>137</v>
      </c>
      <c r="J262" s="545" t="s">
        <v>80</v>
      </c>
      <c r="K262" s="546">
        <v>238</v>
      </c>
      <c r="L262" s="209">
        <f>M262-K262</f>
        <v>0</v>
      </c>
      <c r="M262" s="546">
        <v>238</v>
      </c>
      <c r="N262" s="538"/>
    </row>
    <row r="263" spans="1:14" s="539" customFormat="1" ht="37.5">
      <c r="A263" s="540"/>
      <c r="B263" s="547" t="s">
        <v>493</v>
      </c>
      <c r="C263" s="484" t="s">
        <v>651</v>
      </c>
      <c r="D263" s="485" t="s">
        <v>61</v>
      </c>
      <c r="E263" s="485" t="s">
        <v>100</v>
      </c>
      <c r="F263" s="494" t="s">
        <v>265</v>
      </c>
      <c r="G263" s="405" t="s">
        <v>120</v>
      </c>
      <c r="H263" s="405" t="s">
        <v>89</v>
      </c>
      <c r="I263" s="406" t="s">
        <v>68</v>
      </c>
      <c r="J263" s="409"/>
      <c r="K263" s="542">
        <v>211</v>
      </c>
      <c r="L263" s="542">
        <f t="shared" ref="L263:M264" si="53">L264</f>
        <v>41.300000000000011</v>
      </c>
      <c r="M263" s="542">
        <f t="shared" si="53"/>
        <v>252.3</v>
      </c>
      <c r="N263" s="538"/>
    </row>
    <row r="264" spans="1:14" s="539" customFormat="1" ht="37.5">
      <c r="A264" s="540"/>
      <c r="B264" s="547" t="s">
        <v>426</v>
      </c>
      <c r="C264" s="484" t="s">
        <v>651</v>
      </c>
      <c r="D264" s="485" t="s">
        <v>61</v>
      </c>
      <c r="E264" s="485" t="s">
        <v>100</v>
      </c>
      <c r="F264" s="412" t="s">
        <v>265</v>
      </c>
      <c r="G264" s="413" t="s">
        <v>120</v>
      </c>
      <c r="H264" s="413" t="s">
        <v>89</v>
      </c>
      <c r="I264" s="544" t="s">
        <v>425</v>
      </c>
      <c r="J264" s="409"/>
      <c r="K264" s="542">
        <v>211</v>
      </c>
      <c r="L264" s="542">
        <f t="shared" si="53"/>
        <v>41.300000000000011</v>
      </c>
      <c r="M264" s="542">
        <f t="shared" si="53"/>
        <v>252.3</v>
      </c>
      <c r="N264" s="538"/>
    </row>
    <row r="265" spans="1:14" s="539" customFormat="1" ht="18.75">
      <c r="A265" s="548"/>
      <c r="B265" s="428" t="s">
        <v>81</v>
      </c>
      <c r="C265" s="549" t="s">
        <v>651</v>
      </c>
      <c r="D265" s="485" t="s">
        <v>61</v>
      </c>
      <c r="E265" s="485" t="s">
        <v>100</v>
      </c>
      <c r="F265" s="404" t="s">
        <v>265</v>
      </c>
      <c r="G265" s="405" t="s">
        <v>120</v>
      </c>
      <c r="H265" s="405" t="s">
        <v>89</v>
      </c>
      <c r="I265" s="406" t="s">
        <v>425</v>
      </c>
      <c r="J265" s="409" t="s">
        <v>82</v>
      </c>
      <c r="K265" s="542">
        <v>211</v>
      </c>
      <c r="L265" s="209">
        <f>M265-K265</f>
        <v>41.300000000000011</v>
      </c>
      <c r="M265" s="542">
        <f>32.8+178.2+41.3</f>
        <v>252.3</v>
      </c>
      <c r="N265" s="538"/>
    </row>
    <row r="266" spans="1:14" s="539" customFormat="1" ht="37.5">
      <c r="A266" s="548"/>
      <c r="B266" s="493" t="s">
        <v>428</v>
      </c>
      <c r="C266" s="549" t="s">
        <v>651</v>
      </c>
      <c r="D266" s="485" t="s">
        <v>61</v>
      </c>
      <c r="E266" s="485" t="s">
        <v>100</v>
      </c>
      <c r="F266" s="404" t="s">
        <v>265</v>
      </c>
      <c r="G266" s="405" t="s">
        <v>54</v>
      </c>
      <c r="H266" s="405" t="s">
        <v>67</v>
      </c>
      <c r="I266" s="406" t="s">
        <v>68</v>
      </c>
      <c r="J266" s="409"/>
      <c r="K266" s="542">
        <v>1178.4000000000001</v>
      </c>
      <c r="L266" s="542">
        <f t="shared" ref="L266:M267" si="54">L267</f>
        <v>596.1</v>
      </c>
      <c r="M266" s="542">
        <f t="shared" si="54"/>
        <v>1774.5</v>
      </c>
      <c r="N266" s="538"/>
    </row>
    <row r="267" spans="1:14" s="539" customFormat="1" ht="37.5">
      <c r="A267" s="548"/>
      <c r="B267" s="493" t="s">
        <v>493</v>
      </c>
      <c r="C267" s="549" t="s">
        <v>651</v>
      </c>
      <c r="D267" s="485" t="s">
        <v>61</v>
      </c>
      <c r="E267" s="485" t="s">
        <v>100</v>
      </c>
      <c r="F267" s="404" t="s">
        <v>265</v>
      </c>
      <c r="G267" s="405" t="s">
        <v>54</v>
      </c>
      <c r="H267" s="405" t="s">
        <v>265</v>
      </c>
      <c r="I267" s="406" t="s">
        <v>68</v>
      </c>
      <c r="J267" s="409"/>
      <c r="K267" s="542">
        <v>1178.4000000000001</v>
      </c>
      <c r="L267" s="542">
        <f t="shared" si="54"/>
        <v>596.1</v>
      </c>
      <c r="M267" s="542">
        <f t="shared" si="54"/>
        <v>1774.5</v>
      </c>
      <c r="N267" s="538"/>
    </row>
    <row r="268" spans="1:14" s="539" customFormat="1" ht="36.6" customHeight="1">
      <c r="A268" s="548"/>
      <c r="B268" s="547" t="s">
        <v>426</v>
      </c>
      <c r="C268" s="549" t="s">
        <v>651</v>
      </c>
      <c r="D268" s="485" t="s">
        <v>61</v>
      </c>
      <c r="E268" s="485" t="s">
        <v>100</v>
      </c>
      <c r="F268" s="404" t="s">
        <v>265</v>
      </c>
      <c r="G268" s="405" t="s">
        <v>54</v>
      </c>
      <c r="H268" s="405" t="s">
        <v>265</v>
      </c>
      <c r="I268" s="406" t="s">
        <v>425</v>
      </c>
      <c r="J268" s="409"/>
      <c r="K268" s="542">
        <f>K269+K270</f>
        <v>1178.4000000000001</v>
      </c>
      <c r="L268" s="542">
        <f t="shared" ref="L268:M268" si="55">L269+L270</f>
        <v>596.1</v>
      </c>
      <c r="M268" s="542">
        <f t="shared" si="55"/>
        <v>1774.5</v>
      </c>
      <c r="N268" s="538"/>
    </row>
    <row r="269" spans="1:14" s="539" customFormat="1" ht="50.45" customHeight="1">
      <c r="A269" s="548"/>
      <c r="B269" s="423" t="s">
        <v>79</v>
      </c>
      <c r="C269" s="549" t="s">
        <v>651</v>
      </c>
      <c r="D269" s="485" t="s">
        <v>61</v>
      </c>
      <c r="E269" s="485" t="s">
        <v>100</v>
      </c>
      <c r="F269" s="404" t="s">
        <v>265</v>
      </c>
      <c r="G269" s="405" t="s">
        <v>54</v>
      </c>
      <c r="H269" s="405" t="s">
        <v>265</v>
      </c>
      <c r="I269" s="406" t="s">
        <v>425</v>
      </c>
      <c r="J269" s="409" t="s">
        <v>80</v>
      </c>
      <c r="K269" s="542">
        <v>0</v>
      </c>
      <c r="L269" s="697">
        <f>M269-K269</f>
        <v>596.1</v>
      </c>
      <c r="M269" s="542">
        <f>148.1+300+148</f>
        <v>596.1</v>
      </c>
      <c r="N269" s="538"/>
    </row>
    <row r="270" spans="1:14" s="539" customFormat="1" ht="56.25">
      <c r="A270" s="548"/>
      <c r="B270" s="428" t="s">
        <v>242</v>
      </c>
      <c r="C270" s="549" t="s">
        <v>651</v>
      </c>
      <c r="D270" s="485" t="s">
        <v>61</v>
      </c>
      <c r="E270" s="485" t="s">
        <v>100</v>
      </c>
      <c r="F270" s="404" t="s">
        <v>265</v>
      </c>
      <c r="G270" s="405" t="s">
        <v>54</v>
      </c>
      <c r="H270" s="405" t="s">
        <v>265</v>
      </c>
      <c r="I270" s="406" t="s">
        <v>425</v>
      </c>
      <c r="J270" s="409" t="s">
        <v>243</v>
      </c>
      <c r="K270" s="542">
        <v>1178.4000000000001</v>
      </c>
      <c r="L270" s="209">
        <f>M270-K270</f>
        <v>0</v>
      </c>
      <c r="M270" s="542">
        <v>1178.4000000000001</v>
      </c>
      <c r="N270" s="538"/>
    </row>
    <row r="271" spans="1:14" s="488" customFormat="1" ht="61.5" customHeight="1">
      <c r="A271" s="483"/>
      <c r="B271" s="493" t="s">
        <v>64</v>
      </c>
      <c r="C271" s="484" t="s">
        <v>651</v>
      </c>
      <c r="D271" s="485" t="s">
        <v>61</v>
      </c>
      <c r="E271" s="485" t="s">
        <v>100</v>
      </c>
      <c r="F271" s="494" t="s">
        <v>65</v>
      </c>
      <c r="G271" s="373" t="s">
        <v>66</v>
      </c>
      <c r="H271" s="373" t="s">
        <v>67</v>
      </c>
      <c r="I271" s="374" t="s">
        <v>68</v>
      </c>
      <c r="J271" s="375"/>
      <c r="K271" s="487">
        <v>4980.2</v>
      </c>
      <c r="L271" s="487">
        <f t="shared" ref="L271:M273" si="56">L272</f>
        <v>-2.273181642920008E-14</v>
      </c>
      <c r="M271" s="487">
        <f t="shared" si="56"/>
        <v>4980.2000000000007</v>
      </c>
      <c r="N271" s="531"/>
    </row>
    <row r="272" spans="1:14" s="488" customFormat="1" ht="37.5">
      <c r="A272" s="483"/>
      <c r="B272" s="423" t="s">
        <v>428</v>
      </c>
      <c r="C272" s="484" t="s">
        <v>651</v>
      </c>
      <c r="D272" s="485" t="s">
        <v>61</v>
      </c>
      <c r="E272" s="485" t="s">
        <v>100</v>
      </c>
      <c r="F272" s="404" t="s">
        <v>65</v>
      </c>
      <c r="G272" s="373" t="s">
        <v>69</v>
      </c>
      <c r="H272" s="373" t="s">
        <v>67</v>
      </c>
      <c r="I272" s="374" t="s">
        <v>68</v>
      </c>
      <c r="J272" s="375"/>
      <c r="K272" s="487">
        <v>4980.2</v>
      </c>
      <c r="L272" s="487">
        <f t="shared" si="56"/>
        <v>-2.273181642920008E-14</v>
      </c>
      <c r="M272" s="487">
        <f t="shared" si="56"/>
        <v>4980.2000000000007</v>
      </c>
      <c r="N272" s="531"/>
    </row>
    <row r="273" spans="1:14" s="488" customFormat="1" ht="75">
      <c r="A273" s="483"/>
      <c r="B273" s="428" t="s">
        <v>373</v>
      </c>
      <c r="C273" s="484" t="s">
        <v>651</v>
      </c>
      <c r="D273" s="485" t="s">
        <v>61</v>
      </c>
      <c r="E273" s="485" t="s">
        <v>100</v>
      </c>
      <c r="F273" s="404" t="s">
        <v>65</v>
      </c>
      <c r="G273" s="373" t="s">
        <v>69</v>
      </c>
      <c r="H273" s="373" t="s">
        <v>111</v>
      </c>
      <c r="I273" s="374" t="s">
        <v>68</v>
      </c>
      <c r="J273" s="375"/>
      <c r="K273" s="487">
        <v>4980.2</v>
      </c>
      <c r="L273" s="487">
        <f t="shared" si="56"/>
        <v>-2.273181642920008E-14</v>
      </c>
      <c r="M273" s="487">
        <f t="shared" si="56"/>
        <v>4980.2000000000007</v>
      </c>
      <c r="N273" s="531"/>
    </row>
    <row r="274" spans="1:14" s="488" customFormat="1" ht="93.75">
      <c r="A274" s="483"/>
      <c r="B274" s="428" t="s">
        <v>121</v>
      </c>
      <c r="C274" s="484" t="s">
        <v>651</v>
      </c>
      <c r="D274" s="485" t="s">
        <v>61</v>
      </c>
      <c r="E274" s="485" t="s">
        <v>100</v>
      </c>
      <c r="F274" s="404" t="s">
        <v>65</v>
      </c>
      <c r="G274" s="373" t="s">
        <v>69</v>
      </c>
      <c r="H274" s="373" t="s">
        <v>111</v>
      </c>
      <c r="I274" s="374" t="s">
        <v>123</v>
      </c>
      <c r="J274" s="375"/>
      <c r="K274" s="487">
        <v>4980.2</v>
      </c>
      <c r="L274" s="487">
        <f>L275+L276+L277</f>
        <v>-2.273181642920008E-14</v>
      </c>
      <c r="M274" s="487">
        <f>M275+M276+M277</f>
        <v>4980.2000000000007</v>
      </c>
      <c r="N274" s="531"/>
    </row>
    <row r="275" spans="1:14" s="488" customFormat="1" ht="112.5">
      <c r="A275" s="483"/>
      <c r="B275" s="428" t="s">
        <v>73</v>
      </c>
      <c r="C275" s="484" t="s">
        <v>651</v>
      </c>
      <c r="D275" s="485" t="s">
        <v>61</v>
      </c>
      <c r="E275" s="485" t="s">
        <v>100</v>
      </c>
      <c r="F275" s="404" t="s">
        <v>65</v>
      </c>
      <c r="G275" s="373" t="s">
        <v>69</v>
      </c>
      <c r="H275" s="373" t="s">
        <v>111</v>
      </c>
      <c r="I275" s="374" t="s">
        <v>123</v>
      </c>
      <c r="J275" s="375" t="s">
        <v>74</v>
      </c>
      <c r="K275" s="487">
        <v>4547.5</v>
      </c>
      <c r="L275" s="209">
        <f t="shared" ref="L275:L277" si="57">M275-K275</f>
        <v>0</v>
      </c>
      <c r="M275" s="487">
        <v>4547.5</v>
      </c>
      <c r="N275" s="531"/>
    </row>
    <row r="276" spans="1:14" s="488" customFormat="1" ht="56.25">
      <c r="A276" s="483"/>
      <c r="B276" s="423" t="s">
        <v>79</v>
      </c>
      <c r="C276" s="484" t="s">
        <v>651</v>
      </c>
      <c r="D276" s="485" t="s">
        <v>61</v>
      </c>
      <c r="E276" s="485" t="s">
        <v>100</v>
      </c>
      <c r="F276" s="404" t="s">
        <v>65</v>
      </c>
      <c r="G276" s="373" t="s">
        <v>69</v>
      </c>
      <c r="H276" s="373" t="s">
        <v>111</v>
      </c>
      <c r="I276" s="374" t="s">
        <v>123</v>
      </c>
      <c r="J276" s="375" t="s">
        <v>80</v>
      </c>
      <c r="K276" s="487">
        <v>432.7</v>
      </c>
      <c r="L276" s="209">
        <f t="shared" si="57"/>
        <v>-0.10000000000002274</v>
      </c>
      <c r="M276" s="487">
        <f>432.7-0.1</f>
        <v>432.59999999999997</v>
      </c>
      <c r="N276" s="531"/>
    </row>
    <row r="277" spans="1:14" s="488" customFormat="1" ht="18.75">
      <c r="A277" s="483"/>
      <c r="B277" s="428" t="s">
        <v>81</v>
      </c>
      <c r="C277" s="484" t="s">
        <v>651</v>
      </c>
      <c r="D277" s="485" t="s">
        <v>61</v>
      </c>
      <c r="E277" s="485" t="s">
        <v>100</v>
      </c>
      <c r="F277" s="404" t="s">
        <v>65</v>
      </c>
      <c r="G277" s="373" t="s">
        <v>69</v>
      </c>
      <c r="H277" s="373" t="s">
        <v>111</v>
      </c>
      <c r="I277" s="374" t="s">
        <v>123</v>
      </c>
      <c r="J277" s="375" t="s">
        <v>82</v>
      </c>
      <c r="K277" s="487">
        <v>0</v>
      </c>
      <c r="L277" s="209">
        <f t="shared" si="57"/>
        <v>0.1</v>
      </c>
      <c r="M277" s="487">
        <f>0.1</f>
        <v>0.1</v>
      </c>
      <c r="N277" s="531"/>
    </row>
    <row r="278" spans="1:14" s="488" customFormat="1" ht="18.75">
      <c r="A278" s="483"/>
      <c r="B278" s="423" t="s">
        <v>124</v>
      </c>
      <c r="C278" s="484" t="s">
        <v>651</v>
      </c>
      <c r="D278" s="485" t="s">
        <v>76</v>
      </c>
      <c r="E278" s="485"/>
      <c r="F278" s="404"/>
      <c r="G278" s="373"/>
      <c r="H278" s="373"/>
      <c r="I278" s="374"/>
      <c r="J278" s="375"/>
      <c r="K278" s="487">
        <v>509.8</v>
      </c>
      <c r="L278" s="487">
        <f t="shared" ref="L278:M283" si="58">L279</f>
        <v>0</v>
      </c>
      <c r="M278" s="487">
        <f t="shared" si="58"/>
        <v>509.8</v>
      </c>
      <c r="N278" s="531"/>
    </row>
    <row r="279" spans="1:14" s="488" customFormat="1" ht="37.5">
      <c r="A279" s="483"/>
      <c r="B279" s="550" t="s">
        <v>138</v>
      </c>
      <c r="C279" s="484" t="s">
        <v>651</v>
      </c>
      <c r="D279" s="485" t="s">
        <v>76</v>
      </c>
      <c r="E279" s="485" t="s">
        <v>132</v>
      </c>
      <c r="F279" s="404"/>
      <c r="G279" s="373"/>
      <c r="H279" s="373"/>
      <c r="I279" s="374"/>
      <c r="J279" s="375"/>
      <c r="K279" s="487">
        <v>509.8</v>
      </c>
      <c r="L279" s="487">
        <f t="shared" si="58"/>
        <v>0</v>
      </c>
      <c r="M279" s="487">
        <f t="shared" si="58"/>
        <v>509.8</v>
      </c>
      <c r="N279" s="531"/>
    </row>
    <row r="280" spans="1:14" s="488" customFormat="1" ht="56.25" customHeight="1">
      <c r="A280" s="483"/>
      <c r="B280" s="428" t="s">
        <v>264</v>
      </c>
      <c r="C280" s="484" t="s">
        <v>651</v>
      </c>
      <c r="D280" s="485" t="s">
        <v>76</v>
      </c>
      <c r="E280" s="485" t="s">
        <v>132</v>
      </c>
      <c r="F280" s="404" t="s">
        <v>265</v>
      </c>
      <c r="G280" s="373" t="s">
        <v>66</v>
      </c>
      <c r="H280" s="373" t="s">
        <v>67</v>
      </c>
      <c r="I280" s="374" t="s">
        <v>68</v>
      </c>
      <c r="J280" s="375"/>
      <c r="K280" s="487">
        <v>509.8</v>
      </c>
      <c r="L280" s="487">
        <f t="shared" si="58"/>
        <v>0</v>
      </c>
      <c r="M280" s="487">
        <f t="shared" si="58"/>
        <v>509.8</v>
      </c>
      <c r="N280" s="531"/>
    </row>
    <row r="281" spans="1:14" s="488" customFormat="1" ht="41.25" customHeight="1">
      <c r="A281" s="483"/>
      <c r="B281" s="428" t="s">
        <v>266</v>
      </c>
      <c r="C281" s="484" t="s">
        <v>651</v>
      </c>
      <c r="D281" s="485" t="s">
        <v>76</v>
      </c>
      <c r="E281" s="485" t="s">
        <v>132</v>
      </c>
      <c r="F281" s="404" t="s">
        <v>265</v>
      </c>
      <c r="G281" s="373" t="s">
        <v>69</v>
      </c>
      <c r="H281" s="373" t="s">
        <v>67</v>
      </c>
      <c r="I281" s="374" t="s">
        <v>68</v>
      </c>
      <c r="J281" s="375"/>
      <c r="K281" s="487">
        <v>509.8</v>
      </c>
      <c r="L281" s="487">
        <f t="shared" si="58"/>
        <v>0</v>
      </c>
      <c r="M281" s="487">
        <f t="shared" si="58"/>
        <v>509.8</v>
      </c>
      <c r="N281" s="531"/>
    </row>
    <row r="282" spans="1:14" s="488" customFormat="1" ht="96.75" customHeight="1">
      <c r="A282" s="483"/>
      <c r="B282" s="428" t="s">
        <v>371</v>
      </c>
      <c r="C282" s="484" t="s">
        <v>651</v>
      </c>
      <c r="D282" s="485" t="s">
        <v>76</v>
      </c>
      <c r="E282" s="485" t="s">
        <v>132</v>
      </c>
      <c r="F282" s="404" t="s">
        <v>265</v>
      </c>
      <c r="G282" s="373" t="s">
        <v>69</v>
      </c>
      <c r="H282" s="373" t="s">
        <v>61</v>
      </c>
      <c r="I282" s="374" t="s">
        <v>68</v>
      </c>
      <c r="J282" s="375"/>
      <c r="K282" s="487">
        <v>509.8</v>
      </c>
      <c r="L282" s="487">
        <f t="shared" si="58"/>
        <v>0</v>
      </c>
      <c r="M282" s="487">
        <f t="shared" si="58"/>
        <v>509.8</v>
      </c>
      <c r="N282" s="531"/>
    </row>
    <row r="283" spans="1:14" s="488" customFormat="1" ht="37.5">
      <c r="A283" s="483"/>
      <c r="B283" s="428" t="s">
        <v>487</v>
      </c>
      <c r="C283" s="484" t="s">
        <v>651</v>
      </c>
      <c r="D283" s="485" t="s">
        <v>76</v>
      </c>
      <c r="E283" s="485" t="s">
        <v>132</v>
      </c>
      <c r="F283" s="404" t="s">
        <v>265</v>
      </c>
      <c r="G283" s="373" t="s">
        <v>69</v>
      </c>
      <c r="H283" s="373" t="s">
        <v>61</v>
      </c>
      <c r="I283" s="374" t="s">
        <v>486</v>
      </c>
      <c r="J283" s="375"/>
      <c r="K283" s="487">
        <v>509.8</v>
      </c>
      <c r="L283" s="487">
        <f t="shared" si="58"/>
        <v>0</v>
      </c>
      <c r="M283" s="487">
        <f t="shared" si="58"/>
        <v>509.8</v>
      </c>
      <c r="N283" s="531"/>
    </row>
    <row r="284" spans="1:14" s="488" customFormat="1" ht="56.25">
      <c r="A284" s="483"/>
      <c r="B284" s="423" t="s">
        <v>79</v>
      </c>
      <c r="C284" s="484" t="s">
        <v>651</v>
      </c>
      <c r="D284" s="485" t="s">
        <v>76</v>
      </c>
      <c r="E284" s="485" t="s">
        <v>132</v>
      </c>
      <c r="F284" s="404" t="s">
        <v>265</v>
      </c>
      <c r="G284" s="373" t="s">
        <v>69</v>
      </c>
      <c r="H284" s="373" t="s">
        <v>61</v>
      </c>
      <c r="I284" s="374" t="s">
        <v>486</v>
      </c>
      <c r="J284" s="375" t="s">
        <v>80</v>
      </c>
      <c r="K284" s="487">
        <v>509.8</v>
      </c>
      <c r="L284" s="209">
        <f>M284-K284</f>
        <v>0</v>
      </c>
      <c r="M284" s="487">
        <v>509.8</v>
      </c>
      <c r="N284" s="531"/>
    </row>
    <row r="285" spans="1:14" s="488" customFormat="1" ht="18.75">
      <c r="A285" s="483"/>
      <c r="B285" s="428" t="s">
        <v>216</v>
      </c>
      <c r="C285" s="484" t="s">
        <v>651</v>
      </c>
      <c r="D285" s="485" t="s">
        <v>91</v>
      </c>
      <c r="E285" s="485"/>
      <c r="F285" s="372"/>
      <c r="G285" s="373"/>
      <c r="H285" s="373"/>
      <c r="I285" s="429"/>
      <c r="J285" s="375"/>
      <c r="K285" s="487">
        <v>23837.1</v>
      </c>
      <c r="L285" s="487">
        <f t="shared" ref="L285:M288" si="59">L286</f>
        <v>0</v>
      </c>
      <c r="M285" s="487">
        <f t="shared" si="59"/>
        <v>23837.1</v>
      </c>
      <c r="N285" s="531"/>
    </row>
    <row r="286" spans="1:14" s="488" customFormat="1" ht="18.75">
      <c r="A286" s="483"/>
      <c r="B286" s="428" t="s">
        <v>422</v>
      </c>
      <c r="C286" s="484" t="s">
        <v>651</v>
      </c>
      <c r="D286" s="485" t="s">
        <v>91</v>
      </c>
      <c r="E286" s="485" t="s">
        <v>63</v>
      </c>
      <c r="F286" s="372"/>
      <c r="G286" s="373"/>
      <c r="H286" s="373"/>
      <c r="I286" s="429"/>
      <c r="J286" s="375"/>
      <c r="K286" s="487">
        <v>23837.1</v>
      </c>
      <c r="L286" s="487">
        <f t="shared" si="59"/>
        <v>0</v>
      </c>
      <c r="M286" s="487">
        <f t="shared" si="59"/>
        <v>23837.1</v>
      </c>
      <c r="N286" s="531"/>
    </row>
    <row r="287" spans="1:14" s="488" customFormat="1" ht="78.75" customHeight="1">
      <c r="A287" s="483"/>
      <c r="B287" s="495" t="s">
        <v>421</v>
      </c>
      <c r="C287" s="484" t="s">
        <v>651</v>
      </c>
      <c r="D287" s="485" t="s">
        <v>91</v>
      </c>
      <c r="E287" s="485" t="s">
        <v>63</v>
      </c>
      <c r="F287" s="372" t="s">
        <v>136</v>
      </c>
      <c r="G287" s="373" t="s">
        <v>66</v>
      </c>
      <c r="H287" s="373" t="s">
        <v>67</v>
      </c>
      <c r="I287" s="429" t="s">
        <v>68</v>
      </c>
      <c r="J287" s="375"/>
      <c r="K287" s="487">
        <v>23837.1</v>
      </c>
      <c r="L287" s="487">
        <f t="shared" si="59"/>
        <v>0</v>
      </c>
      <c r="M287" s="487">
        <f t="shared" si="59"/>
        <v>23837.1</v>
      </c>
      <c r="N287" s="531"/>
    </row>
    <row r="288" spans="1:14" s="488" customFormat="1" ht="56.25">
      <c r="A288" s="483"/>
      <c r="B288" s="423" t="s">
        <v>423</v>
      </c>
      <c r="C288" s="484" t="s">
        <v>651</v>
      </c>
      <c r="D288" s="485" t="s">
        <v>91</v>
      </c>
      <c r="E288" s="485" t="s">
        <v>63</v>
      </c>
      <c r="F288" s="372" t="s">
        <v>136</v>
      </c>
      <c r="G288" s="373" t="s">
        <v>69</v>
      </c>
      <c r="H288" s="373" t="s">
        <v>67</v>
      </c>
      <c r="I288" s="429" t="s">
        <v>68</v>
      </c>
      <c r="J288" s="375"/>
      <c r="K288" s="487">
        <v>23837.1</v>
      </c>
      <c r="L288" s="487">
        <f t="shared" si="59"/>
        <v>0</v>
      </c>
      <c r="M288" s="487">
        <f t="shared" si="59"/>
        <v>23837.1</v>
      </c>
      <c r="N288" s="531"/>
    </row>
    <row r="289" spans="1:14" s="488" customFormat="1" ht="56.25">
      <c r="A289" s="483"/>
      <c r="B289" s="423" t="s">
        <v>488</v>
      </c>
      <c r="C289" s="484" t="s">
        <v>651</v>
      </c>
      <c r="D289" s="485" t="s">
        <v>91</v>
      </c>
      <c r="E289" s="485" t="s">
        <v>63</v>
      </c>
      <c r="F289" s="372" t="s">
        <v>136</v>
      </c>
      <c r="G289" s="373" t="s">
        <v>69</v>
      </c>
      <c r="H289" s="373" t="s">
        <v>61</v>
      </c>
      <c r="I289" s="429" t="s">
        <v>68</v>
      </c>
      <c r="J289" s="375"/>
      <c r="K289" s="487">
        <v>23837.1</v>
      </c>
      <c r="L289" s="487">
        <f>+L290</f>
        <v>0</v>
      </c>
      <c r="M289" s="487">
        <f>+M290</f>
        <v>23837.1</v>
      </c>
      <c r="N289" s="531"/>
    </row>
    <row r="290" spans="1:14" s="488" customFormat="1" ht="37.5">
      <c r="A290" s="483"/>
      <c r="B290" s="423" t="s">
        <v>652</v>
      </c>
      <c r="C290" s="484" t="s">
        <v>651</v>
      </c>
      <c r="D290" s="485" t="s">
        <v>91</v>
      </c>
      <c r="E290" s="485" t="s">
        <v>63</v>
      </c>
      <c r="F290" s="372" t="s">
        <v>136</v>
      </c>
      <c r="G290" s="373" t="s">
        <v>69</v>
      </c>
      <c r="H290" s="373" t="s">
        <v>61</v>
      </c>
      <c r="I290" s="429" t="s">
        <v>653</v>
      </c>
      <c r="J290" s="375"/>
      <c r="K290" s="487">
        <v>23837.1</v>
      </c>
      <c r="L290" s="487">
        <f>L291</f>
        <v>0</v>
      </c>
      <c r="M290" s="487">
        <f>M291</f>
        <v>23837.1</v>
      </c>
      <c r="N290" s="531"/>
    </row>
    <row r="291" spans="1:14" s="488" customFormat="1" ht="56.25">
      <c r="A291" s="483"/>
      <c r="B291" s="423" t="s">
        <v>242</v>
      </c>
      <c r="C291" s="484" t="s">
        <v>651</v>
      </c>
      <c r="D291" s="485" t="s">
        <v>91</v>
      </c>
      <c r="E291" s="485" t="s">
        <v>63</v>
      </c>
      <c r="F291" s="372" t="s">
        <v>136</v>
      </c>
      <c r="G291" s="373" t="s">
        <v>69</v>
      </c>
      <c r="H291" s="373" t="s">
        <v>61</v>
      </c>
      <c r="I291" s="429" t="s">
        <v>653</v>
      </c>
      <c r="J291" s="375" t="s">
        <v>243</v>
      </c>
      <c r="K291" s="487">
        <v>23837.1</v>
      </c>
      <c r="L291" s="209">
        <f>M291-K291</f>
        <v>0</v>
      </c>
      <c r="M291" s="487">
        <v>23837.1</v>
      </c>
      <c r="N291" s="531"/>
    </row>
    <row r="292" spans="1:14" s="488" customFormat="1" ht="18.75">
      <c r="A292" s="483"/>
      <c r="B292" s="371" t="s">
        <v>218</v>
      </c>
      <c r="C292" s="484" t="s">
        <v>651</v>
      </c>
      <c r="D292" s="485" t="s">
        <v>263</v>
      </c>
      <c r="E292" s="485"/>
      <c r="F292" s="372"/>
      <c r="G292" s="373"/>
      <c r="H292" s="373"/>
      <c r="I292" s="429"/>
      <c r="J292" s="375"/>
      <c r="K292" s="487">
        <v>129776.6</v>
      </c>
      <c r="L292" s="487">
        <f>L301+L293</f>
        <v>-122676.6</v>
      </c>
      <c r="M292" s="487">
        <f>M301+M293</f>
        <v>7100</v>
      </c>
      <c r="N292" s="531"/>
    </row>
    <row r="293" spans="1:14" s="488" customFormat="1" ht="18.75">
      <c r="A293" s="483"/>
      <c r="B293" s="371" t="s">
        <v>220</v>
      </c>
      <c r="C293" s="484" t="s">
        <v>651</v>
      </c>
      <c r="D293" s="485" t="s">
        <v>263</v>
      </c>
      <c r="E293" s="485" t="s">
        <v>61</v>
      </c>
      <c r="F293" s="372"/>
      <c r="G293" s="373"/>
      <c r="H293" s="373"/>
      <c r="I293" s="374"/>
      <c r="J293" s="375"/>
      <c r="K293" s="487">
        <v>128276.6</v>
      </c>
      <c r="L293" s="487">
        <f t="shared" ref="L293:M299" si="60">L294</f>
        <v>-122676.6</v>
      </c>
      <c r="M293" s="487">
        <f t="shared" si="60"/>
        <v>5600</v>
      </c>
      <c r="N293" s="531"/>
    </row>
    <row r="294" spans="1:14" s="488" customFormat="1" ht="56.25">
      <c r="A294" s="483"/>
      <c r="B294" s="371" t="s">
        <v>861</v>
      </c>
      <c r="C294" s="484" t="s">
        <v>651</v>
      </c>
      <c r="D294" s="485" t="s">
        <v>263</v>
      </c>
      <c r="E294" s="485" t="s">
        <v>61</v>
      </c>
      <c r="F294" s="372" t="s">
        <v>63</v>
      </c>
      <c r="G294" s="373" t="s">
        <v>66</v>
      </c>
      <c r="H294" s="373" t="s">
        <v>67</v>
      </c>
      <c r="I294" s="374" t="s">
        <v>68</v>
      </c>
      <c r="J294" s="375"/>
      <c r="K294" s="487">
        <v>128276.6</v>
      </c>
      <c r="L294" s="487">
        <f t="shared" si="60"/>
        <v>-122676.6</v>
      </c>
      <c r="M294" s="487">
        <f t="shared" si="60"/>
        <v>5600</v>
      </c>
      <c r="N294" s="531"/>
    </row>
    <row r="295" spans="1:14" s="488" customFormat="1" ht="22.5" customHeight="1">
      <c r="A295" s="483"/>
      <c r="B295" s="371" t="s">
        <v>862</v>
      </c>
      <c r="C295" s="484" t="s">
        <v>651</v>
      </c>
      <c r="D295" s="485" t="s">
        <v>263</v>
      </c>
      <c r="E295" s="485" t="s">
        <v>61</v>
      </c>
      <c r="F295" s="372" t="s">
        <v>63</v>
      </c>
      <c r="G295" s="373" t="s">
        <v>69</v>
      </c>
      <c r="H295" s="373" t="s">
        <v>67</v>
      </c>
      <c r="I295" s="374" t="s">
        <v>68</v>
      </c>
      <c r="J295" s="375"/>
      <c r="K295" s="487">
        <v>128276.6</v>
      </c>
      <c r="L295" s="487">
        <f t="shared" si="60"/>
        <v>-122676.6</v>
      </c>
      <c r="M295" s="487">
        <f t="shared" si="60"/>
        <v>5600</v>
      </c>
      <c r="N295" s="531"/>
    </row>
    <row r="296" spans="1:14" s="488" customFormat="1" ht="37.5">
      <c r="A296" s="483"/>
      <c r="B296" s="371" t="s">
        <v>329</v>
      </c>
      <c r="C296" s="484" t="s">
        <v>651</v>
      </c>
      <c r="D296" s="485" t="s">
        <v>263</v>
      </c>
      <c r="E296" s="485" t="s">
        <v>61</v>
      </c>
      <c r="F296" s="372" t="s">
        <v>63</v>
      </c>
      <c r="G296" s="373" t="s">
        <v>69</v>
      </c>
      <c r="H296" s="373" t="s">
        <v>61</v>
      </c>
      <c r="I296" s="429" t="s">
        <v>68</v>
      </c>
      <c r="J296" s="375"/>
      <c r="K296" s="487">
        <v>128276.6</v>
      </c>
      <c r="L296" s="487">
        <f>L297+L299</f>
        <v>-122676.6</v>
      </c>
      <c r="M296" s="487">
        <f>M297+M299</f>
        <v>5600</v>
      </c>
      <c r="N296" s="531"/>
    </row>
    <row r="297" spans="1:14" s="488" customFormat="1" ht="37.5">
      <c r="A297" s="483"/>
      <c r="B297" s="207" t="s">
        <v>247</v>
      </c>
      <c r="C297" s="484" t="s">
        <v>651</v>
      </c>
      <c r="D297" s="485" t="s">
        <v>263</v>
      </c>
      <c r="E297" s="485" t="s">
        <v>61</v>
      </c>
      <c r="F297" s="372" t="s">
        <v>63</v>
      </c>
      <c r="G297" s="373" t="s">
        <v>69</v>
      </c>
      <c r="H297" s="373" t="s">
        <v>61</v>
      </c>
      <c r="I297" s="429" t="s">
        <v>336</v>
      </c>
      <c r="J297" s="375"/>
      <c r="K297" s="487">
        <v>5600</v>
      </c>
      <c r="L297" s="487">
        <f t="shared" si="60"/>
        <v>0</v>
      </c>
      <c r="M297" s="487">
        <f t="shared" si="60"/>
        <v>5600</v>
      </c>
      <c r="N297" s="531"/>
    </row>
    <row r="298" spans="1:14" s="488" customFormat="1" ht="56.25">
      <c r="A298" s="483"/>
      <c r="B298" s="371" t="s">
        <v>242</v>
      </c>
      <c r="C298" s="484" t="s">
        <v>651</v>
      </c>
      <c r="D298" s="485" t="s">
        <v>263</v>
      </c>
      <c r="E298" s="485" t="s">
        <v>61</v>
      </c>
      <c r="F298" s="372" t="s">
        <v>63</v>
      </c>
      <c r="G298" s="373" t="s">
        <v>69</v>
      </c>
      <c r="H298" s="373" t="s">
        <v>61</v>
      </c>
      <c r="I298" s="429" t="s">
        <v>336</v>
      </c>
      <c r="J298" s="375" t="s">
        <v>243</v>
      </c>
      <c r="K298" s="487">
        <v>5600</v>
      </c>
      <c r="L298" s="209">
        <f>M298-K298</f>
        <v>0</v>
      </c>
      <c r="M298" s="487">
        <f>1900+3700</f>
        <v>5600</v>
      </c>
      <c r="N298" s="531"/>
    </row>
    <row r="299" spans="1:14" s="488" customFormat="1" ht="37.5">
      <c r="A299" s="483"/>
      <c r="B299" s="371" t="s">
        <v>863</v>
      </c>
      <c r="C299" s="484" t="s">
        <v>651</v>
      </c>
      <c r="D299" s="485" t="s">
        <v>263</v>
      </c>
      <c r="E299" s="485" t="s">
        <v>61</v>
      </c>
      <c r="F299" s="372" t="s">
        <v>63</v>
      </c>
      <c r="G299" s="373" t="s">
        <v>69</v>
      </c>
      <c r="H299" s="373" t="s">
        <v>61</v>
      </c>
      <c r="I299" s="429" t="s">
        <v>864</v>
      </c>
      <c r="J299" s="375"/>
      <c r="K299" s="487">
        <v>122676.6</v>
      </c>
      <c r="L299" s="487">
        <f t="shared" si="60"/>
        <v>-122676.6</v>
      </c>
      <c r="M299" s="487">
        <f t="shared" si="60"/>
        <v>0</v>
      </c>
      <c r="N299" s="531"/>
    </row>
    <row r="300" spans="1:14" s="691" customFormat="1" ht="56.25">
      <c r="A300" s="682"/>
      <c r="B300" s="683" t="s">
        <v>242</v>
      </c>
      <c r="C300" s="684" t="s">
        <v>651</v>
      </c>
      <c r="D300" s="685" t="s">
        <v>263</v>
      </c>
      <c r="E300" s="685" t="s">
        <v>61</v>
      </c>
      <c r="F300" s="686" t="s">
        <v>63</v>
      </c>
      <c r="G300" s="687" t="s">
        <v>69</v>
      </c>
      <c r="H300" s="687" t="s">
        <v>61</v>
      </c>
      <c r="I300" s="688" t="s">
        <v>864</v>
      </c>
      <c r="J300" s="689" t="s">
        <v>243</v>
      </c>
      <c r="K300" s="574">
        <v>122676.6</v>
      </c>
      <c r="L300" s="573">
        <f>M300-K300</f>
        <v>-122676.6</v>
      </c>
      <c r="M300" s="574">
        <f>122676.6-118996.3-3680.3</f>
        <v>0</v>
      </c>
      <c r="N300" s="690"/>
    </row>
    <row r="301" spans="1:14" s="488" customFormat="1" ht="18.75">
      <c r="A301" s="483"/>
      <c r="B301" s="371" t="s">
        <v>222</v>
      </c>
      <c r="C301" s="484" t="s">
        <v>651</v>
      </c>
      <c r="D301" s="485" t="s">
        <v>263</v>
      </c>
      <c r="E301" s="485" t="s">
        <v>63</v>
      </c>
      <c r="F301" s="372"/>
      <c r="G301" s="373"/>
      <c r="H301" s="373"/>
      <c r="I301" s="429"/>
      <c r="J301" s="375"/>
      <c r="K301" s="487">
        <v>1500</v>
      </c>
      <c r="L301" s="487">
        <f t="shared" ref="L301:M305" si="61">L302</f>
        <v>0</v>
      </c>
      <c r="M301" s="487">
        <f t="shared" si="61"/>
        <v>1500</v>
      </c>
      <c r="N301" s="531"/>
    </row>
    <row r="302" spans="1:14" s="488" customFormat="1" ht="56.25">
      <c r="A302" s="483"/>
      <c r="B302" s="371" t="s">
        <v>244</v>
      </c>
      <c r="C302" s="484" t="s">
        <v>651</v>
      </c>
      <c r="D302" s="485" t="s">
        <v>263</v>
      </c>
      <c r="E302" s="485" t="s">
        <v>63</v>
      </c>
      <c r="F302" s="372" t="s">
        <v>63</v>
      </c>
      <c r="G302" s="373" t="s">
        <v>66</v>
      </c>
      <c r="H302" s="373" t="s">
        <v>67</v>
      </c>
      <c r="I302" s="374" t="s">
        <v>68</v>
      </c>
      <c r="J302" s="375"/>
      <c r="K302" s="487">
        <v>1500</v>
      </c>
      <c r="L302" s="487">
        <f t="shared" si="61"/>
        <v>0</v>
      </c>
      <c r="M302" s="487">
        <f t="shared" si="61"/>
        <v>1500</v>
      </c>
      <c r="N302" s="531"/>
    </row>
    <row r="303" spans="1:14" s="488" customFormat="1" ht="37.5">
      <c r="A303" s="483"/>
      <c r="B303" s="371" t="s">
        <v>245</v>
      </c>
      <c r="C303" s="484" t="s">
        <v>651</v>
      </c>
      <c r="D303" s="485" t="s">
        <v>263</v>
      </c>
      <c r="E303" s="485" t="s">
        <v>63</v>
      </c>
      <c r="F303" s="372" t="s">
        <v>63</v>
      </c>
      <c r="G303" s="373" t="s">
        <v>69</v>
      </c>
      <c r="H303" s="373" t="s">
        <v>67</v>
      </c>
      <c r="I303" s="374" t="s">
        <v>68</v>
      </c>
      <c r="J303" s="375"/>
      <c r="K303" s="487">
        <v>1500</v>
      </c>
      <c r="L303" s="487">
        <f t="shared" si="61"/>
        <v>0</v>
      </c>
      <c r="M303" s="487">
        <f t="shared" si="61"/>
        <v>1500</v>
      </c>
      <c r="N303" s="531"/>
    </row>
    <row r="304" spans="1:14" s="488" customFormat="1" ht="18.75">
      <c r="A304" s="483"/>
      <c r="B304" s="371" t="s">
        <v>334</v>
      </c>
      <c r="C304" s="484" t="s">
        <v>651</v>
      </c>
      <c r="D304" s="485" t="s">
        <v>263</v>
      </c>
      <c r="E304" s="485" t="s">
        <v>63</v>
      </c>
      <c r="F304" s="372" t="s">
        <v>63</v>
      </c>
      <c r="G304" s="373" t="s">
        <v>69</v>
      </c>
      <c r="H304" s="373" t="s">
        <v>63</v>
      </c>
      <c r="I304" s="374" t="s">
        <v>68</v>
      </c>
      <c r="J304" s="375"/>
      <c r="K304" s="487">
        <v>1500</v>
      </c>
      <c r="L304" s="487">
        <f t="shared" si="61"/>
        <v>0</v>
      </c>
      <c r="M304" s="487">
        <f t="shared" si="61"/>
        <v>1500</v>
      </c>
      <c r="N304" s="531"/>
    </row>
    <row r="305" spans="1:14" s="488" customFormat="1" ht="37.5">
      <c r="A305" s="483"/>
      <c r="B305" s="371" t="s">
        <v>247</v>
      </c>
      <c r="C305" s="484" t="s">
        <v>651</v>
      </c>
      <c r="D305" s="485" t="s">
        <v>263</v>
      </c>
      <c r="E305" s="485" t="s">
        <v>63</v>
      </c>
      <c r="F305" s="372" t="s">
        <v>63</v>
      </c>
      <c r="G305" s="373" t="s">
        <v>69</v>
      </c>
      <c r="H305" s="373" t="s">
        <v>63</v>
      </c>
      <c r="I305" s="374" t="s">
        <v>336</v>
      </c>
      <c r="J305" s="375"/>
      <c r="K305" s="487">
        <v>1500</v>
      </c>
      <c r="L305" s="487">
        <f t="shared" si="61"/>
        <v>0</v>
      </c>
      <c r="M305" s="487">
        <f t="shared" si="61"/>
        <v>1500</v>
      </c>
      <c r="N305" s="531"/>
    </row>
    <row r="306" spans="1:14" s="488" customFormat="1" ht="56.25">
      <c r="A306" s="483"/>
      <c r="B306" s="371" t="s">
        <v>242</v>
      </c>
      <c r="C306" s="484" t="s">
        <v>651</v>
      </c>
      <c r="D306" s="485" t="s">
        <v>263</v>
      </c>
      <c r="E306" s="485" t="s">
        <v>63</v>
      </c>
      <c r="F306" s="372" t="s">
        <v>63</v>
      </c>
      <c r="G306" s="373" t="s">
        <v>69</v>
      </c>
      <c r="H306" s="373" t="s">
        <v>63</v>
      </c>
      <c r="I306" s="374" t="s">
        <v>336</v>
      </c>
      <c r="J306" s="375" t="s">
        <v>243</v>
      </c>
      <c r="K306" s="487">
        <v>1500</v>
      </c>
      <c r="L306" s="209">
        <f>M306-K306</f>
        <v>0</v>
      </c>
      <c r="M306" s="711">
        <v>1500</v>
      </c>
      <c r="N306" s="531"/>
    </row>
    <row r="307" spans="1:14" s="488" customFormat="1" ht="18.75">
      <c r="A307" s="483"/>
      <c r="B307" s="371" t="s">
        <v>901</v>
      </c>
      <c r="C307" s="484" t="s">
        <v>651</v>
      </c>
      <c r="D307" s="485" t="s">
        <v>109</v>
      </c>
      <c r="E307" s="485"/>
      <c r="F307" s="372"/>
      <c r="G307" s="373"/>
      <c r="H307" s="373"/>
      <c r="I307" s="374"/>
      <c r="J307" s="375"/>
      <c r="K307" s="708">
        <f>K308</f>
        <v>0</v>
      </c>
      <c r="L307" s="708">
        <f>L308</f>
        <v>2642.6</v>
      </c>
      <c r="M307" s="710">
        <f>M308</f>
        <v>2642.6</v>
      </c>
      <c r="N307" s="531"/>
    </row>
    <row r="308" spans="1:14" s="488" customFormat="1" ht="18.75">
      <c r="A308" s="483"/>
      <c r="B308" s="371" t="s">
        <v>902</v>
      </c>
      <c r="C308" s="484" t="s">
        <v>651</v>
      </c>
      <c r="D308" s="485" t="s">
        <v>109</v>
      </c>
      <c r="E308" s="485" t="s">
        <v>63</v>
      </c>
      <c r="F308" s="372"/>
      <c r="G308" s="373"/>
      <c r="H308" s="373"/>
      <c r="I308" s="374"/>
      <c r="J308" s="375"/>
      <c r="K308" s="708">
        <f>K309</f>
        <v>0</v>
      </c>
      <c r="L308" s="708">
        <f t="shared" ref="L308:M308" si="62">L309</f>
        <v>2642.6</v>
      </c>
      <c r="M308" s="710">
        <f t="shared" si="62"/>
        <v>2642.6</v>
      </c>
      <c r="N308" s="531"/>
    </row>
    <row r="309" spans="1:14" s="488" customFormat="1" ht="60.6" customHeight="1">
      <c r="A309" s="483"/>
      <c r="B309" s="371" t="s">
        <v>264</v>
      </c>
      <c r="C309" s="484" t="s">
        <v>651</v>
      </c>
      <c r="D309" s="485" t="s">
        <v>109</v>
      </c>
      <c r="E309" s="485" t="s">
        <v>63</v>
      </c>
      <c r="F309" s="372" t="s">
        <v>265</v>
      </c>
      <c r="G309" s="373" t="s">
        <v>66</v>
      </c>
      <c r="H309" s="373" t="s">
        <v>67</v>
      </c>
      <c r="I309" s="374" t="s">
        <v>68</v>
      </c>
      <c r="J309" s="375"/>
      <c r="K309" s="708">
        <f>K310</f>
        <v>0</v>
      </c>
      <c r="L309" s="708">
        <f t="shared" ref="L309:M309" si="63">L310</f>
        <v>2642.6</v>
      </c>
      <c r="M309" s="710">
        <f t="shared" si="63"/>
        <v>2642.6</v>
      </c>
      <c r="N309" s="531"/>
    </row>
    <row r="310" spans="1:14" s="488" customFormat="1" ht="39" customHeight="1">
      <c r="A310" s="483"/>
      <c r="B310" s="371" t="s">
        <v>428</v>
      </c>
      <c r="C310" s="484" t="s">
        <v>651</v>
      </c>
      <c r="D310" s="485" t="s">
        <v>109</v>
      </c>
      <c r="E310" s="485" t="s">
        <v>63</v>
      </c>
      <c r="F310" s="372" t="s">
        <v>265</v>
      </c>
      <c r="G310" s="373" t="s">
        <v>54</v>
      </c>
      <c r="H310" s="373" t="s">
        <v>67</v>
      </c>
      <c r="I310" s="374" t="s">
        <v>68</v>
      </c>
      <c r="J310" s="375"/>
      <c r="K310" s="708">
        <f>K311</f>
        <v>0</v>
      </c>
      <c r="L310" s="708">
        <f t="shared" ref="L310:M310" si="64">L311</f>
        <v>2642.6</v>
      </c>
      <c r="M310" s="710">
        <f t="shared" si="64"/>
        <v>2642.6</v>
      </c>
      <c r="N310" s="531"/>
    </row>
    <row r="311" spans="1:14" s="488" customFormat="1" ht="75">
      <c r="A311" s="483"/>
      <c r="B311" s="371" t="s">
        <v>903</v>
      </c>
      <c r="C311" s="484" t="s">
        <v>651</v>
      </c>
      <c r="D311" s="485" t="s">
        <v>109</v>
      </c>
      <c r="E311" s="485" t="s">
        <v>63</v>
      </c>
      <c r="F311" s="372" t="s">
        <v>265</v>
      </c>
      <c r="G311" s="373" t="s">
        <v>54</v>
      </c>
      <c r="H311" s="373" t="s">
        <v>91</v>
      </c>
      <c r="I311" s="374" t="s">
        <v>68</v>
      </c>
      <c r="J311" s="375"/>
      <c r="K311" s="708">
        <f>K312</f>
        <v>0</v>
      </c>
      <c r="L311" s="708">
        <f t="shared" ref="L311:M311" si="65">L312</f>
        <v>2642.6</v>
      </c>
      <c r="M311" s="710">
        <f t="shared" si="65"/>
        <v>2642.6</v>
      </c>
      <c r="N311" s="531"/>
    </row>
    <row r="312" spans="1:14" s="488" customFormat="1" ht="250.15" customHeight="1">
      <c r="A312" s="483"/>
      <c r="B312" s="371" t="s">
        <v>928</v>
      </c>
      <c r="C312" s="484" t="s">
        <v>651</v>
      </c>
      <c r="D312" s="485" t="s">
        <v>109</v>
      </c>
      <c r="E312" s="485" t="s">
        <v>63</v>
      </c>
      <c r="F312" s="372" t="s">
        <v>265</v>
      </c>
      <c r="G312" s="373" t="s">
        <v>54</v>
      </c>
      <c r="H312" s="373" t="s">
        <v>91</v>
      </c>
      <c r="I312" s="374" t="s">
        <v>900</v>
      </c>
      <c r="J312" s="375"/>
      <c r="K312" s="708">
        <f>K313</f>
        <v>0</v>
      </c>
      <c r="L312" s="708">
        <f t="shared" ref="L312:M312" si="66">L313</f>
        <v>2642.6</v>
      </c>
      <c r="M312" s="710">
        <f t="shared" si="66"/>
        <v>2642.6</v>
      </c>
      <c r="N312" s="531"/>
    </row>
    <row r="313" spans="1:14" s="488" customFormat="1" ht="56.25">
      <c r="A313" s="483"/>
      <c r="B313" s="371" t="s">
        <v>242</v>
      </c>
      <c r="C313" s="484" t="s">
        <v>651</v>
      </c>
      <c r="D313" s="485" t="s">
        <v>109</v>
      </c>
      <c r="E313" s="485" t="s">
        <v>63</v>
      </c>
      <c r="F313" s="372" t="s">
        <v>265</v>
      </c>
      <c r="G313" s="373" t="s">
        <v>54</v>
      </c>
      <c r="H313" s="373" t="s">
        <v>91</v>
      </c>
      <c r="I313" s="374" t="s">
        <v>900</v>
      </c>
      <c r="J313" s="375" t="s">
        <v>243</v>
      </c>
      <c r="K313" s="708">
        <v>0</v>
      </c>
      <c r="L313" s="209">
        <f>M313-K313</f>
        <v>2642.6</v>
      </c>
      <c r="M313" s="709">
        <f>2642.6</f>
        <v>2642.6</v>
      </c>
      <c r="N313" s="531"/>
    </row>
    <row r="314" spans="1:14" s="499" customFormat="1" ht="18.75">
      <c r="A314" s="496"/>
      <c r="B314" s="497" t="s">
        <v>151</v>
      </c>
      <c r="C314" s="498" t="s">
        <v>651</v>
      </c>
      <c r="D314" s="427" t="s">
        <v>136</v>
      </c>
      <c r="E314" s="485" t="s">
        <v>63</v>
      </c>
      <c r="F314" s="424"/>
      <c r="G314" s="425"/>
      <c r="H314" s="425"/>
      <c r="I314" s="426"/>
      <c r="J314" s="427"/>
      <c r="K314" s="551">
        <v>55665.299999999996</v>
      </c>
      <c r="L314" s="707">
        <f t="shared" ref="L314:M317" si="67">L315</f>
        <v>0</v>
      </c>
      <c r="M314" s="551">
        <f t="shared" si="67"/>
        <v>55665.299999999996</v>
      </c>
    </row>
    <row r="315" spans="1:14" s="499" customFormat="1" ht="18.75">
      <c r="A315" s="496"/>
      <c r="B315" s="423" t="s">
        <v>232</v>
      </c>
      <c r="C315" s="498" t="s">
        <v>651</v>
      </c>
      <c r="D315" s="427" t="s">
        <v>136</v>
      </c>
      <c r="E315" s="427" t="s">
        <v>76</v>
      </c>
      <c r="F315" s="424"/>
      <c r="G315" s="425"/>
      <c r="H315" s="425"/>
      <c r="I315" s="426"/>
      <c r="J315" s="427"/>
      <c r="K315" s="551">
        <v>55665.299999999996</v>
      </c>
      <c r="L315" s="551">
        <f t="shared" si="67"/>
        <v>0</v>
      </c>
      <c r="M315" s="551">
        <f t="shared" si="67"/>
        <v>55665.299999999996</v>
      </c>
    </row>
    <row r="316" spans="1:14" s="499" customFormat="1" ht="56.25">
      <c r="A316" s="496"/>
      <c r="B316" s="500" t="s">
        <v>269</v>
      </c>
      <c r="C316" s="498" t="s">
        <v>651</v>
      </c>
      <c r="D316" s="427" t="s">
        <v>136</v>
      </c>
      <c r="E316" s="427" t="s">
        <v>76</v>
      </c>
      <c r="F316" s="424" t="s">
        <v>109</v>
      </c>
      <c r="G316" s="425" t="s">
        <v>66</v>
      </c>
      <c r="H316" s="425" t="s">
        <v>67</v>
      </c>
      <c r="I316" s="426" t="s">
        <v>68</v>
      </c>
      <c r="J316" s="427"/>
      <c r="K316" s="551">
        <v>55665.299999999996</v>
      </c>
      <c r="L316" s="551">
        <f t="shared" si="67"/>
        <v>0</v>
      </c>
      <c r="M316" s="551">
        <f t="shared" si="67"/>
        <v>55665.299999999996</v>
      </c>
    </row>
    <row r="317" spans="1:14" s="499" customFormat="1" ht="37.5">
      <c r="A317" s="496"/>
      <c r="B317" s="423" t="s">
        <v>428</v>
      </c>
      <c r="C317" s="498" t="s">
        <v>651</v>
      </c>
      <c r="D317" s="427" t="s">
        <v>136</v>
      </c>
      <c r="E317" s="427" t="s">
        <v>76</v>
      </c>
      <c r="F317" s="424" t="s">
        <v>109</v>
      </c>
      <c r="G317" s="425" t="s">
        <v>69</v>
      </c>
      <c r="H317" s="425" t="s">
        <v>67</v>
      </c>
      <c r="I317" s="426" t="s">
        <v>68</v>
      </c>
      <c r="J317" s="427"/>
      <c r="K317" s="551">
        <v>55665.299999999996</v>
      </c>
      <c r="L317" s="551">
        <f t="shared" si="67"/>
        <v>0</v>
      </c>
      <c r="M317" s="551">
        <f t="shared" si="67"/>
        <v>55665.299999999996</v>
      </c>
    </row>
    <row r="318" spans="1:14" s="501" customFormat="1" ht="93.75">
      <c r="A318" s="496"/>
      <c r="B318" s="423" t="s">
        <v>374</v>
      </c>
      <c r="C318" s="498" t="s">
        <v>651</v>
      </c>
      <c r="D318" s="427" t="s">
        <v>136</v>
      </c>
      <c r="E318" s="427" t="s">
        <v>76</v>
      </c>
      <c r="F318" s="424" t="s">
        <v>109</v>
      </c>
      <c r="G318" s="425" t="s">
        <v>69</v>
      </c>
      <c r="H318" s="425" t="s">
        <v>63</v>
      </c>
      <c r="I318" s="426" t="s">
        <v>68</v>
      </c>
      <c r="J318" s="427"/>
      <c r="K318" s="551">
        <v>55665.299999999996</v>
      </c>
      <c r="L318" s="551">
        <f>L321+L319</f>
        <v>0</v>
      </c>
      <c r="M318" s="551">
        <f>M321+M319</f>
        <v>55665.299999999996</v>
      </c>
    </row>
    <row r="319" spans="1:14" s="488" customFormat="1" ht="114" customHeight="1">
      <c r="A319" s="483"/>
      <c r="B319" s="428" t="s">
        <v>654</v>
      </c>
      <c r="C319" s="484" t="s">
        <v>651</v>
      </c>
      <c r="D319" s="485" t="s">
        <v>136</v>
      </c>
      <c r="E319" s="485" t="s">
        <v>76</v>
      </c>
      <c r="F319" s="372" t="s">
        <v>109</v>
      </c>
      <c r="G319" s="373" t="s">
        <v>69</v>
      </c>
      <c r="H319" s="373" t="s">
        <v>63</v>
      </c>
      <c r="I319" s="429" t="s">
        <v>656</v>
      </c>
      <c r="J319" s="375"/>
      <c r="K319" s="487">
        <v>9268.6</v>
      </c>
      <c r="L319" s="487">
        <f>L320</f>
        <v>0</v>
      </c>
      <c r="M319" s="487">
        <f>M320</f>
        <v>9268.6</v>
      </c>
      <c r="N319" s="531"/>
    </row>
    <row r="320" spans="1:14" s="488" customFormat="1" ht="56.25">
      <c r="A320" s="483"/>
      <c r="B320" s="428" t="s">
        <v>242</v>
      </c>
      <c r="C320" s="484" t="s">
        <v>651</v>
      </c>
      <c r="D320" s="485" t="s">
        <v>136</v>
      </c>
      <c r="E320" s="485" t="s">
        <v>76</v>
      </c>
      <c r="F320" s="372" t="s">
        <v>109</v>
      </c>
      <c r="G320" s="373" t="s">
        <v>69</v>
      </c>
      <c r="H320" s="373" t="s">
        <v>63</v>
      </c>
      <c r="I320" s="429" t="s">
        <v>656</v>
      </c>
      <c r="J320" s="375" t="s">
        <v>243</v>
      </c>
      <c r="K320" s="487">
        <v>9268.6</v>
      </c>
      <c r="L320" s="209">
        <f>M320-K320</f>
        <v>0</v>
      </c>
      <c r="M320" s="487">
        <v>9268.6</v>
      </c>
      <c r="N320" s="531"/>
    </row>
    <row r="321" spans="1:15" s="488" customFormat="1" ht="115.5" customHeight="1">
      <c r="A321" s="483"/>
      <c r="B321" s="428" t="s">
        <v>654</v>
      </c>
      <c r="C321" s="484" t="s">
        <v>651</v>
      </c>
      <c r="D321" s="485" t="s">
        <v>136</v>
      </c>
      <c r="E321" s="485" t="s">
        <v>76</v>
      </c>
      <c r="F321" s="372" t="s">
        <v>109</v>
      </c>
      <c r="G321" s="373" t="s">
        <v>69</v>
      </c>
      <c r="H321" s="373" t="s">
        <v>63</v>
      </c>
      <c r="I321" s="429" t="s">
        <v>655</v>
      </c>
      <c r="J321" s="375"/>
      <c r="K321" s="487">
        <v>46396.7</v>
      </c>
      <c r="L321" s="487">
        <f>L322</f>
        <v>0</v>
      </c>
      <c r="M321" s="487">
        <f>M322</f>
        <v>46396.7</v>
      </c>
      <c r="N321" s="531"/>
    </row>
    <row r="322" spans="1:15" s="488" customFormat="1" ht="56.25">
      <c r="A322" s="483"/>
      <c r="B322" s="428" t="s">
        <v>242</v>
      </c>
      <c r="C322" s="484" t="s">
        <v>651</v>
      </c>
      <c r="D322" s="485" t="s">
        <v>136</v>
      </c>
      <c r="E322" s="485" t="s">
        <v>76</v>
      </c>
      <c r="F322" s="372" t="s">
        <v>109</v>
      </c>
      <c r="G322" s="373" t="s">
        <v>69</v>
      </c>
      <c r="H322" s="373" t="s">
        <v>63</v>
      </c>
      <c r="I322" s="429" t="s">
        <v>655</v>
      </c>
      <c r="J322" s="375" t="s">
        <v>243</v>
      </c>
      <c r="K322" s="487">
        <v>46396.7</v>
      </c>
      <c r="L322" s="209">
        <f>M322-K322</f>
        <v>0</v>
      </c>
      <c r="M322" s="487">
        <v>46396.7</v>
      </c>
      <c r="N322" s="531"/>
    </row>
    <row r="323" spans="1:15" s="488" customFormat="1" ht="18.75">
      <c r="A323" s="483"/>
      <c r="B323" s="213" t="s">
        <v>409</v>
      </c>
      <c r="C323" s="484" t="s">
        <v>651</v>
      </c>
      <c r="D323" s="485" t="s">
        <v>93</v>
      </c>
      <c r="E323" s="485"/>
      <c r="F323" s="372"/>
      <c r="G323" s="373"/>
      <c r="H323" s="373"/>
      <c r="I323" s="429"/>
      <c r="J323" s="375"/>
      <c r="K323" s="487">
        <v>2742.8613700000001</v>
      </c>
      <c r="L323" s="487">
        <f>L324</f>
        <v>0</v>
      </c>
      <c r="M323" s="487">
        <f>M324</f>
        <v>2742.8613700000001</v>
      </c>
      <c r="N323" s="531"/>
    </row>
    <row r="324" spans="1:15" s="488" customFormat="1" ht="18.75">
      <c r="A324" s="483"/>
      <c r="B324" s="213" t="s">
        <v>468</v>
      </c>
      <c r="C324" s="484" t="s">
        <v>651</v>
      </c>
      <c r="D324" s="485" t="s">
        <v>93</v>
      </c>
      <c r="E324" s="485" t="s">
        <v>61</v>
      </c>
      <c r="F324" s="372"/>
      <c r="G324" s="373"/>
      <c r="H324" s="373"/>
      <c r="I324" s="429"/>
      <c r="J324" s="375"/>
      <c r="K324" s="487">
        <v>2742.8613700000001</v>
      </c>
      <c r="L324" s="487">
        <f t="shared" ref="L324:L328" si="68">L325</f>
        <v>0</v>
      </c>
      <c r="M324" s="487">
        <f t="shared" ref="M324:M328" si="69">M325</f>
        <v>2742.8613700000001</v>
      </c>
      <c r="N324" s="531"/>
    </row>
    <row r="325" spans="1:15" s="488" customFormat="1" ht="56.25">
      <c r="A325" s="483"/>
      <c r="B325" s="214" t="s">
        <v>256</v>
      </c>
      <c r="C325" s="484" t="s">
        <v>651</v>
      </c>
      <c r="D325" s="485" t="s">
        <v>93</v>
      </c>
      <c r="E325" s="485" t="s">
        <v>61</v>
      </c>
      <c r="F325" s="401" t="s">
        <v>76</v>
      </c>
      <c r="G325" s="414" t="s">
        <v>66</v>
      </c>
      <c r="H325" s="414" t="s">
        <v>67</v>
      </c>
      <c r="I325" s="419" t="s">
        <v>68</v>
      </c>
      <c r="J325" s="375"/>
      <c r="K325" s="487">
        <v>2742.8613700000001</v>
      </c>
      <c r="L325" s="487">
        <f t="shared" si="68"/>
        <v>0</v>
      </c>
      <c r="M325" s="487">
        <f t="shared" si="69"/>
        <v>2742.8613700000001</v>
      </c>
      <c r="N325" s="531"/>
    </row>
    <row r="326" spans="1:15" s="488" customFormat="1" ht="37.5">
      <c r="A326" s="483"/>
      <c r="B326" s="214" t="s">
        <v>428</v>
      </c>
      <c r="C326" s="484" t="s">
        <v>651</v>
      </c>
      <c r="D326" s="485" t="s">
        <v>93</v>
      </c>
      <c r="E326" s="485" t="s">
        <v>61</v>
      </c>
      <c r="F326" s="401" t="s">
        <v>76</v>
      </c>
      <c r="G326" s="414" t="s">
        <v>55</v>
      </c>
      <c r="H326" s="414" t="s">
        <v>67</v>
      </c>
      <c r="I326" s="419" t="s">
        <v>68</v>
      </c>
      <c r="J326" s="375"/>
      <c r="K326" s="487">
        <v>2742.8613700000001</v>
      </c>
      <c r="L326" s="487">
        <f t="shared" si="68"/>
        <v>0</v>
      </c>
      <c r="M326" s="487">
        <f t="shared" si="69"/>
        <v>2742.8613700000001</v>
      </c>
      <c r="N326" s="531"/>
    </row>
    <row r="327" spans="1:15" s="488" customFormat="1" ht="75">
      <c r="A327" s="483"/>
      <c r="B327" s="214" t="s">
        <v>644</v>
      </c>
      <c r="C327" s="484" t="s">
        <v>651</v>
      </c>
      <c r="D327" s="485" t="s">
        <v>93</v>
      </c>
      <c r="E327" s="485" t="s">
        <v>61</v>
      </c>
      <c r="F327" s="401" t="s">
        <v>76</v>
      </c>
      <c r="G327" s="414" t="s">
        <v>55</v>
      </c>
      <c r="H327" s="414" t="s">
        <v>89</v>
      </c>
      <c r="I327" s="419" t="s">
        <v>68</v>
      </c>
      <c r="J327" s="375"/>
      <c r="K327" s="487">
        <v>2742.8613700000001</v>
      </c>
      <c r="L327" s="487">
        <f t="shared" si="68"/>
        <v>0</v>
      </c>
      <c r="M327" s="487">
        <f t="shared" si="69"/>
        <v>2742.8613700000001</v>
      </c>
      <c r="N327" s="531"/>
    </row>
    <row r="328" spans="1:15" s="488" customFormat="1" ht="56.25">
      <c r="A328" s="483"/>
      <c r="B328" s="214" t="s">
        <v>258</v>
      </c>
      <c r="C328" s="484" t="s">
        <v>651</v>
      </c>
      <c r="D328" s="485" t="s">
        <v>93</v>
      </c>
      <c r="E328" s="485" t="s">
        <v>61</v>
      </c>
      <c r="F328" s="401" t="s">
        <v>76</v>
      </c>
      <c r="G328" s="414" t="s">
        <v>55</v>
      </c>
      <c r="H328" s="414" t="s">
        <v>89</v>
      </c>
      <c r="I328" s="419" t="s">
        <v>355</v>
      </c>
      <c r="J328" s="375"/>
      <c r="K328" s="487">
        <v>2742.8613700000001</v>
      </c>
      <c r="L328" s="487">
        <f t="shared" si="68"/>
        <v>0</v>
      </c>
      <c r="M328" s="487">
        <f t="shared" si="69"/>
        <v>2742.8613700000001</v>
      </c>
      <c r="N328" s="531"/>
    </row>
    <row r="329" spans="1:15" s="488" customFormat="1" ht="56.25">
      <c r="A329" s="483"/>
      <c r="B329" s="207" t="s">
        <v>242</v>
      </c>
      <c r="C329" s="484" t="s">
        <v>651</v>
      </c>
      <c r="D329" s="485" t="s">
        <v>93</v>
      </c>
      <c r="E329" s="485" t="s">
        <v>61</v>
      </c>
      <c r="F329" s="401" t="s">
        <v>76</v>
      </c>
      <c r="G329" s="414" t="s">
        <v>55</v>
      </c>
      <c r="H329" s="414" t="s">
        <v>89</v>
      </c>
      <c r="I329" s="419" t="s">
        <v>355</v>
      </c>
      <c r="J329" s="375" t="s">
        <v>243</v>
      </c>
      <c r="K329" s="487">
        <v>2742.8613700000001</v>
      </c>
      <c r="L329" s="209">
        <f>M329-K329</f>
        <v>0</v>
      </c>
      <c r="M329" s="487">
        <f>442.86137+2300</f>
        <v>2742.8613700000001</v>
      </c>
      <c r="N329" s="531"/>
    </row>
    <row r="330" spans="1:15" s="488" customFormat="1" ht="18" customHeight="1">
      <c r="A330" s="483"/>
      <c r="B330" s="428"/>
      <c r="C330" s="526"/>
      <c r="D330" s="527"/>
      <c r="E330" s="527"/>
      <c r="F330" s="528"/>
      <c r="G330" s="529"/>
      <c r="H330" s="529"/>
      <c r="I330" s="530"/>
      <c r="J330" s="527"/>
      <c r="K330" s="487"/>
      <c r="L330" s="487"/>
      <c r="M330" s="487"/>
    </row>
    <row r="331" spans="1:15" s="471" customFormat="1" ht="52.15" customHeight="1">
      <c r="A331" s="464">
        <v>5</v>
      </c>
      <c r="B331" s="201" t="s">
        <v>27</v>
      </c>
      <c r="C331" s="202" t="s">
        <v>686</v>
      </c>
      <c r="D331" s="203"/>
      <c r="E331" s="203"/>
      <c r="F331" s="204"/>
      <c r="G331" s="205"/>
      <c r="H331" s="205"/>
      <c r="I331" s="206"/>
      <c r="J331" s="203"/>
      <c r="K331" s="235">
        <v>956781.63207000005</v>
      </c>
      <c r="L331" s="235">
        <f>L332+L452</f>
        <v>10667.891999999998</v>
      </c>
      <c r="M331" s="235">
        <f>M332+M452</f>
        <v>967449.52407000004</v>
      </c>
      <c r="N331" s="502"/>
      <c r="O331" s="502"/>
    </row>
    <row r="332" spans="1:15" s="472" customFormat="1" ht="18" customHeight="1">
      <c r="A332" s="194"/>
      <c r="B332" s="207" t="s">
        <v>218</v>
      </c>
      <c r="C332" s="208" t="s">
        <v>686</v>
      </c>
      <c r="D332" s="193" t="s">
        <v>263</v>
      </c>
      <c r="E332" s="193"/>
      <c r="F332" s="661"/>
      <c r="G332" s="662"/>
      <c r="H332" s="662"/>
      <c r="I332" s="663"/>
      <c r="J332" s="193"/>
      <c r="K332" s="209">
        <v>948876.73207000003</v>
      </c>
      <c r="L332" s="209">
        <f>L333+L356+L423+L432+L405</f>
        <v>10667.891999999998</v>
      </c>
      <c r="M332" s="209">
        <f>M333+M356+M423+M432+M405</f>
        <v>959544.62407000002</v>
      </c>
      <c r="N332" s="503"/>
      <c r="O332" s="503"/>
    </row>
    <row r="333" spans="1:15" s="471" customFormat="1" ht="18" customHeight="1">
      <c r="A333" s="194"/>
      <c r="B333" s="207" t="s">
        <v>220</v>
      </c>
      <c r="C333" s="208" t="s">
        <v>686</v>
      </c>
      <c r="D333" s="193" t="s">
        <v>263</v>
      </c>
      <c r="E333" s="193" t="s">
        <v>61</v>
      </c>
      <c r="F333" s="661"/>
      <c r="G333" s="662"/>
      <c r="H333" s="662"/>
      <c r="I333" s="663"/>
      <c r="J333" s="193"/>
      <c r="K333" s="209">
        <v>320691.28817999997</v>
      </c>
      <c r="L333" s="209">
        <f>L334+L351</f>
        <v>67.352999999999994</v>
      </c>
      <c r="M333" s="209">
        <f>M334+M351</f>
        <v>320758.64117999998</v>
      </c>
    </row>
    <row r="334" spans="1:15" s="471" customFormat="1" ht="54" customHeight="1">
      <c r="A334" s="194"/>
      <c r="B334" s="207" t="s">
        <v>244</v>
      </c>
      <c r="C334" s="208" t="s">
        <v>686</v>
      </c>
      <c r="D334" s="193" t="s">
        <v>263</v>
      </c>
      <c r="E334" s="193" t="s">
        <v>61</v>
      </c>
      <c r="F334" s="661" t="s">
        <v>63</v>
      </c>
      <c r="G334" s="662" t="s">
        <v>66</v>
      </c>
      <c r="H334" s="662" t="s">
        <v>67</v>
      </c>
      <c r="I334" s="663" t="s">
        <v>68</v>
      </c>
      <c r="J334" s="193"/>
      <c r="K334" s="209">
        <v>320639.98817999999</v>
      </c>
      <c r="L334" s="209">
        <f t="shared" ref="L334:M335" si="70">L335</f>
        <v>67.352999999999994</v>
      </c>
      <c r="M334" s="209">
        <f t="shared" si="70"/>
        <v>320707.34117999999</v>
      </c>
    </row>
    <row r="335" spans="1:15" s="471" customFormat="1" ht="36" customHeight="1">
      <c r="A335" s="194"/>
      <c r="B335" s="207" t="s">
        <v>245</v>
      </c>
      <c r="C335" s="208" t="s">
        <v>686</v>
      </c>
      <c r="D335" s="193" t="s">
        <v>263</v>
      </c>
      <c r="E335" s="193" t="s">
        <v>61</v>
      </c>
      <c r="F335" s="661" t="s">
        <v>63</v>
      </c>
      <c r="G335" s="662" t="s">
        <v>69</v>
      </c>
      <c r="H335" s="662" t="s">
        <v>67</v>
      </c>
      <c r="I335" s="663" t="s">
        <v>68</v>
      </c>
      <c r="J335" s="193"/>
      <c r="K335" s="209">
        <v>320639.98817999999</v>
      </c>
      <c r="L335" s="209">
        <f t="shared" si="70"/>
        <v>67.352999999999994</v>
      </c>
      <c r="M335" s="209">
        <f t="shared" si="70"/>
        <v>320707.34117999999</v>
      </c>
    </row>
    <row r="336" spans="1:15" s="471" customFormat="1" ht="36" customHeight="1">
      <c r="A336" s="194"/>
      <c r="B336" s="207" t="s">
        <v>329</v>
      </c>
      <c r="C336" s="208" t="s">
        <v>686</v>
      </c>
      <c r="D336" s="193" t="s">
        <v>263</v>
      </c>
      <c r="E336" s="193" t="s">
        <v>61</v>
      </c>
      <c r="F336" s="661" t="s">
        <v>63</v>
      </c>
      <c r="G336" s="662" t="s">
        <v>69</v>
      </c>
      <c r="H336" s="662" t="s">
        <v>61</v>
      </c>
      <c r="I336" s="663" t="s">
        <v>68</v>
      </c>
      <c r="J336" s="193"/>
      <c r="K336" s="209">
        <v>320639.98817999999</v>
      </c>
      <c r="L336" s="209">
        <f>L343+L345+L337+L341+L349+L339+L347</f>
        <v>67.352999999999994</v>
      </c>
      <c r="M336" s="209">
        <f>M343+M345+M337+M341+M349+M339+M347</f>
        <v>320707.34117999999</v>
      </c>
      <c r="N336" s="552"/>
    </row>
    <row r="337" spans="1:14" s="465" customFormat="1" ht="90" customHeight="1">
      <c r="A337" s="194"/>
      <c r="B337" s="207" t="s">
        <v>121</v>
      </c>
      <c r="C337" s="208" t="s">
        <v>686</v>
      </c>
      <c r="D337" s="193" t="s">
        <v>263</v>
      </c>
      <c r="E337" s="193" t="s">
        <v>61</v>
      </c>
      <c r="F337" s="661" t="s">
        <v>63</v>
      </c>
      <c r="G337" s="662" t="s">
        <v>69</v>
      </c>
      <c r="H337" s="662" t="s">
        <v>61</v>
      </c>
      <c r="I337" s="663" t="s">
        <v>123</v>
      </c>
      <c r="J337" s="193"/>
      <c r="K337" s="209">
        <v>82391.388179999994</v>
      </c>
      <c r="L337" s="209">
        <f>L338</f>
        <v>0</v>
      </c>
      <c r="M337" s="209">
        <f>M338</f>
        <v>82391.388179999994</v>
      </c>
      <c r="N337" s="553"/>
    </row>
    <row r="338" spans="1:14" s="465" customFormat="1" ht="54" customHeight="1">
      <c r="A338" s="194"/>
      <c r="B338" s="207" t="s">
        <v>105</v>
      </c>
      <c r="C338" s="208" t="s">
        <v>686</v>
      </c>
      <c r="D338" s="193" t="s">
        <v>263</v>
      </c>
      <c r="E338" s="193" t="s">
        <v>61</v>
      </c>
      <c r="F338" s="661" t="s">
        <v>63</v>
      </c>
      <c r="G338" s="662" t="s">
        <v>69</v>
      </c>
      <c r="H338" s="662" t="s">
        <v>61</v>
      </c>
      <c r="I338" s="663" t="s">
        <v>123</v>
      </c>
      <c r="J338" s="193" t="s">
        <v>106</v>
      </c>
      <c r="K338" s="209">
        <v>82391.388179999994</v>
      </c>
      <c r="L338" s="209">
        <f>M338-K338</f>
        <v>0</v>
      </c>
      <c r="M338" s="209">
        <f>27903.1+2102.6+20028.9+4770.5+18194.4+7896.6+7.4+276.96912+3.3+1207.61906</f>
        <v>82391.388179999994</v>
      </c>
      <c r="N338" s="553"/>
    </row>
    <row r="339" spans="1:14" s="465" customFormat="1" ht="36" customHeight="1">
      <c r="A339" s="194"/>
      <c r="B339" s="207" t="s">
        <v>516</v>
      </c>
      <c r="C339" s="208" t="s">
        <v>686</v>
      </c>
      <c r="D339" s="193" t="s">
        <v>263</v>
      </c>
      <c r="E339" s="193" t="s">
        <v>61</v>
      </c>
      <c r="F339" s="661" t="s">
        <v>63</v>
      </c>
      <c r="G339" s="662" t="s">
        <v>69</v>
      </c>
      <c r="H339" s="662" t="s">
        <v>61</v>
      </c>
      <c r="I339" s="663" t="s">
        <v>515</v>
      </c>
      <c r="J339" s="193"/>
      <c r="K339" s="209">
        <v>595.6</v>
      </c>
      <c r="L339" s="209">
        <f>L340</f>
        <v>0</v>
      </c>
      <c r="M339" s="209">
        <f>M340</f>
        <v>595.6</v>
      </c>
      <c r="N339" s="553"/>
    </row>
    <row r="340" spans="1:14" s="465" customFormat="1" ht="54" customHeight="1">
      <c r="A340" s="194"/>
      <c r="B340" s="207" t="s">
        <v>105</v>
      </c>
      <c r="C340" s="208" t="s">
        <v>686</v>
      </c>
      <c r="D340" s="193" t="s">
        <v>263</v>
      </c>
      <c r="E340" s="193" t="s">
        <v>61</v>
      </c>
      <c r="F340" s="661" t="s">
        <v>63</v>
      </c>
      <c r="G340" s="662" t="s">
        <v>69</v>
      </c>
      <c r="H340" s="662" t="s">
        <v>61</v>
      </c>
      <c r="I340" s="663" t="s">
        <v>515</v>
      </c>
      <c r="J340" s="193" t="s">
        <v>106</v>
      </c>
      <c r="K340" s="209">
        <v>595.6</v>
      </c>
      <c r="L340" s="209">
        <f>M340-K340</f>
        <v>0</v>
      </c>
      <c r="M340" s="209">
        <f>595.6</f>
        <v>595.6</v>
      </c>
      <c r="N340" s="553"/>
    </row>
    <row r="341" spans="1:14" s="471" customFormat="1" ht="54" customHeight="1">
      <c r="A341" s="194"/>
      <c r="B341" s="207" t="s">
        <v>246</v>
      </c>
      <c r="C341" s="208" t="s">
        <v>686</v>
      </c>
      <c r="D341" s="193" t="s">
        <v>263</v>
      </c>
      <c r="E341" s="193" t="s">
        <v>61</v>
      </c>
      <c r="F341" s="661" t="s">
        <v>63</v>
      </c>
      <c r="G341" s="662" t="s">
        <v>69</v>
      </c>
      <c r="H341" s="662" t="s">
        <v>61</v>
      </c>
      <c r="I341" s="663" t="s">
        <v>335</v>
      </c>
      <c r="J341" s="193"/>
      <c r="K341" s="209">
        <v>19218.5</v>
      </c>
      <c r="L341" s="209">
        <f>L342</f>
        <v>0</v>
      </c>
      <c r="M341" s="209">
        <f>M342</f>
        <v>19218.5</v>
      </c>
      <c r="N341" s="552"/>
    </row>
    <row r="342" spans="1:14" s="471" customFormat="1" ht="54" customHeight="1">
      <c r="A342" s="194"/>
      <c r="B342" s="207" t="s">
        <v>105</v>
      </c>
      <c r="C342" s="208" t="s">
        <v>686</v>
      </c>
      <c r="D342" s="193" t="s">
        <v>263</v>
      </c>
      <c r="E342" s="193" t="s">
        <v>61</v>
      </c>
      <c r="F342" s="661" t="s">
        <v>63</v>
      </c>
      <c r="G342" s="662" t="s">
        <v>69</v>
      </c>
      <c r="H342" s="662" t="s">
        <v>61</v>
      </c>
      <c r="I342" s="663" t="s">
        <v>335</v>
      </c>
      <c r="J342" s="193" t="s">
        <v>106</v>
      </c>
      <c r="K342" s="209">
        <v>19218.5</v>
      </c>
      <c r="L342" s="209">
        <f>M342-K342</f>
        <v>0</v>
      </c>
      <c r="M342" s="209">
        <f>15914.1+2719.4+585</f>
        <v>19218.5</v>
      </c>
      <c r="N342" s="552"/>
    </row>
    <row r="343" spans="1:14" s="471" customFormat="1" ht="191.25" customHeight="1">
      <c r="A343" s="194"/>
      <c r="B343" s="207" t="s">
        <v>330</v>
      </c>
      <c r="C343" s="208" t="s">
        <v>686</v>
      </c>
      <c r="D343" s="193" t="s">
        <v>263</v>
      </c>
      <c r="E343" s="193" t="s">
        <v>61</v>
      </c>
      <c r="F343" s="661" t="s">
        <v>63</v>
      </c>
      <c r="G343" s="662" t="s">
        <v>69</v>
      </c>
      <c r="H343" s="662" t="s">
        <v>61</v>
      </c>
      <c r="I343" s="663" t="s">
        <v>331</v>
      </c>
      <c r="J343" s="193"/>
      <c r="K343" s="209">
        <v>522.1</v>
      </c>
      <c r="L343" s="209">
        <f>L344</f>
        <v>0</v>
      </c>
      <c r="M343" s="209">
        <f>M344</f>
        <v>522.1</v>
      </c>
      <c r="N343" s="552"/>
    </row>
    <row r="344" spans="1:14" s="471" customFormat="1" ht="54" customHeight="1">
      <c r="A344" s="194"/>
      <c r="B344" s="207" t="s">
        <v>105</v>
      </c>
      <c r="C344" s="208" t="s">
        <v>686</v>
      </c>
      <c r="D344" s="193" t="s">
        <v>263</v>
      </c>
      <c r="E344" s="193" t="s">
        <v>61</v>
      </c>
      <c r="F344" s="661" t="s">
        <v>63</v>
      </c>
      <c r="G344" s="662" t="s">
        <v>69</v>
      </c>
      <c r="H344" s="662" t="s">
        <v>61</v>
      </c>
      <c r="I344" s="663" t="s">
        <v>331</v>
      </c>
      <c r="J344" s="193" t="s">
        <v>106</v>
      </c>
      <c r="K344" s="209">
        <v>522.1</v>
      </c>
      <c r="L344" s="209">
        <f>M344-K344</f>
        <v>0</v>
      </c>
      <c r="M344" s="209">
        <v>522.1</v>
      </c>
    </row>
    <row r="345" spans="1:14" s="471" customFormat="1" ht="117" customHeight="1">
      <c r="A345" s="194"/>
      <c r="B345" s="207" t="s">
        <v>439</v>
      </c>
      <c r="C345" s="208" t="s">
        <v>686</v>
      </c>
      <c r="D345" s="193" t="s">
        <v>263</v>
      </c>
      <c r="E345" s="193" t="s">
        <v>61</v>
      </c>
      <c r="F345" s="661" t="s">
        <v>63</v>
      </c>
      <c r="G345" s="662" t="s">
        <v>69</v>
      </c>
      <c r="H345" s="662" t="s">
        <v>61</v>
      </c>
      <c r="I345" s="663" t="s">
        <v>332</v>
      </c>
      <c r="J345" s="193"/>
      <c r="K345" s="209">
        <v>214886.5</v>
      </c>
      <c r="L345" s="209">
        <f>L346</f>
        <v>0</v>
      </c>
      <c r="M345" s="209">
        <f>M346</f>
        <v>214886.5</v>
      </c>
    </row>
    <row r="346" spans="1:14" s="471" customFormat="1" ht="54" customHeight="1">
      <c r="A346" s="194"/>
      <c r="B346" s="207" t="s">
        <v>105</v>
      </c>
      <c r="C346" s="208" t="s">
        <v>686</v>
      </c>
      <c r="D346" s="193" t="s">
        <v>263</v>
      </c>
      <c r="E346" s="193" t="s">
        <v>61</v>
      </c>
      <c r="F346" s="661" t="s">
        <v>63</v>
      </c>
      <c r="G346" s="662" t="s">
        <v>69</v>
      </c>
      <c r="H346" s="662" t="s">
        <v>61</v>
      </c>
      <c r="I346" s="663" t="s">
        <v>332</v>
      </c>
      <c r="J346" s="193" t="s">
        <v>106</v>
      </c>
      <c r="K346" s="209">
        <v>214886.5</v>
      </c>
      <c r="L346" s="209">
        <f>M346-K346</f>
        <v>0</v>
      </c>
      <c r="M346" s="209">
        <v>214886.5</v>
      </c>
    </row>
    <row r="347" spans="1:14" s="471" customFormat="1" ht="20.45" customHeight="1">
      <c r="A347" s="194"/>
      <c r="B347" s="207" t="s">
        <v>97</v>
      </c>
      <c r="C347" s="208" t="s">
        <v>686</v>
      </c>
      <c r="D347" s="193" t="s">
        <v>263</v>
      </c>
      <c r="E347" s="193" t="s">
        <v>61</v>
      </c>
      <c r="F347" s="676" t="s">
        <v>63</v>
      </c>
      <c r="G347" s="677" t="s">
        <v>69</v>
      </c>
      <c r="H347" s="677" t="s">
        <v>61</v>
      </c>
      <c r="I347" s="678" t="s">
        <v>98</v>
      </c>
      <c r="J347" s="193"/>
      <c r="K347" s="209">
        <v>0</v>
      </c>
      <c r="L347" s="209">
        <f>L348</f>
        <v>67.352999999999994</v>
      </c>
      <c r="M347" s="209">
        <f>M348</f>
        <v>67.352999999999994</v>
      </c>
    </row>
    <row r="348" spans="1:14" s="471" customFormat="1" ht="54" customHeight="1">
      <c r="A348" s="194"/>
      <c r="B348" s="207" t="s">
        <v>105</v>
      </c>
      <c r="C348" s="208" t="s">
        <v>686</v>
      </c>
      <c r="D348" s="193" t="s">
        <v>263</v>
      </c>
      <c r="E348" s="193" t="s">
        <v>61</v>
      </c>
      <c r="F348" s="676" t="s">
        <v>63</v>
      </c>
      <c r="G348" s="677" t="s">
        <v>69</v>
      </c>
      <c r="H348" s="677" t="s">
        <v>61</v>
      </c>
      <c r="I348" s="678" t="s">
        <v>98</v>
      </c>
      <c r="J348" s="193" t="s">
        <v>106</v>
      </c>
      <c r="K348" s="209">
        <v>0</v>
      </c>
      <c r="L348" s="209">
        <f>M348-K348</f>
        <v>67.352999999999994</v>
      </c>
      <c r="M348" s="209">
        <f>67.353</f>
        <v>67.352999999999994</v>
      </c>
    </row>
    <row r="349" spans="1:14" s="471" customFormat="1" ht="54" customHeight="1">
      <c r="A349" s="194"/>
      <c r="B349" s="207" t="s">
        <v>774</v>
      </c>
      <c r="C349" s="208" t="s">
        <v>686</v>
      </c>
      <c r="D349" s="193" t="s">
        <v>263</v>
      </c>
      <c r="E349" s="193" t="s">
        <v>61</v>
      </c>
      <c r="F349" s="661" t="s">
        <v>63</v>
      </c>
      <c r="G349" s="662" t="s">
        <v>69</v>
      </c>
      <c r="H349" s="662" t="s">
        <v>61</v>
      </c>
      <c r="I349" s="663" t="s">
        <v>775</v>
      </c>
      <c r="J349" s="193"/>
      <c r="K349" s="209">
        <v>3025.9</v>
      </c>
      <c r="L349" s="209">
        <f>L350</f>
        <v>0</v>
      </c>
      <c r="M349" s="209">
        <f>M350</f>
        <v>3025.9</v>
      </c>
    </row>
    <row r="350" spans="1:14" s="471" customFormat="1" ht="54" customHeight="1">
      <c r="A350" s="194"/>
      <c r="B350" s="207" t="s">
        <v>105</v>
      </c>
      <c r="C350" s="208" t="s">
        <v>686</v>
      </c>
      <c r="D350" s="193" t="s">
        <v>263</v>
      </c>
      <c r="E350" s="193" t="s">
        <v>61</v>
      </c>
      <c r="F350" s="661" t="s">
        <v>63</v>
      </c>
      <c r="G350" s="662" t="s">
        <v>69</v>
      </c>
      <c r="H350" s="662" t="s">
        <v>61</v>
      </c>
      <c r="I350" s="663" t="s">
        <v>775</v>
      </c>
      <c r="J350" s="193" t="s">
        <v>106</v>
      </c>
      <c r="K350" s="209">
        <v>3025.9</v>
      </c>
      <c r="L350" s="209">
        <f>M350-K350</f>
        <v>0</v>
      </c>
      <c r="M350" s="209">
        <f>2874.4+151.5</f>
        <v>3025.9</v>
      </c>
    </row>
    <row r="351" spans="1:14" s="471" customFormat="1" ht="54" customHeight="1">
      <c r="A351" s="194"/>
      <c r="B351" s="207" t="s">
        <v>272</v>
      </c>
      <c r="C351" s="208" t="s">
        <v>686</v>
      </c>
      <c r="D351" s="193" t="s">
        <v>263</v>
      </c>
      <c r="E351" s="193" t="s">
        <v>61</v>
      </c>
      <c r="F351" s="661" t="s">
        <v>273</v>
      </c>
      <c r="G351" s="662" t="s">
        <v>66</v>
      </c>
      <c r="H351" s="662" t="s">
        <v>67</v>
      </c>
      <c r="I351" s="663" t="s">
        <v>68</v>
      </c>
      <c r="J351" s="193"/>
      <c r="K351" s="209">
        <v>51.3</v>
      </c>
      <c r="L351" s="209">
        <f t="shared" ref="L351:M354" si="71">L352</f>
        <v>0</v>
      </c>
      <c r="M351" s="209">
        <f t="shared" si="71"/>
        <v>51.3</v>
      </c>
    </row>
    <row r="352" spans="1:14" s="471" customFormat="1" ht="36" customHeight="1">
      <c r="A352" s="194"/>
      <c r="B352" s="207" t="s">
        <v>428</v>
      </c>
      <c r="C352" s="208" t="s">
        <v>686</v>
      </c>
      <c r="D352" s="193" t="s">
        <v>263</v>
      </c>
      <c r="E352" s="193" t="s">
        <v>61</v>
      </c>
      <c r="F352" s="661" t="s">
        <v>273</v>
      </c>
      <c r="G352" s="662" t="s">
        <v>69</v>
      </c>
      <c r="H352" s="662" t="s">
        <v>67</v>
      </c>
      <c r="I352" s="663" t="s">
        <v>68</v>
      </c>
      <c r="J352" s="193"/>
      <c r="K352" s="209">
        <v>51.3</v>
      </c>
      <c r="L352" s="209">
        <f t="shared" si="71"/>
        <v>0</v>
      </c>
      <c r="M352" s="209">
        <f t="shared" si="71"/>
        <v>51.3</v>
      </c>
    </row>
    <row r="353" spans="1:13" s="471" customFormat="1" ht="57" customHeight="1">
      <c r="A353" s="194"/>
      <c r="B353" s="207" t="s">
        <v>348</v>
      </c>
      <c r="C353" s="208" t="s">
        <v>686</v>
      </c>
      <c r="D353" s="193" t="s">
        <v>263</v>
      </c>
      <c r="E353" s="193" t="s">
        <v>61</v>
      </c>
      <c r="F353" s="661" t="s">
        <v>273</v>
      </c>
      <c r="G353" s="662" t="s">
        <v>69</v>
      </c>
      <c r="H353" s="662" t="s">
        <v>61</v>
      </c>
      <c r="I353" s="663" t="s">
        <v>68</v>
      </c>
      <c r="J353" s="193"/>
      <c r="K353" s="209">
        <v>51.3</v>
      </c>
      <c r="L353" s="209">
        <f t="shared" si="71"/>
        <v>0</v>
      </c>
      <c r="M353" s="209">
        <f t="shared" si="71"/>
        <v>51.3</v>
      </c>
    </row>
    <row r="354" spans="1:13" s="471" customFormat="1" ht="36" customHeight="1">
      <c r="A354" s="194"/>
      <c r="B354" s="207" t="s">
        <v>274</v>
      </c>
      <c r="C354" s="208" t="s">
        <v>686</v>
      </c>
      <c r="D354" s="193" t="s">
        <v>263</v>
      </c>
      <c r="E354" s="193" t="s">
        <v>61</v>
      </c>
      <c r="F354" s="661" t="s">
        <v>273</v>
      </c>
      <c r="G354" s="662" t="s">
        <v>69</v>
      </c>
      <c r="H354" s="662" t="s">
        <v>61</v>
      </c>
      <c r="I354" s="663" t="s">
        <v>342</v>
      </c>
      <c r="J354" s="193"/>
      <c r="K354" s="209">
        <v>51.3</v>
      </c>
      <c r="L354" s="209">
        <f t="shared" si="71"/>
        <v>0</v>
      </c>
      <c r="M354" s="209">
        <f t="shared" si="71"/>
        <v>51.3</v>
      </c>
    </row>
    <row r="355" spans="1:13" s="471" customFormat="1" ht="54" customHeight="1">
      <c r="A355" s="194"/>
      <c r="B355" s="207" t="s">
        <v>105</v>
      </c>
      <c r="C355" s="208" t="s">
        <v>686</v>
      </c>
      <c r="D355" s="193" t="s">
        <v>263</v>
      </c>
      <c r="E355" s="193" t="s">
        <v>61</v>
      </c>
      <c r="F355" s="661" t="s">
        <v>273</v>
      </c>
      <c r="G355" s="662" t="s">
        <v>69</v>
      </c>
      <c r="H355" s="662" t="s">
        <v>61</v>
      </c>
      <c r="I355" s="663" t="s">
        <v>342</v>
      </c>
      <c r="J355" s="193" t="s">
        <v>106</v>
      </c>
      <c r="K355" s="209">
        <v>51.3</v>
      </c>
      <c r="L355" s="209">
        <f>M355-K355</f>
        <v>0</v>
      </c>
      <c r="M355" s="209">
        <v>51.3</v>
      </c>
    </row>
    <row r="356" spans="1:13" s="471" customFormat="1" ht="18" customHeight="1">
      <c r="A356" s="194"/>
      <c r="B356" s="207" t="s">
        <v>222</v>
      </c>
      <c r="C356" s="208" t="s">
        <v>686</v>
      </c>
      <c r="D356" s="193" t="s">
        <v>263</v>
      </c>
      <c r="E356" s="193" t="s">
        <v>63</v>
      </c>
      <c r="F356" s="661"/>
      <c r="G356" s="662"/>
      <c r="H356" s="662"/>
      <c r="I356" s="663"/>
      <c r="J356" s="193"/>
      <c r="K356" s="209">
        <v>516272.61899000005</v>
      </c>
      <c r="L356" s="209">
        <f>L357</f>
        <v>3880.2389999999996</v>
      </c>
      <c r="M356" s="209">
        <f>M357</f>
        <v>520152.85799000005</v>
      </c>
    </row>
    <row r="357" spans="1:13" s="471" customFormat="1" ht="54" customHeight="1">
      <c r="A357" s="194"/>
      <c r="B357" s="207" t="s">
        <v>244</v>
      </c>
      <c r="C357" s="208" t="s">
        <v>686</v>
      </c>
      <c r="D357" s="193" t="s">
        <v>263</v>
      </c>
      <c r="E357" s="193" t="s">
        <v>63</v>
      </c>
      <c r="F357" s="661" t="s">
        <v>63</v>
      </c>
      <c r="G357" s="662" t="s">
        <v>66</v>
      </c>
      <c r="H357" s="662" t="s">
        <v>67</v>
      </c>
      <c r="I357" s="663" t="s">
        <v>68</v>
      </c>
      <c r="J357" s="193"/>
      <c r="K357" s="209">
        <v>516272.61899000005</v>
      </c>
      <c r="L357" s="209">
        <f>L358+L400</f>
        <v>3880.2389999999996</v>
      </c>
      <c r="M357" s="209">
        <f>M358+M400</f>
        <v>520152.85799000005</v>
      </c>
    </row>
    <row r="358" spans="1:13" s="471" customFormat="1" ht="36" customHeight="1">
      <c r="A358" s="194"/>
      <c r="B358" s="207" t="s">
        <v>245</v>
      </c>
      <c r="C358" s="208" t="s">
        <v>686</v>
      </c>
      <c r="D358" s="193" t="s">
        <v>263</v>
      </c>
      <c r="E358" s="193" t="s">
        <v>63</v>
      </c>
      <c r="F358" s="661" t="s">
        <v>63</v>
      </c>
      <c r="G358" s="662" t="s">
        <v>69</v>
      </c>
      <c r="H358" s="662" t="s">
        <v>67</v>
      </c>
      <c r="I358" s="663" t="s">
        <v>68</v>
      </c>
      <c r="J358" s="193"/>
      <c r="K358" s="209">
        <v>511611.21899000002</v>
      </c>
      <c r="L358" s="209">
        <f>L359+L391+L396</f>
        <v>3880.2389999999996</v>
      </c>
      <c r="M358" s="209">
        <f>M359+M391+M396</f>
        <v>515491.45799000002</v>
      </c>
    </row>
    <row r="359" spans="1:13" s="471" customFormat="1" ht="18.75">
      <c r="A359" s="194"/>
      <c r="B359" s="207" t="s">
        <v>334</v>
      </c>
      <c r="C359" s="208" t="s">
        <v>686</v>
      </c>
      <c r="D359" s="193" t="s">
        <v>263</v>
      </c>
      <c r="E359" s="193" t="s">
        <v>63</v>
      </c>
      <c r="F359" s="661" t="s">
        <v>63</v>
      </c>
      <c r="G359" s="662" t="s">
        <v>69</v>
      </c>
      <c r="H359" s="662" t="s">
        <v>63</v>
      </c>
      <c r="I359" s="663" t="s">
        <v>68</v>
      </c>
      <c r="J359" s="193"/>
      <c r="K359" s="209">
        <v>496542.01899000001</v>
      </c>
      <c r="L359" s="209">
        <f>L368+L371+L375+L379+L383+L360+L365+L389+L386</f>
        <v>3880.2389999999996</v>
      </c>
      <c r="M359" s="209">
        <f>M368+M371+M375+M379+M383+M360+M365+M389+M386</f>
        <v>500422.25799000001</v>
      </c>
    </row>
    <row r="360" spans="1:13" s="465" customFormat="1" ht="93.75">
      <c r="A360" s="194"/>
      <c r="B360" s="207" t="s">
        <v>121</v>
      </c>
      <c r="C360" s="208" t="s">
        <v>686</v>
      </c>
      <c r="D360" s="193" t="s">
        <v>263</v>
      </c>
      <c r="E360" s="193" t="s">
        <v>63</v>
      </c>
      <c r="F360" s="661" t="s">
        <v>63</v>
      </c>
      <c r="G360" s="662" t="s">
        <v>69</v>
      </c>
      <c r="H360" s="662" t="s">
        <v>63</v>
      </c>
      <c r="I360" s="663" t="s">
        <v>123</v>
      </c>
      <c r="J360" s="193"/>
      <c r="K360" s="209">
        <v>56215.818990000007</v>
      </c>
      <c r="L360" s="209">
        <f>L363+L364+L362+L361</f>
        <v>-2.2737367544323206E-13</v>
      </c>
      <c r="M360" s="209">
        <f>M363+M364+M362+M361</f>
        <v>56215.81899</v>
      </c>
    </row>
    <row r="361" spans="1:13" s="465" customFormat="1" ht="112.5">
      <c r="A361" s="194"/>
      <c r="B361" s="207" t="s">
        <v>73</v>
      </c>
      <c r="C361" s="208" t="s">
        <v>686</v>
      </c>
      <c r="D361" s="193" t="s">
        <v>263</v>
      </c>
      <c r="E361" s="193" t="s">
        <v>63</v>
      </c>
      <c r="F361" s="661" t="s">
        <v>63</v>
      </c>
      <c r="G361" s="662" t="s">
        <v>69</v>
      </c>
      <c r="H361" s="662" t="s">
        <v>63</v>
      </c>
      <c r="I361" s="663" t="s">
        <v>123</v>
      </c>
      <c r="J361" s="193" t="s">
        <v>74</v>
      </c>
      <c r="K361" s="209">
        <v>1985.2</v>
      </c>
      <c r="L361" s="209">
        <f t="shared" ref="L361:L367" si="72">M361-K361</f>
        <v>0</v>
      </c>
      <c r="M361" s="209">
        <v>1985.2</v>
      </c>
    </row>
    <row r="362" spans="1:13" s="465" customFormat="1" ht="56.25">
      <c r="A362" s="194"/>
      <c r="B362" s="207" t="s">
        <v>79</v>
      </c>
      <c r="C362" s="208" t="s">
        <v>686</v>
      </c>
      <c r="D362" s="193" t="s">
        <v>263</v>
      </c>
      <c r="E362" s="193" t="s">
        <v>63</v>
      </c>
      <c r="F362" s="661" t="s">
        <v>63</v>
      </c>
      <c r="G362" s="662" t="s">
        <v>69</v>
      </c>
      <c r="H362" s="662" t="s">
        <v>63</v>
      </c>
      <c r="I362" s="663" t="s">
        <v>123</v>
      </c>
      <c r="J362" s="193" t="s">
        <v>80</v>
      </c>
      <c r="K362" s="209">
        <v>4201.6145800000004</v>
      </c>
      <c r="L362" s="209">
        <f t="shared" si="72"/>
        <v>-0.3000000000001819</v>
      </c>
      <c r="M362" s="209">
        <f>1723.1+1827.9+34.2604+597.90418+18.45-0.3</f>
        <v>4201.3145800000002</v>
      </c>
    </row>
    <row r="363" spans="1:13" s="465" customFormat="1" ht="56.25">
      <c r="A363" s="194"/>
      <c r="B363" s="207" t="s">
        <v>105</v>
      </c>
      <c r="C363" s="208" t="s">
        <v>686</v>
      </c>
      <c r="D363" s="193" t="s">
        <v>263</v>
      </c>
      <c r="E363" s="193" t="s">
        <v>63</v>
      </c>
      <c r="F363" s="661" t="s">
        <v>63</v>
      </c>
      <c r="G363" s="662" t="s">
        <v>69</v>
      </c>
      <c r="H363" s="662" t="s">
        <v>63</v>
      </c>
      <c r="I363" s="663" t="s">
        <v>123</v>
      </c>
      <c r="J363" s="193" t="s">
        <v>106</v>
      </c>
      <c r="K363" s="209">
        <v>49428.104410000007</v>
      </c>
      <c r="L363" s="209">
        <f t="shared" si="72"/>
        <v>0</v>
      </c>
      <c r="M363" s="209">
        <f>3531+3833.3+5503.5+36312.3-109-69.1+128.32765+3.3+294.47676</f>
        <v>49428.104410000007</v>
      </c>
    </row>
    <row r="364" spans="1:13" s="465" customFormat="1" ht="18.75">
      <c r="A364" s="194"/>
      <c r="B364" s="207" t="s">
        <v>81</v>
      </c>
      <c r="C364" s="208" t="s">
        <v>686</v>
      </c>
      <c r="D364" s="193" t="s">
        <v>263</v>
      </c>
      <c r="E364" s="193" t="s">
        <v>63</v>
      </c>
      <c r="F364" s="661" t="s">
        <v>63</v>
      </c>
      <c r="G364" s="662" t="s">
        <v>69</v>
      </c>
      <c r="H364" s="662" t="s">
        <v>63</v>
      </c>
      <c r="I364" s="663" t="s">
        <v>123</v>
      </c>
      <c r="J364" s="193" t="s">
        <v>82</v>
      </c>
      <c r="K364" s="209">
        <v>600.9</v>
      </c>
      <c r="L364" s="209">
        <f t="shared" si="72"/>
        <v>0.29999999999995453</v>
      </c>
      <c r="M364" s="209">
        <f>599.8+1.1+0.3</f>
        <v>601.19999999999993</v>
      </c>
    </row>
    <row r="365" spans="1:13" s="465" customFormat="1" ht="37.5">
      <c r="A365" s="194"/>
      <c r="B365" s="207" t="s">
        <v>516</v>
      </c>
      <c r="C365" s="208" t="s">
        <v>686</v>
      </c>
      <c r="D365" s="193" t="s">
        <v>263</v>
      </c>
      <c r="E365" s="193" t="s">
        <v>63</v>
      </c>
      <c r="F365" s="661" t="s">
        <v>63</v>
      </c>
      <c r="G365" s="662" t="s">
        <v>69</v>
      </c>
      <c r="H365" s="662" t="s">
        <v>63</v>
      </c>
      <c r="I365" s="663" t="s">
        <v>515</v>
      </c>
      <c r="J365" s="193"/>
      <c r="K365" s="209">
        <v>553.79999999999995</v>
      </c>
      <c r="L365" s="209">
        <f>L367+L366</f>
        <v>1879.9999999999995</v>
      </c>
      <c r="M365" s="209">
        <f>M367+M366</f>
        <v>2433.7999999999997</v>
      </c>
    </row>
    <row r="366" spans="1:13" s="465" customFormat="1" ht="37.9" customHeight="1">
      <c r="A366" s="194"/>
      <c r="B366" s="207" t="s">
        <v>79</v>
      </c>
      <c r="C366" s="208" t="s">
        <v>686</v>
      </c>
      <c r="D366" s="193" t="s">
        <v>263</v>
      </c>
      <c r="E366" s="193" t="s">
        <v>63</v>
      </c>
      <c r="F366" s="670" t="s">
        <v>63</v>
      </c>
      <c r="G366" s="671" t="s">
        <v>69</v>
      </c>
      <c r="H366" s="671" t="s">
        <v>63</v>
      </c>
      <c r="I366" s="672" t="s">
        <v>515</v>
      </c>
      <c r="J366" s="193" t="s">
        <v>80</v>
      </c>
      <c r="K366" s="209">
        <v>0</v>
      </c>
      <c r="L366" s="209">
        <f t="shared" si="72"/>
        <v>706.9</v>
      </c>
      <c r="M366" s="209">
        <f>50+550+106.9</f>
        <v>706.9</v>
      </c>
    </row>
    <row r="367" spans="1:13" s="465" customFormat="1" ht="56.25">
      <c r="A367" s="194"/>
      <c r="B367" s="207" t="s">
        <v>105</v>
      </c>
      <c r="C367" s="208" t="s">
        <v>686</v>
      </c>
      <c r="D367" s="193" t="s">
        <v>263</v>
      </c>
      <c r="E367" s="193" t="s">
        <v>63</v>
      </c>
      <c r="F367" s="661" t="s">
        <v>63</v>
      </c>
      <c r="G367" s="662" t="s">
        <v>69</v>
      </c>
      <c r="H367" s="662" t="s">
        <v>63</v>
      </c>
      <c r="I367" s="663" t="s">
        <v>515</v>
      </c>
      <c r="J367" s="193" t="s">
        <v>106</v>
      </c>
      <c r="K367" s="209">
        <v>553.79999999999995</v>
      </c>
      <c r="L367" s="209">
        <f t="shared" si="72"/>
        <v>1173.0999999999997</v>
      </c>
      <c r="M367" s="209">
        <f>553.8+382+451.4+166.1+173.6</f>
        <v>1726.8999999999996</v>
      </c>
    </row>
    <row r="368" spans="1:13" s="471" customFormat="1" ht="56.25">
      <c r="A368" s="194"/>
      <c r="B368" s="207" t="s">
        <v>246</v>
      </c>
      <c r="C368" s="208" t="s">
        <v>686</v>
      </c>
      <c r="D368" s="193" t="s">
        <v>263</v>
      </c>
      <c r="E368" s="193" t="s">
        <v>63</v>
      </c>
      <c r="F368" s="661" t="s">
        <v>63</v>
      </c>
      <c r="G368" s="662" t="s">
        <v>69</v>
      </c>
      <c r="H368" s="662" t="s">
        <v>63</v>
      </c>
      <c r="I368" s="663" t="s">
        <v>335</v>
      </c>
      <c r="J368" s="193"/>
      <c r="K368" s="209">
        <v>19649.099999999995</v>
      </c>
      <c r="L368" s="209">
        <f t="shared" ref="L368:M368" si="73">SUM(L369:L370)</f>
        <v>0</v>
      </c>
      <c r="M368" s="209">
        <f t="shared" si="73"/>
        <v>19649.099999999995</v>
      </c>
    </row>
    <row r="369" spans="1:13" s="471" customFormat="1" ht="56.25">
      <c r="A369" s="194"/>
      <c r="B369" s="207" t="s">
        <v>79</v>
      </c>
      <c r="C369" s="208" t="s">
        <v>686</v>
      </c>
      <c r="D369" s="193" t="s">
        <v>263</v>
      </c>
      <c r="E369" s="193" t="s">
        <v>63</v>
      </c>
      <c r="F369" s="661" t="s">
        <v>63</v>
      </c>
      <c r="G369" s="662" t="s">
        <v>69</v>
      </c>
      <c r="H369" s="662" t="s">
        <v>63</v>
      </c>
      <c r="I369" s="663" t="s">
        <v>335</v>
      </c>
      <c r="J369" s="193" t="s">
        <v>80</v>
      </c>
      <c r="K369" s="209">
        <v>2478.1</v>
      </c>
      <c r="L369" s="209">
        <f t="shared" ref="L369:L370" si="74">M369-K369</f>
        <v>0</v>
      </c>
      <c r="M369" s="209">
        <f>1768.2+384.4+325.5-106+106</f>
        <v>2478.1</v>
      </c>
    </row>
    <row r="370" spans="1:13" s="471" customFormat="1" ht="56.25">
      <c r="A370" s="194"/>
      <c r="B370" s="207" t="s">
        <v>105</v>
      </c>
      <c r="C370" s="208" t="s">
        <v>686</v>
      </c>
      <c r="D370" s="193" t="s">
        <v>263</v>
      </c>
      <c r="E370" s="193" t="s">
        <v>63</v>
      </c>
      <c r="F370" s="661" t="s">
        <v>63</v>
      </c>
      <c r="G370" s="662" t="s">
        <v>69</v>
      </c>
      <c r="H370" s="662" t="s">
        <v>63</v>
      </c>
      <c r="I370" s="663" t="s">
        <v>335</v>
      </c>
      <c r="J370" s="193" t="s">
        <v>106</v>
      </c>
      <c r="K370" s="209">
        <v>17170.999999999996</v>
      </c>
      <c r="L370" s="209">
        <f t="shared" si="74"/>
        <v>0</v>
      </c>
      <c r="M370" s="209">
        <f>16844.3+165.6+161.1</f>
        <v>17170.999999999996</v>
      </c>
    </row>
    <row r="371" spans="1:13" s="471" customFormat="1" ht="37.5">
      <c r="A371" s="194"/>
      <c r="B371" s="207" t="s">
        <v>247</v>
      </c>
      <c r="C371" s="208" t="s">
        <v>686</v>
      </c>
      <c r="D371" s="193" t="s">
        <v>263</v>
      </c>
      <c r="E371" s="193" t="s">
        <v>63</v>
      </c>
      <c r="F371" s="661" t="s">
        <v>63</v>
      </c>
      <c r="G371" s="662" t="s">
        <v>69</v>
      </c>
      <c r="H371" s="662" t="s">
        <v>63</v>
      </c>
      <c r="I371" s="663" t="s">
        <v>336</v>
      </c>
      <c r="J371" s="193"/>
      <c r="K371" s="209">
        <v>10258.299999999999</v>
      </c>
      <c r="L371" s="209">
        <f>SUM(L372:L374)</f>
        <v>449.1</v>
      </c>
      <c r="M371" s="209">
        <f>SUM(M372:M374)</f>
        <v>10707.4</v>
      </c>
    </row>
    <row r="372" spans="1:13" s="471" customFormat="1" ht="56.25">
      <c r="A372" s="194"/>
      <c r="B372" s="207" t="s">
        <v>79</v>
      </c>
      <c r="C372" s="208" t="s">
        <v>686</v>
      </c>
      <c r="D372" s="193" t="s">
        <v>263</v>
      </c>
      <c r="E372" s="193" t="s">
        <v>63</v>
      </c>
      <c r="F372" s="661" t="s">
        <v>63</v>
      </c>
      <c r="G372" s="662" t="s">
        <v>69</v>
      </c>
      <c r="H372" s="662" t="s">
        <v>63</v>
      </c>
      <c r="I372" s="663" t="s">
        <v>336</v>
      </c>
      <c r="J372" s="193" t="s">
        <v>80</v>
      </c>
      <c r="K372" s="209">
        <v>302.39999999999998</v>
      </c>
      <c r="L372" s="209">
        <f t="shared" ref="L372:L374" si="75">M372-K372</f>
        <v>449.1</v>
      </c>
      <c r="M372" s="209">
        <f>171.2+117.8+13.4+343.1+106</f>
        <v>751.5</v>
      </c>
    </row>
    <row r="373" spans="1:13" s="471" customFormat="1" ht="56.25">
      <c r="A373" s="194"/>
      <c r="B373" s="371" t="s">
        <v>242</v>
      </c>
      <c r="C373" s="208" t="s">
        <v>686</v>
      </c>
      <c r="D373" s="193" t="s">
        <v>263</v>
      </c>
      <c r="E373" s="193" t="s">
        <v>63</v>
      </c>
      <c r="F373" s="661" t="s">
        <v>63</v>
      </c>
      <c r="G373" s="662" t="s">
        <v>69</v>
      </c>
      <c r="H373" s="662" t="s">
        <v>63</v>
      </c>
      <c r="I373" s="663" t="s">
        <v>336</v>
      </c>
      <c r="J373" s="193" t="s">
        <v>243</v>
      </c>
      <c r="K373" s="209">
        <v>1088.0999999999999</v>
      </c>
      <c r="L373" s="209">
        <f t="shared" si="75"/>
        <v>0</v>
      </c>
      <c r="M373" s="209">
        <f>1088.1</f>
        <v>1088.0999999999999</v>
      </c>
    </row>
    <row r="374" spans="1:13" s="471" customFormat="1" ht="56.25">
      <c r="A374" s="194"/>
      <c r="B374" s="207" t="s">
        <v>105</v>
      </c>
      <c r="C374" s="208" t="s">
        <v>686</v>
      </c>
      <c r="D374" s="193" t="s">
        <v>263</v>
      </c>
      <c r="E374" s="193" t="s">
        <v>63</v>
      </c>
      <c r="F374" s="661" t="s">
        <v>63</v>
      </c>
      <c r="G374" s="662" t="s">
        <v>69</v>
      </c>
      <c r="H374" s="662" t="s">
        <v>63</v>
      </c>
      <c r="I374" s="663" t="s">
        <v>336</v>
      </c>
      <c r="J374" s="193" t="s">
        <v>106</v>
      </c>
      <c r="K374" s="209">
        <v>8867.7999999999993</v>
      </c>
      <c r="L374" s="209">
        <f t="shared" si="75"/>
        <v>0</v>
      </c>
      <c r="M374" s="209">
        <f>5019.9+3847.9</f>
        <v>8867.7999999999993</v>
      </c>
    </row>
    <row r="375" spans="1:13" s="471" customFormat="1" ht="189" customHeight="1">
      <c r="A375" s="194"/>
      <c r="B375" s="207" t="s">
        <v>330</v>
      </c>
      <c r="C375" s="208" t="s">
        <v>686</v>
      </c>
      <c r="D375" s="193" t="s">
        <v>263</v>
      </c>
      <c r="E375" s="193" t="s">
        <v>63</v>
      </c>
      <c r="F375" s="661" t="s">
        <v>63</v>
      </c>
      <c r="G375" s="662" t="s">
        <v>69</v>
      </c>
      <c r="H375" s="662" t="s">
        <v>63</v>
      </c>
      <c r="I375" s="663" t="s">
        <v>331</v>
      </c>
      <c r="J375" s="193"/>
      <c r="K375" s="209">
        <v>1633.8</v>
      </c>
      <c r="L375" s="209">
        <f>SUM(L376:L378)</f>
        <v>0</v>
      </c>
      <c r="M375" s="209">
        <f>SUM(M376:M378)</f>
        <v>1633.8</v>
      </c>
    </row>
    <row r="376" spans="1:13" s="471" customFormat="1" ht="112.5">
      <c r="A376" s="194"/>
      <c r="B376" s="207" t="s">
        <v>73</v>
      </c>
      <c r="C376" s="208" t="s">
        <v>686</v>
      </c>
      <c r="D376" s="193" t="s">
        <v>263</v>
      </c>
      <c r="E376" s="193" t="s">
        <v>63</v>
      </c>
      <c r="F376" s="661" t="s">
        <v>63</v>
      </c>
      <c r="G376" s="662" t="s">
        <v>69</v>
      </c>
      <c r="H376" s="662" t="s">
        <v>63</v>
      </c>
      <c r="I376" s="663" t="s">
        <v>331</v>
      </c>
      <c r="J376" s="193" t="s">
        <v>74</v>
      </c>
      <c r="K376" s="209">
        <v>115.8</v>
      </c>
      <c r="L376" s="209">
        <f t="shared" ref="L376:L378" si="76">M376-K376</f>
        <v>0</v>
      </c>
      <c r="M376" s="209">
        <v>115.8</v>
      </c>
    </row>
    <row r="377" spans="1:13" s="471" customFormat="1" ht="37.5">
      <c r="A377" s="194"/>
      <c r="B377" s="207" t="s">
        <v>152</v>
      </c>
      <c r="C377" s="208" t="s">
        <v>686</v>
      </c>
      <c r="D377" s="193" t="s">
        <v>263</v>
      </c>
      <c r="E377" s="193" t="s">
        <v>63</v>
      </c>
      <c r="F377" s="661" t="s">
        <v>63</v>
      </c>
      <c r="G377" s="662" t="s">
        <v>69</v>
      </c>
      <c r="H377" s="662" t="s">
        <v>63</v>
      </c>
      <c r="I377" s="663" t="s">
        <v>331</v>
      </c>
      <c r="J377" s="193" t="s">
        <v>153</v>
      </c>
      <c r="K377" s="209">
        <v>13.9</v>
      </c>
      <c r="L377" s="209">
        <f t="shared" si="76"/>
        <v>0</v>
      </c>
      <c r="M377" s="209">
        <v>13.9</v>
      </c>
    </row>
    <row r="378" spans="1:13" s="471" customFormat="1" ht="56.25">
      <c r="A378" s="194"/>
      <c r="B378" s="207" t="s">
        <v>105</v>
      </c>
      <c r="C378" s="208" t="s">
        <v>686</v>
      </c>
      <c r="D378" s="193" t="s">
        <v>263</v>
      </c>
      <c r="E378" s="193" t="s">
        <v>63</v>
      </c>
      <c r="F378" s="661" t="s">
        <v>63</v>
      </c>
      <c r="G378" s="662" t="s">
        <v>69</v>
      </c>
      <c r="H378" s="662" t="s">
        <v>63</v>
      </c>
      <c r="I378" s="663" t="s">
        <v>331</v>
      </c>
      <c r="J378" s="193" t="s">
        <v>106</v>
      </c>
      <c r="K378" s="209">
        <v>1504.1</v>
      </c>
      <c r="L378" s="209">
        <f t="shared" si="76"/>
        <v>0</v>
      </c>
      <c r="M378" s="209">
        <v>1504.1</v>
      </c>
    </row>
    <row r="379" spans="1:13" s="471" customFormat="1" ht="115.5" customHeight="1">
      <c r="A379" s="194"/>
      <c r="B379" s="207" t="s">
        <v>439</v>
      </c>
      <c r="C379" s="208" t="s">
        <v>686</v>
      </c>
      <c r="D379" s="193" t="s">
        <v>263</v>
      </c>
      <c r="E379" s="193" t="s">
        <v>63</v>
      </c>
      <c r="F379" s="661" t="s">
        <v>63</v>
      </c>
      <c r="G379" s="662" t="s">
        <v>69</v>
      </c>
      <c r="H379" s="662" t="s">
        <v>63</v>
      </c>
      <c r="I379" s="663" t="s">
        <v>332</v>
      </c>
      <c r="J379" s="193"/>
      <c r="K379" s="209">
        <v>404437.8</v>
      </c>
      <c r="L379" s="209">
        <f>L380+L381+L382</f>
        <v>0</v>
      </c>
      <c r="M379" s="209">
        <f>M380+M381+M382</f>
        <v>404437.8</v>
      </c>
    </row>
    <row r="380" spans="1:13" s="471" customFormat="1" ht="112.5">
      <c r="A380" s="194"/>
      <c r="B380" s="207" t="s">
        <v>73</v>
      </c>
      <c r="C380" s="208" t="s">
        <v>686</v>
      </c>
      <c r="D380" s="193" t="s">
        <v>263</v>
      </c>
      <c r="E380" s="193" t="s">
        <v>63</v>
      </c>
      <c r="F380" s="661" t="s">
        <v>63</v>
      </c>
      <c r="G380" s="662" t="s">
        <v>69</v>
      </c>
      <c r="H380" s="662" t="s">
        <v>63</v>
      </c>
      <c r="I380" s="663" t="s">
        <v>332</v>
      </c>
      <c r="J380" s="193" t="s">
        <v>74</v>
      </c>
      <c r="K380" s="209">
        <v>30026.5</v>
      </c>
      <c r="L380" s="209">
        <f t="shared" ref="L380:L382" si="77">M380-K380</f>
        <v>0</v>
      </c>
      <c r="M380" s="209">
        <v>30026.5</v>
      </c>
    </row>
    <row r="381" spans="1:13" s="471" customFormat="1" ht="56.25">
      <c r="A381" s="194"/>
      <c r="B381" s="207" t="s">
        <v>79</v>
      </c>
      <c r="C381" s="208" t="s">
        <v>686</v>
      </c>
      <c r="D381" s="193" t="s">
        <v>263</v>
      </c>
      <c r="E381" s="193" t="s">
        <v>63</v>
      </c>
      <c r="F381" s="661" t="s">
        <v>63</v>
      </c>
      <c r="G381" s="662" t="s">
        <v>69</v>
      </c>
      <c r="H381" s="662" t="s">
        <v>63</v>
      </c>
      <c r="I381" s="663" t="s">
        <v>332</v>
      </c>
      <c r="J381" s="193" t="s">
        <v>80</v>
      </c>
      <c r="K381" s="209">
        <v>1762.8</v>
      </c>
      <c r="L381" s="209">
        <f t="shared" si="77"/>
        <v>0</v>
      </c>
      <c r="M381" s="209">
        <v>1762.8</v>
      </c>
    </row>
    <row r="382" spans="1:13" s="471" customFormat="1" ht="56.25">
      <c r="A382" s="194"/>
      <c r="B382" s="207" t="s">
        <v>105</v>
      </c>
      <c r="C382" s="208" t="s">
        <v>686</v>
      </c>
      <c r="D382" s="193" t="s">
        <v>263</v>
      </c>
      <c r="E382" s="193" t="s">
        <v>63</v>
      </c>
      <c r="F382" s="661" t="s">
        <v>63</v>
      </c>
      <c r="G382" s="662" t="s">
        <v>69</v>
      </c>
      <c r="H382" s="662" t="s">
        <v>63</v>
      </c>
      <c r="I382" s="663" t="s">
        <v>332</v>
      </c>
      <c r="J382" s="193" t="s">
        <v>106</v>
      </c>
      <c r="K382" s="209">
        <v>372648.5</v>
      </c>
      <c r="L382" s="209">
        <f t="shared" si="77"/>
        <v>0</v>
      </c>
      <c r="M382" s="209">
        <v>372648.5</v>
      </c>
    </row>
    <row r="383" spans="1:13" s="465" customFormat="1" ht="93.75">
      <c r="A383" s="194"/>
      <c r="B383" s="207" t="s">
        <v>248</v>
      </c>
      <c r="C383" s="208" t="s">
        <v>686</v>
      </c>
      <c r="D383" s="193" t="s">
        <v>263</v>
      </c>
      <c r="E383" s="193" t="s">
        <v>63</v>
      </c>
      <c r="F383" s="661" t="s">
        <v>63</v>
      </c>
      <c r="G383" s="662" t="s">
        <v>69</v>
      </c>
      <c r="H383" s="662" t="s">
        <v>63</v>
      </c>
      <c r="I383" s="663" t="s">
        <v>337</v>
      </c>
      <c r="J383" s="193"/>
      <c r="K383" s="209">
        <v>3793.4</v>
      </c>
      <c r="L383" s="209">
        <f t="shared" ref="L383:M383" si="78">SUM(L384:L385)</f>
        <v>0</v>
      </c>
      <c r="M383" s="209">
        <f t="shared" si="78"/>
        <v>3793.4</v>
      </c>
    </row>
    <row r="384" spans="1:13" s="465" customFormat="1" ht="56.25">
      <c r="A384" s="194"/>
      <c r="B384" s="207" t="s">
        <v>79</v>
      </c>
      <c r="C384" s="208" t="s">
        <v>686</v>
      </c>
      <c r="D384" s="193" t="s">
        <v>263</v>
      </c>
      <c r="E384" s="193" t="s">
        <v>63</v>
      </c>
      <c r="F384" s="661" t="s">
        <v>63</v>
      </c>
      <c r="G384" s="662" t="s">
        <v>69</v>
      </c>
      <c r="H384" s="662" t="s">
        <v>63</v>
      </c>
      <c r="I384" s="663" t="s">
        <v>337</v>
      </c>
      <c r="J384" s="193" t="s">
        <v>80</v>
      </c>
      <c r="K384" s="209">
        <v>183.9</v>
      </c>
      <c r="L384" s="209">
        <f t="shared" ref="L384:L390" si="79">M384-K384</f>
        <v>0</v>
      </c>
      <c r="M384" s="209">
        <v>183.9</v>
      </c>
    </row>
    <row r="385" spans="1:13" s="465" customFormat="1" ht="56.25">
      <c r="A385" s="194"/>
      <c r="B385" s="207" t="s">
        <v>105</v>
      </c>
      <c r="C385" s="208" t="s">
        <v>686</v>
      </c>
      <c r="D385" s="193" t="s">
        <v>263</v>
      </c>
      <c r="E385" s="193" t="s">
        <v>63</v>
      </c>
      <c r="F385" s="661" t="s">
        <v>63</v>
      </c>
      <c r="G385" s="662" t="s">
        <v>69</v>
      </c>
      <c r="H385" s="662" t="s">
        <v>63</v>
      </c>
      <c r="I385" s="663" t="s">
        <v>337</v>
      </c>
      <c r="J385" s="193" t="s">
        <v>106</v>
      </c>
      <c r="K385" s="209">
        <v>3609.5</v>
      </c>
      <c r="L385" s="209">
        <f t="shared" si="79"/>
        <v>0</v>
      </c>
      <c r="M385" s="209">
        <v>3609.5</v>
      </c>
    </row>
    <row r="386" spans="1:13" s="465" customFormat="1" ht="56.25">
      <c r="A386" s="194"/>
      <c r="B386" s="207" t="s">
        <v>929</v>
      </c>
      <c r="C386" s="208" t="s">
        <v>686</v>
      </c>
      <c r="D386" s="193" t="s">
        <v>263</v>
      </c>
      <c r="E386" s="193" t="s">
        <v>63</v>
      </c>
      <c r="F386" s="761" t="s">
        <v>63</v>
      </c>
      <c r="G386" s="762" t="s">
        <v>69</v>
      </c>
      <c r="H386" s="762" t="s">
        <v>63</v>
      </c>
      <c r="I386" s="763" t="s">
        <v>934</v>
      </c>
      <c r="J386" s="193"/>
      <c r="K386" s="209"/>
      <c r="L386" s="209">
        <f>L387+L388</f>
        <v>1450</v>
      </c>
      <c r="M386" s="209">
        <f>M387+M388</f>
        <v>1450</v>
      </c>
    </row>
    <row r="387" spans="1:13" s="465" customFormat="1" ht="56.25">
      <c r="A387" s="194"/>
      <c r="B387" s="207" t="s">
        <v>79</v>
      </c>
      <c r="C387" s="208" t="s">
        <v>686</v>
      </c>
      <c r="D387" s="193" t="s">
        <v>263</v>
      </c>
      <c r="E387" s="193" t="s">
        <v>63</v>
      </c>
      <c r="F387" s="761" t="s">
        <v>63</v>
      </c>
      <c r="G387" s="762" t="s">
        <v>69</v>
      </c>
      <c r="H387" s="762" t="s">
        <v>63</v>
      </c>
      <c r="I387" s="763" t="s">
        <v>934</v>
      </c>
      <c r="J387" s="193" t="s">
        <v>80</v>
      </c>
      <c r="K387" s="209"/>
      <c r="L387" s="209">
        <f t="shared" si="79"/>
        <v>600</v>
      </c>
      <c r="M387" s="209">
        <f>600</f>
        <v>600</v>
      </c>
    </row>
    <row r="388" spans="1:13" s="465" customFormat="1" ht="56.25">
      <c r="A388" s="194"/>
      <c r="B388" s="207" t="s">
        <v>105</v>
      </c>
      <c r="C388" s="208" t="s">
        <v>686</v>
      </c>
      <c r="D388" s="193" t="s">
        <v>263</v>
      </c>
      <c r="E388" s="193" t="s">
        <v>63</v>
      </c>
      <c r="F388" s="761" t="s">
        <v>63</v>
      </c>
      <c r="G388" s="762" t="s">
        <v>69</v>
      </c>
      <c r="H388" s="762" t="s">
        <v>63</v>
      </c>
      <c r="I388" s="763" t="s">
        <v>934</v>
      </c>
      <c r="J388" s="193" t="s">
        <v>106</v>
      </c>
      <c r="K388" s="209"/>
      <c r="L388" s="209">
        <f t="shared" si="79"/>
        <v>850</v>
      </c>
      <c r="M388" s="209">
        <f>850</f>
        <v>850</v>
      </c>
    </row>
    <row r="389" spans="1:13" s="465" customFormat="1" ht="27.6" customHeight="1">
      <c r="A389" s="194"/>
      <c r="B389" s="207" t="s">
        <v>97</v>
      </c>
      <c r="C389" s="208" t="s">
        <v>686</v>
      </c>
      <c r="D389" s="193" t="s">
        <v>263</v>
      </c>
      <c r="E389" s="193" t="s">
        <v>63</v>
      </c>
      <c r="F389" s="676" t="s">
        <v>63</v>
      </c>
      <c r="G389" s="677" t="s">
        <v>69</v>
      </c>
      <c r="H389" s="677" t="s">
        <v>63</v>
      </c>
      <c r="I389" s="678" t="s">
        <v>98</v>
      </c>
      <c r="J389" s="193"/>
      <c r="K389" s="209">
        <f>K390</f>
        <v>0</v>
      </c>
      <c r="L389" s="209">
        <f>L390</f>
        <v>101.139</v>
      </c>
      <c r="M389" s="209">
        <f>M390</f>
        <v>101.139</v>
      </c>
    </row>
    <row r="390" spans="1:13" s="465" customFormat="1" ht="56.25">
      <c r="A390" s="194"/>
      <c r="B390" s="207" t="s">
        <v>105</v>
      </c>
      <c r="C390" s="208" t="s">
        <v>686</v>
      </c>
      <c r="D390" s="193" t="s">
        <v>263</v>
      </c>
      <c r="E390" s="193" t="s">
        <v>63</v>
      </c>
      <c r="F390" s="676" t="s">
        <v>63</v>
      </c>
      <c r="G390" s="677" t="s">
        <v>69</v>
      </c>
      <c r="H390" s="677" t="s">
        <v>63</v>
      </c>
      <c r="I390" s="678" t="s">
        <v>98</v>
      </c>
      <c r="J390" s="193" t="s">
        <v>106</v>
      </c>
      <c r="K390" s="209">
        <v>0</v>
      </c>
      <c r="L390" s="209">
        <f t="shared" si="79"/>
        <v>101.139</v>
      </c>
      <c r="M390" s="209">
        <f>101.139</f>
        <v>101.139</v>
      </c>
    </row>
    <row r="391" spans="1:13" s="471" customFormat="1" ht="18.75">
      <c r="A391" s="194"/>
      <c r="B391" s="207" t="s">
        <v>776</v>
      </c>
      <c r="C391" s="208" t="s">
        <v>686</v>
      </c>
      <c r="D391" s="193" t="s">
        <v>263</v>
      </c>
      <c r="E391" s="193" t="s">
        <v>63</v>
      </c>
      <c r="F391" s="661" t="s">
        <v>63</v>
      </c>
      <c r="G391" s="662" t="s">
        <v>69</v>
      </c>
      <c r="H391" s="662" t="s">
        <v>777</v>
      </c>
      <c r="I391" s="663" t="s">
        <v>68</v>
      </c>
      <c r="J391" s="193"/>
      <c r="K391" s="209">
        <v>11441.2</v>
      </c>
      <c r="L391" s="209">
        <f>L394+L392</f>
        <v>0</v>
      </c>
      <c r="M391" s="209">
        <f>M394+M392</f>
        <v>11441.2</v>
      </c>
    </row>
    <row r="392" spans="1:13" s="471" customFormat="1" ht="131.25">
      <c r="A392" s="194"/>
      <c r="B392" s="207" t="s">
        <v>870</v>
      </c>
      <c r="C392" s="208" t="s">
        <v>686</v>
      </c>
      <c r="D392" s="193" t="s">
        <v>263</v>
      </c>
      <c r="E392" s="193" t="s">
        <v>63</v>
      </c>
      <c r="F392" s="661" t="s">
        <v>63</v>
      </c>
      <c r="G392" s="662" t="s">
        <v>69</v>
      </c>
      <c r="H392" s="662" t="s">
        <v>777</v>
      </c>
      <c r="I392" s="663" t="s">
        <v>865</v>
      </c>
      <c r="J392" s="193"/>
      <c r="K392" s="209">
        <v>2303.1999999999998</v>
      </c>
      <c r="L392" s="209">
        <f>L393</f>
        <v>0</v>
      </c>
      <c r="M392" s="209">
        <f>M393</f>
        <v>2303.1999999999998</v>
      </c>
    </row>
    <row r="393" spans="1:13" s="471" customFormat="1" ht="56.25">
      <c r="A393" s="194"/>
      <c r="B393" s="207" t="s">
        <v>105</v>
      </c>
      <c r="C393" s="208" t="s">
        <v>686</v>
      </c>
      <c r="D393" s="193" t="s">
        <v>263</v>
      </c>
      <c r="E393" s="193" t="s">
        <v>63</v>
      </c>
      <c r="F393" s="661" t="s">
        <v>63</v>
      </c>
      <c r="G393" s="662" t="s">
        <v>69</v>
      </c>
      <c r="H393" s="662" t="s">
        <v>777</v>
      </c>
      <c r="I393" s="663" t="s">
        <v>865</v>
      </c>
      <c r="J393" s="193" t="s">
        <v>106</v>
      </c>
      <c r="K393" s="209">
        <v>2303.1999999999998</v>
      </c>
      <c r="L393" s="209">
        <f>M393-K393</f>
        <v>0</v>
      </c>
      <c r="M393" s="209">
        <f>69.1+2234.1</f>
        <v>2303.1999999999998</v>
      </c>
    </row>
    <row r="394" spans="1:13" s="471" customFormat="1" ht="138" customHeight="1">
      <c r="A394" s="194"/>
      <c r="B394" s="634" t="s">
        <v>873</v>
      </c>
      <c r="C394" s="208" t="s">
        <v>686</v>
      </c>
      <c r="D394" s="193" t="s">
        <v>263</v>
      </c>
      <c r="E394" s="193" t="s">
        <v>63</v>
      </c>
      <c r="F394" s="661" t="s">
        <v>63</v>
      </c>
      <c r="G394" s="662" t="s">
        <v>69</v>
      </c>
      <c r="H394" s="662" t="s">
        <v>777</v>
      </c>
      <c r="I394" s="663" t="s">
        <v>866</v>
      </c>
      <c r="J394" s="193"/>
      <c r="K394" s="209">
        <v>9138</v>
      </c>
      <c r="L394" s="209">
        <f>L395</f>
        <v>0</v>
      </c>
      <c r="M394" s="209">
        <f>M395</f>
        <v>9138</v>
      </c>
    </row>
    <row r="395" spans="1:13" s="471" customFormat="1" ht="56.25">
      <c r="A395" s="194"/>
      <c r="B395" s="207" t="s">
        <v>105</v>
      </c>
      <c r="C395" s="208" t="s">
        <v>686</v>
      </c>
      <c r="D395" s="193" t="s">
        <v>263</v>
      </c>
      <c r="E395" s="193" t="s">
        <v>63</v>
      </c>
      <c r="F395" s="661" t="s">
        <v>63</v>
      </c>
      <c r="G395" s="662" t="s">
        <v>69</v>
      </c>
      <c r="H395" s="662" t="s">
        <v>777</v>
      </c>
      <c r="I395" s="663" t="s">
        <v>866</v>
      </c>
      <c r="J395" s="193" t="s">
        <v>106</v>
      </c>
      <c r="K395" s="209">
        <v>9138</v>
      </c>
      <c r="L395" s="209">
        <f>M395-K395</f>
        <v>0</v>
      </c>
      <c r="M395" s="209">
        <f>8863.7+274.3</f>
        <v>9138</v>
      </c>
    </row>
    <row r="396" spans="1:13" s="471" customFormat="1" ht="37.5">
      <c r="A396" s="194"/>
      <c r="B396" s="207" t="s">
        <v>868</v>
      </c>
      <c r="C396" s="208" t="s">
        <v>686</v>
      </c>
      <c r="D396" s="193" t="s">
        <v>263</v>
      </c>
      <c r="E396" s="193" t="s">
        <v>63</v>
      </c>
      <c r="F396" s="661" t="s">
        <v>63</v>
      </c>
      <c r="G396" s="662" t="s">
        <v>69</v>
      </c>
      <c r="H396" s="662" t="s">
        <v>867</v>
      </c>
      <c r="I396" s="663" t="s">
        <v>68</v>
      </c>
      <c r="J396" s="193"/>
      <c r="K396" s="209">
        <v>3628</v>
      </c>
      <c r="L396" s="209">
        <f>L397</f>
        <v>0</v>
      </c>
      <c r="M396" s="209">
        <f>M397</f>
        <v>3628</v>
      </c>
    </row>
    <row r="397" spans="1:13" s="471" customFormat="1" ht="75">
      <c r="A397" s="194"/>
      <c r="B397" s="207" t="s">
        <v>869</v>
      </c>
      <c r="C397" s="208" t="s">
        <v>686</v>
      </c>
      <c r="D397" s="193" t="s">
        <v>263</v>
      </c>
      <c r="E397" s="193" t="s">
        <v>63</v>
      </c>
      <c r="F397" s="661" t="s">
        <v>63</v>
      </c>
      <c r="G397" s="662" t="s">
        <v>69</v>
      </c>
      <c r="H397" s="662" t="s">
        <v>867</v>
      </c>
      <c r="I397" s="663" t="s">
        <v>775</v>
      </c>
      <c r="J397" s="193"/>
      <c r="K397" s="209">
        <v>3628</v>
      </c>
      <c r="L397" s="209">
        <f>L398+L399</f>
        <v>0</v>
      </c>
      <c r="M397" s="209">
        <f>M398+M399</f>
        <v>3628</v>
      </c>
    </row>
    <row r="398" spans="1:13" s="471" customFormat="1" ht="56.25">
      <c r="A398" s="194"/>
      <c r="B398" s="207" t="s">
        <v>79</v>
      </c>
      <c r="C398" s="208" t="s">
        <v>686</v>
      </c>
      <c r="D398" s="193" t="s">
        <v>263</v>
      </c>
      <c r="E398" s="193" t="s">
        <v>63</v>
      </c>
      <c r="F398" s="661" t="s">
        <v>63</v>
      </c>
      <c r="G398" s="662" t="s">
        <v>69</v>
      </c>
      <c r="H398" s="662" t="s">
        <v>867</v>
      </c>
      <c r="I398" s="663" t="s">
        <v>775</v>
      </c>
      <c r="J398" s="193" t="s">
        <v>80</v>
      </c>
      <c r="K398" s="209">
        <v>1554.1000000000001</v>
      </c>
      <c r="L398" s="209">
        <f t="shared" ref="L398:L399" si="80">M398-K398</f>
        <v>0</v>
      </c>
      <c r="M398" s="209">
        <f>1507.4+46.7</f>
        <v>1554.1000000000001</v>
      </c>
    </row>
    <row r="399" spans="1:13" s="471" customFormat="1" ht="56.25">
      <c r="A399" s="194"/>
      <c r="B399" s="207" t="s">
        <v>105</v>
      </c>
      <c r="C399" s="208" t="s">
        <v>686</v>
      </c>
      <c r="D399" s="193" t="s">
        <v>263</v>
      </c>
      <c r="E399" s="193" t="s">
        <v>63</v>
      </c>
      <c r="F399" s="661" t="s">
        <v>63</v>
      </c>
      <c r="G399" s="662" t="s">
        <v>69</v>
      </c>
      <c r="H399" s="662" t="s">
        <v>867</v>
      </c>
      <c r="I399" s="663" t="s">
        <v>775</v>
      </c>
      <c r="J399" s="193" t="s">
        <v>106</v>
      </c>
      <c r="K399" s="209">
        <v>2073.9</v>
      </c>
      <c r="L399" s="209">
        <f t="shared" si="80"/>
        <v>0</v>
      </c>
      <c r="M399" s="209">
        <f>2011.6+62.3</f>
        <v>2073.9</v>
      </c>
    </row>
    <row r="400" spans="1:13" s="471" customFormat="1" ht="56.25">
      <c r="A400" s="194"/>
      <c r="B400" s="207" t="s">
        <v>251</v>
      </c>
      <c r="C400" s="208" t="s">
        <v>686</v>
      </c>
      <c r="D400" s="193" t="s">
        <v>263</v>
      </c>
      <c r="E400" s="193" t="s">
        <v>63</v>
      </c>
      <c r="F400" s="661" t="s">
        <v>63</v>
      </c>
      <c r="G400" s="662" t="s">
        <v>54</v>
      </c>
      <c r="H400" s="662" t="s">
        <v>67</v>
      </c>
      <c r="I400" s="663" t="s">
        <v>68</v>
      </c>
      <c r="J400" s="193"/>
      <c r="K400" s="209">
        <v>4661.4000000000005</v>
      </c>
      <c r="L400" s="209">
        <f t="shared" ref="L400:M401" si="81">L401</f>
        <v>0</v>
      </c>
      <c r="M400" s="209">
        <f t="shared" si="81"/>
        <v>4661.4000000000005</v>
      </c>
    </row>
    <row r="401" spans="1:25" s="471" customFormat="1" ht="37.5">
      <c r="A401" s="194"/>
      <c r="B401" s="207" t="s">
        <v>344</v>
      </c>
      <c r="C401" s="208" t="s">
        <v>686</v>
      </c>
      <c r="D401" s="193" t="s">
        <v>263</v>
      </c>
      <c r="E401" s="193" t="s">
        <v>63</v>
      </c>
      <c r="F401" s="661" t="s">
        <v>63</v>
      </c>
      <c r="G401" s="662" t="s">
        <v>54</v>
      </c>
      <c r="H401" s="662" t="s">
        <v>61</v>
      </c>
      <c r="I401" s="663" t="s">
        <v>68</v>
      </c>
      <c r="J401" s="193"/>
      <c r="K401" s="209">
        <v>4661.4000000000005</v>
      </c>
      <c r="L401" s="209">
        <f t="shared" si="81"/>
        <v>0</v>
      </c>
      <c r="M401" s="209">
        <f t="shared" si="81"/>
        <v>4661.4000000000005</v>
      </c>
    </row>
    <row r="402" spans="1:25" s="471" customFormat="1" ht="261.75" customHeight="1">
      <c r="A402" s="194"/>
      <c r="B402" s="207" t="s">
        <v>792</v>
      </c>
      <c r="C402" s="208" t="s">
        <v>686</v>
      </c>
      <c r="D402" s="193" t="s">
        <v>263</v>
      </c>
      <c r="E402" s="193" t="s">
        <v>63</v>
      </c>
      <c r="F402" s="661" t="s">
        <v>63</v>
      </c>
      <c r="G402" s="662" t="s">
        <v>54</v>
      </c>
      <c r="H402" s="662" t="s">
        <v>61</v>
      </c>
      <c r="I402" s="663" t="s">
        <v>440</v>
      </c>
      <c r="J402" s="193"/>
      <c r="K402" s="209">
        <v>4661.4000000000005</v>
      </c>
      <c r="L402" s="209">
        <f>L404+L403</f>
        <v>0</v>
      </c>
      <c r="M402" s="209">
        <f>M404+M403</f>
        <v>4661.4000000000005</v>
      </c>
    </row>
    <row r="403" spans="1:25" s="471" customFormat="1" ht="112.5">
      <c r="A403" s="194"/>
      <c r="B403" s="207" t="s">
        <v>73</v>
      </c>
      <c r="C403" s="208" t="s">
        <v>686</v>
      </c>
      <c r="D403" s="193" t="s">
        <v>263</v>
      </c>
      <c r="E403" s="193" t="s">
        <v>63</v>
      </c>
      <c r="F403" s="661" t="s">
        <v>63</v>
      </c>
      <c r="G403" s="662" t="s">
        <v>54</v>
      </c>
      <c r="H403" s="662" t="s">
        <v>61</v>
      </c>
      <c r="I403" s="663" t="s">
        <v>440</v>
      </c>
      <c r="J403" s="193" t="s">
        <v>74</v>
      </c>
      <c r="K403" s="209">
        <v>29.8</v>
      </c>
      <c r="L403" s="209">
        <f t="shared" ref="L403:L404" si="82">M403-K403</f>
        <v>0</v>
      </c>
      <c r="M403" s="209">
        <v>29.8</v>
      </c>
    </row>
    <row r="404" spans="1:25" s="471" customFormat="1" ht="56.25">
      <c r="A404" s="194"/>
      <c r="B404" s="207" t="s">
        <v>105</v>
      </c>
      <c r="C404" s="208" t="s">
        <v>686</v>
      </c>
      <c r="D404" s="193" t="s">
        <v>263</v>
      </c>
      <c r="E404" s="193" t="s">
        <v>63</v>
      </c>
      <c r="F404" s="661" t="s">
        <v>63</v>
      </c>
      <c r="G404" s="662" t="s">
        <v>54</v>
      </c>
      <c r="H404" s="662" t="s">
        <v>61</v>
      </c>
      <c r="I404" s="663" t="s">
        <v>440</v>
      </c>
      <c r="J404" s="193" t="s">
        <v>106</v>
      </c>
      <c r="K404" s="209">
        <v>4631.6000000000004</v>
      </c>
      <c r="L404" s="209">
        <f t="shared" si="82"/>
        <v>0</v>
      </c>
      <c r="M404" s="209">
        <f>2713.9+1917.7</f>
        <v>4631.6000000000004</v>
      </c>
    </row>
    <row r="405" spans="1:25" s="471" customFormat="1" ht="18.75">
      <c r="A405" s="194"/>
      <c r="B405" s="207" t="s">
        <v>448</v>
      </c>
      <c r="C405" s="208" t="s">
        <v>686</v>
      </c>
      <c r="D405" s="193" t="s">
        <v>263</v>
      </c>
      <c r="E405" s="193" t="s">
        <v>89</v>
      </c>
      <c r="F405" s="661"/>
      <c r="G405" s="662"/>
      <c r="H405" s="662"/>
      <c r="I405" s="663"/>
      <c r="J405" s="193"/>
      <c r="K405" s="209">
        <v>52145.0219</v>
      </c>
      <c r="L405" s="209">
        <f>L406</f>
        <v>-56.04</v>
      </c>
      <c r="M405" s="209">
        <f>M406</f>
        <v>52088.981899999999</v>
      </c>
    </row>
    <row r="406" spans="1:25" s="471" customFormat="1" ht="56.25">
      <c r="A406" s="194"/>
      <c r="B406" s="376" t="s">
        <v>244</v>
      </c>
      <c r="C406" s="208" t="s">
        <v>686</v>
      </c>
      <c r="D406" s="193" t="s">
        <v>263</v>
      </c>
      <c r="E406" s="193" t="s">
        <v>89</v>
      </c>
      <c r="F406" s="661" t="s">
        <v>63</v>
      </c>
      <c r="G406" s="662" t="s">
        <v>66</v>
      </c>
      <c r="H406" s="662" t="s">
        <v>67</v>
      </c>
      <c r="I406" s="663" t="s">
        <v>68</v>
      </c>
      <c r="J406" s="193"/>
      <c r="K406" s="209">
        <v>52145.0219</v>
      </c>
      <c r="L406" s="209">
        <f t="shared" ref="L406:M406" si="83">L407</f>
        <v>-56.04</v>
      </c>
      <c r="M406" s="209">
        <f t="shared" si="83"/>
        <v>52088.981899999999</v>
      </c>
    </row>
    <row r="407" spans="1:25" s="471" customFormat="1" ht="24" customHeight="1">
      <c r="A407" s="194"/>
      <c r="B407" s="207" t="s">
        <v>249</v>
      </c>
      <c r="C407" s="208" t="s">
        <v>686</v>
      </c>
      <c r="D407" s="193" t="s">
        <v>263</v>
      </c>
      <c r="E407" s="193" t="s">
        <v>89</v>
      </c>
      <c r="F407" s="661" t="s">
        <v>63</v>
      </c>
      <c r="G407" s="662" t="s">
        <v>120</v>
      </c>
      <c r="H407" s="662" t="s">
        <v>67</v>
      </c>
      <c r="I407" s="663" t="s">
        <v>68</v>
      </c>
      <c r="J407" s="193"/>
      <c r="K407" s="209">
        <v>52145.0219</v>
      </c>
      <c r="L407" s="209">
        <f>L408</f>
        <v>-56.04</v>
      </c>
      <c r="M407" s="209">
        <f>M408</f>
        <v>52088.981899999999</v>
      </c>
    </row>
    <row r="408" spans="1:25" s="471" customFormat="1" ht="37.5">
      <c r="A408" s="194"/>
      <c r="B408" s="207" t="s">
        <v>338</v>
      </c>
      <c r="C408" s="208" t="s">
        <v>686</v>
      </c>
      <c r="D408" s="193" t="s">
        <v>263</v>
      </c>
      <c r="E408" s="193" t="s">
        <v>89</v>
      </c>
      <c r="F408" s="661" t="s">
        <v>63</v>
      </c>
      <c r="G408" s="662" t="s">
        <v>120</v>
      </c>
      <c r="H408" s="662" t="s">
        <v>61</v>
      </c>
      <c r="I408" s="663" t="s">
        <v>68</v>
      </c>
      <c r="J408" s="193"/>
      <c r="K408" s="209">
        <v>52145.0219</v>
      </c>
      <c r="L408" s="209">
        <f>L409+L417+L419+L414+L421</f>
        <v>-56.04</v>
      </c>
      <c r="M408" s="209">
        <f>M409+M417+M419+M414+M421</f>
        <v>52088.981899999999</v>
      </c>
    </row>
    <row r="409" spans="1:25" s="471" customFormat="1" ht="93.75">
      <c r="A409" s="194"/>
      <c r="B409" s="207" t="s">
        <v>121</v>
      </c>
      <c r="C409" s="208" t="s">
        <v>686</v>
      </c>
      <c r="D409" s="193" t="s">
        <v>263</v>
      </c>
      <c r="E409" s="193" t="s">
        <v>89</v>
      </c>
      <c r="F409" s="661" t="s">
        <v>63</v>
      </c>
      <c r="G409" s="662" t="s">
        <v>120</v>
      </c>
      <c r="H409" s="662" t="s">
        <v>61</v>
      </c>
      <c r="I409" s="663" t="s">
        <v>123</v>
      </c>
      <c r="J409" s="193"/>
      <c r="K409" s="209">
        <v>44308.821899999995</v>
      </c>
      <c r="L409" s="209">
        <f>L412+L410+L411+L413</f>
        <v>-56.04</v>
      </c>
      <c r="M409" s="209">
        <f>M412+M410+M411+M413</f>
        <v>44252.781899999994</v>
      </c>
    </row>
    <row r="410" spans="1:25" s="471" customFormat="1" ht="112.5">
      <c r="A410" s="194"/>
      <c r="B410" s="207" t="s">
        <v>73</v>
      </c>
      <c r="C410" s="208" t="s">
        <v>686</v>
      </c>
      <c r="D410" s="193" t="s">
        <v>263</v>
      </c>
      <c r="E410" s="193" t="s">
        <v>89</v>
      </c>
      <c r="F410" s="661" t="s">
        <v>63</v>
      </c>
      <c r="G410" s="662" t="s">
        <v>120</v>
      </c>
      <c r="H410" s="662" t="s">
        <v>61</v>
      </c>
      <c r="I410" s="663" t="s">
        <v>123</v>
      </c>
      <c r="J410" s="193" t="s">
        <v>74</v>
      </c>
      <c r="K410" s="209">
        <v>23754.399999999998</v>
      </c>
      <c r="L410" s="209">
        <f t="shared" ref="L410:L413" si="84">M410-K410</f>
        <v>0</v>
      </c>
      <c r="M410" s="209">
        <f>23425.6+328.8</f>
        <v>23754.399999999998</v>
      </c>
    </row>
    <row r="411" spans="1:25" s="471" customFormat="1" ht="56.25">
      <c r="A411" s="194"/>
      <c r="B411" s="207" t="s">
        <v>79</v>
      </c>
      <c r="C411" s="208" t="s">
        <v>686</v>
      </c>
      <c r="D411" s="193" t="s">
        <v>263</v>
      </c>
      <c r="E411" s="193" t="s">
        <v>89</v>
      </c>
      <c r="F411" s="661" t="s">
        <v>63</v>
      </c>
      <c r="G411" s="662" t="s">
        <v>120</v>
      </c>
      <c r="H411" s="662" t="s">
        <v>61</v>
      </c>
      <c r="I411" s="663" t="s">
        <v>123</v>
      </c>
      <c r="J411" s="193" t="s">
        <v>80</v>
      </c>
      <c r="K411" s="209">
        <v>1792.7219</v>
      </c>
      <c r="L411" s="209">
        <f t="shared" si="84"/>
        <v>-54</v>
      </c>
      <c r="M411" s="209">
        <f>747.5+1006.5+21.1769+17.545-54</f>
        <v>1738.7219</v>
      </c>
    </row>
    <row r="412" spans="1:25" s="471" customFormat="1" ht="56.25">
      <c r="A412" s="194"/>
      <c r="B412" s="207" t="s">
        <v>105</v>
      </c>
      <c r="C412" s="208" t="s">
        <v>686</v>
      </c>
      <c r="D412" s="193" t="s">
        <v>263</v>
      </c>
      <c r="E412" s="193" t="s">
        <v>89</v>
      </c>
      <c r="F412" s="661" t="s">
        <v>63</v>
      </c>
      <c r="G412" s="662" t="s">
        <v>120</v>
      </c>
      <c r="H412" s="662" t="s">
        <v>61</v>
      </c>
      <c r="I412" s="663" t="s">
        <v>123</v>
      </c>
      <c r="J412" s="193" t="s">
        <v>106</v>
      </c>
      <c r="K412" s="209">
        <v>18695.7</v>
      </c>
      <c r="L412" s="209">
        <f t="shared" si="84"/>
        <v>0</v>
      </c>
      <c r="M412" s="209">
        <f>17194.2+181.9+705.5+605.6+8.5</f>
        <v>18695.7</v>
      </c>
    </row>
    <row r="413" spans="1:25" s="471" customFormat="1" ht="18.75">
      <c r="A413" s="194"/>
      <c r="B413" s="207" t="s">
        <v>81</v>
      </c>
      <c r="C413" s="208" t="s">
        <v>686</v>
      </c>
      <c r="D413" s="193" t="s">
        <v>263</v>
      </c>
      <c r="E413" s="193" t="s">
        <v>89</v>
      </c>
      <c r="F413" s="661" t="s">
        <v>63</v>
      </c>
      <c r="G413" s="662" t="s">
        <v>120</v>
      </c>
      <c r="H413" s="662" t="s">
        <v>61</v>
      </c>
      <c r="I413" s="663" t="s">
        <v>123</v>
      </c>
      <c r="J413" s="193" t="s">
        <v>82</v>
      </c>
      <c r="K413" s="209">
        <v>66</v>
      </c>
      <c r="L413" s="209">
        <f t="shared" si="84"/>
        <v>-2.0399999999999991</v>
      </c>
      <c r="M413" s="209">
        <f>56.9+9.1-2.04</f>
        <v>63.96</v>
      </c>
    </row>
    <row r="414" spans="1:25" s="471" customFormat="1" ht="56.25">
      <c r="A414" s="194"/>
      <c r="B414" s="207" t="s">
        <v>246</v>
      </c>
      <c r="C414" s="208" t="s">
        <v>686</v>
      </c>
      <c r="D414" s="193" t="s">
        <v>263</v>
      </c>
      <c r="E414" s="193" t="s">
        <v>89</v>
      </c>
      <c r="F414" s="661" t="s">
        <v>63</v>
      </c>
      <c r="G414" s="662" t="s">
        <v>120</v>
      </c>
      <c r="H414" s="662" t="s">
        <v>61</v>
      </c>
      <c r="I414" s="663" t="s">
        <v>335</v>
      </c>
      <c r="J414" s="193"/>
      <c r="K414" s="209">
        <v>1277</v>
      </c>
      <c r="L414" s="209">
        <f>L416+L415</f>
        <v>0</v>
      </c>
      <c r="M414" s="209">
        <f>M416+M415</f>
        <v>1277</v>
      </c>
    </row>
    <row r="415" spans="1:25" s="471" customFormat="1" ht="56.25">
      <c r="A415" s="194"/>
      <c r="B415" s="207" t="s">
        <v>79</v>
      </c>
      <c r="C415" s="208" t="s">
        <v>686</v>
      </c>
      <c r="D415" s="193" t="s">
        <v>263</v>
      </c>
      <c r="E415" s="193" t="s">
        <v>89</v>
      </c>
      <c r="F415" s="661" t="s">
        <v>63</v>
      </c>
      <c r="G415" s="662" t="s">
        <v>120</v>
      </c>
      <c r="H415" s="662" t="s">
        <v>61</v>
      </c>
      <c r="I415" s="663" t="s">
        <v>335</v>
      </c>
      <c r="J415" s="193" t="s">
        <v>80</v>
      </c>
      <c r="K415" s="209">
        <v>779.19999999999993</v>
      </c>
      <c r="L415" s="209">
        <f t="shared" ref="L415:L416" si="85">M415-K415</f>
        <v>0</v>
      </c>
      <c r="M415" s="209">
        <f>567.8+211.4</f>
        <v>779.19999999999993</v>
      </c>
    </row>
    <row r="416" spans="1:25" s="471" customFormat="1" ht="56.25">
      <c r="A416" s="194"/>
      <c r="B416" s="376" t="s">
        <v>105</v>
      </c>
      <c r="C416" s="208" t="s">
        <v>686</v>
      </c>
      <c r="D416" s="193" t="s">
        <v>263</v>
      </c>
      <c r="E416" s="193" t="s">
        <v>89</v>
      </c>
      <c r="F416" s="661" t="s">
        <v>63</v>
      </c>
      <c r="G416" s="662" t="s">
        <v>120</v>
      </c>
      <c r="H416" s="662" t="s">
        <v>61</v>
      </c>
      <c r="I416" s="663" t="s">
        <v>335</v>
      </c>
      <c r="J416" s="193" t="s">
        <v>106</v>
      </c>
      <c r="K416" s="209">
        <v>497.8</v>
      </c>
      <c r="L416" s="209">
        <f t="shared" si="85"/>
        <v>0</v>
      </c>
      <c r="M416" s="209">
        <v>497.8</v>
      </c>
      <c r="X416" s="701"/>
      <c r="Y416" s="701"/>
    </row>
    <row r="417" spans="1:13" s="471" customFormat="1" ht="193.5" customHeight="1">
      <c r="A417" s="194"/>
      <c r="B417" s="207" t="s">
        <v>794</v>
      </c>
      <c r="C417" s="208" t="s">
        <v>686</v>
      </c>
      <c r="D417" s="193" t="s">
        <v>263</v>
      </c>
      <c r="E417" s="193" t="s">
        <v>89</v>
      </c>
      <c r="F417" s="661" t="s">
        <v>63</v>
      </c>
      <c r="G417" s="662" t="s">
        <v>120</v>
      </c>
      <c r="H417" s="662" t="s">
        <v>61</v>
      </c>
      <c r="I417" s="663" t="s">
        <v>578</v>
      </c>
      <c r="J417" s="193"/>
      <c r="K417" s="209">
        <v>125</v>
      </c>
      <c r="L417" s="209">
        <f>L418</f>
        <v>0</v>
      </c>
      <c r="M417" s="209">
        <f>M418</f>
        <v>125</v>
      </c>
    </row>
    <row r="418" spans="1:13" s="471" customFormat="1" ht="112.5">
      <c r="A418" s="194"/>
      <c r="B418" s="207" t="s">
        <v>73</v>
      </c>
      <c r="C418" s="208" t="s">
        <v>686</v>
      </c>
      <c r="D418" s="193" t="s">
        <v>263</v>
      </c>
      <c r="E418" s="193" t="s">
        <v>89</v>
      </c>
      <c r="F418" s="661" t="s">
        <v>63</v>
      </c>
      <c r="G418" s="662" t="s">
        <v>120</v>
      </c>
      <c r="H418" s="662" t="s">
        <v>61</v>
      </c>
      <c r="I418" s="663" t="s">
        <v>578</v>
      </c>
      <c r="J418" s="193" t="s">
        <v>74</v>
      </c>
      <c r="K418" s="209">
        <v>125</v>
      </c>
      <c r="L418" s="209">
        <f>M418-K418</f>
        <v>0</v>
      </c>
      <c r="M418" s="209">
        <v>125</v>
      </c>
    </row>
    <row r="419" spans="1:13" s="471" customFormat="1" ht="192" customHeight="1">
      <c r="A419" s="194"/>
      <c r="B419" s="207" t="s">
        <v>330</v>
      </c>
      <c r="C419" s="208" t="s">
        <v>686</v>
      </c>
      <c r="D419" s="193" t="s">
        <v>263</v>
      </c>
      <c r="E419" s="193" t="s">
        <v>89</v>
      </c>
      <c r="F419" s="661" t="s">
        <v>63</v>
      </c>
      <c r="G419" s="662" t="s">
        <v>120</v>
      </c>
      <c r="H419" s="662" t="s">
        <v>61</v>
      </c>
      <c r="I419" s="663" t="s">
        <v>331</v>
      </c>
      <c r="J419" s="193"/>
      <c r="K419" s="209">
        <v>105.8</v>
      </c>
      <c r="L419" s="209">
        <f>L420</f>
        <v>0</v>
      </c>
      <c r="M419" s="209">
        <f>M420</f>
        <v>105.8</v>
      </c>
    </row>
    <row r="420" spans="1:13" s="471" customFormat="1" ht="112.5">
      <c r="A420" s="194"/>
      <c r="B420" s="207" t="s">
        <v>73</v>
      </c>
      <c r="C420" s="208" t="s">
        <v>686</v>
      </c>
      <c r="D420" s="193" t="s">
        <v>263</v>
      </c>
      <c r="E420" s="193" t="s">
        <v>89</v>
      </c>
      <c r="F420" s="661" t="s">
        <v>63</v>
      </c>
      <c r="G420" s="662" t="s">
        <v>120</v>
      </c>
      <c r="H420" s="662" t="s">
        <v>61</v>
      </c>
      <c r="I420" s="663" t="s">
        <v>331</v>
      </c>
      <c r="J420" s="193" t="s">
        <v>74</v>
      </c>
      <c r="K420" s="209">
        <v>105.8</v>
      </c>
      <c r="L420" s="209">
        <f>M420-K420</f>
        <v>0</v>
      </c>
      <c r="M420" s="209">
        <v>105.8</v>
      </c>
    </row>
    <row r="421" spans="1:13" s="471" customFormat="1" ht="117.75" customHeight="1">
      <c r="A421" s="194"/>
      <c r="B421" s="207" t="s">
        <v>439</v>
      </c>
      <c r="C421" s="208" t="s">
        <v>686</v>
      </c>
      <c r="D421" s="193" t="s">
        <v>263</v>
      </c>
      <c r="E421" s="193" t="s">
        <v>89</v>
      </c>
      <c r="F421" s="661" t="s">
        <v>63</v>
      </c>
      <c r="G421" s="662" t="s">
        <v>120</v>
      </c>
      <c r="H421" s="662" t="s">
        <v>61</v>
      </c>
      <c r="I421" s="663" t="s">
        <v>332</v>
      </c>
      <c r="J421" s="193"/>
      <c r="K421" s="209">
        <v>6328.4</v>
      </c>
      <c r="L421" s="209">
        <f>L422</f>
        <v>0</v>
      </c>
      <c r="M421" s="209">
        <f>M422</f>
        <v>6328.4</v>
      </c>
    </row>
    <row r="422" spans="1:13" s="471" customFormat="1" ht="56.25">
      <c r="A422" s="194"/>
      <c r="B422" s="207" t="s">
        <v>105</v>
      </c>
      <c r="C422" s="208" t="s">
        <v>686</v>
      </c>
      <c r="D422" s="193" t="s">
        <v>263</v>
      </c>
      <c r="E422" s="193" t="s">
        <v>89</v>
      </c>
      <c r="F422" s="661" t="s">
        <v>63</v>
      </c>
      <c r="G422" s="662" t="s">
        <v>120</v>
      </c>
      <c r="H422" s="662" t="s">
        <v>61</v>
      </c>
      <c r="I422" s="663" t="s">
        <v>332</v>
      </c>
      <c r="J422" s="193" t="s">
        <v>106</v>
      </c>
      <c r="K422" s="209">
        <v>6328.4</v>
      </c>
      <c r="L422" s="209">
        <f>M422-K422</f>
        <v>0</v>
      </c>
      <c r="M422" s="209">
        <v>6328.4</v>
      </c>
    </row>
    <row r="423" spans="1:13" s="471" customFormat="1" ht="18.75">
      <c r="A423" s="194"/>
      <c r="B423" s="207" t="s">
        <v>449</v>
      </c>
      <c r="C423" s="208" t="s">
        <v>686</v>
      </c>
      <c r="D423" s="193" t="s">
        <v>263</v>
      </c>
      <c r="E423" s="193" t="s">
        <v>263</v>
      </c>
      <c r="F423" s="661"/>
      <c r="G423" s="662"/>
      <c r="H423" s="662"/>
      <c r="I423" s="663"/>
      <c r="J423" s="193"/>
      <c r="K423" s="209">
        <v>1062.5</v>
      </c>
      <c r="L423" s="209">
        <f t="shared" ref="L423:M425" si="86">L424</f>
        <v>6720.3</v>
      </c>
      <c r="M423" s="209">
        <f t="shared" si="86"/>
        <v>7782.8</v>
      </c>
    </row>
    <row r="424" spans="1:13" s="471" customFormat="1" ht="56.25">
      <c r="A424" s="194"/>
      <c r="B424" s="207" t="s">
        <v>244</v>
      </c>
      <c r="C424" s="208" t="s">
        <v>686</v>
      </c>
      <c r="D424" s="193" t="s">
        <v>263</v>
      </c>
      <c r="E424" s="193" t="s">
        <v>263</v>
      </c>
      <c r="F424" s="661" t="s">
        <v>63</v>
      </c>
      <c r="G424" s="662" t="s">
        <v>66</v>
      </c>
      <c r="H424" s="662" t="s">
        <v>67</v>
      </c>
      <c r="I424" s="663" t="s">
        <v>68</v>
      </c>
      <c r="J424" s="193"/>
      <c r="K424" s="209">
        <v>1062.5</v>
      </c>
      <c r="L424" s="209">
        <f t="shared" si="86"/>
        <v>6720.3</v>
      </c>
      <c r="M424" s="209">
        <f t="shared" si="86"/>
        <v>7782.8</v>
      </c>
    </row>
    <row r="425" spans="1:13" s="471" customFormat="1" ht="56.25">
      <c r="A425" s="194"/>
      <c r="B425" s="207" t="s">
        <v>251</v>
      </c>
      <c r="C425" s="208" t="s">
        <v>686</v>
      </c>
      <c r="D425" s="193" t="s">
        <v>263</v>
      </c>
      <c r="E425" s="193" t="s">
        <v>263</v>
      </c>
      <c r="F425" s="661" t="s">
        <v>63</v>
      </c>
      <c r="G425" s="662" t="s">
        <v>54</v>
      </c>
      <c r="H425" s="662" t="s">
        <v>67</v>
      </c>
      <c r="I425" s="663" t="s">
        <v>68</v>
      </c>
      <c r="J425" s="193"/>
      <c r="K425" s="209">
        <v>1062.5</v>
      </c>
      <c r="L425" s="209">
        <f t="shared" si="86"/>
        <v>6720.3</v>
      </c>
      <c r="M425" s="209">
        <f t="shared" si="86"/>
        <v>7782.8</v>
      </c>
    </row>
    <row r="426" spans="1:13" s="471" customFormat="1" ht="56.25">
      <c r="A426" s="194"/>
      <c r="B426" s="207" t="s">
        <v>343</v>
      </c>
      <c r="C426" s="208" t="s">
        <v>686</v>
      </c>
      <c r="D426" s="193" t="s">
        <v>263</v>
      </c>
      <c r="E426" s="193" t="s">
        <v>263</v>
      </c>
      <c r="F426" s="661" t="s">
        <v>63</v>
      </c>
      <c r="G426" s="662" t="s">
        <v>54</v>
      </c>
      <c r="H426" s="662" t="s">
        <v>63</v>
      </c>
      <c r="I426" s="663" t="s">
        <v>68</v>
      </c>
      <c r="J426" s="193"/>
      <c r="K426" s="209">
        <v>1062.5</v>
      </c>
      <c r="L426" s="209">
        <f>L427+L430</f>
        <v>6720.3</v>
      </c>
      <c r="M426" s="209">
        <f>M427+M430</f>
        <v>7782.8</v>
      </c>
    </row>
    <row r="427" spans="1:13" s="471" customFormat="1" ht="37.5">
      <c r="A427" s="194"/>
      <c r="B427" s="207" t="s">
        <v>641</v>
      </c>
      <c r="C427" s="208" t="s">
        <v>686</v>
      </c>
      <c r="D427" s="193" t="s">
        <v>263</v>
      </c>
      <c r="E427" s="193" t="s">
        <v>263</v>
      </c>
      <c r="F427" s="661" t="s">
        <v>63</v>
      </c>
      <c r="G427" s="662" t="s">
        <v>54</v>
      </c>
      <c r="H427" s="662" t="s">
        <v>63</v>
      </c>
      <c r="I427" s="663" t="s">
        <v>642</v>
      </c>
      <c r="J427" s="193"/>
      <c r="K427" s="209">
        <v>1062.5</v>
      </c>
      <c r="L427" s="209">
        <f>L429+L428</f>
        <v>0</v>
      </c>
      <c r="M427" s="209">
        <f>M429+M428</f>
        <v>1062.5</v>
      </c>
    </row>
    <row r="428" spans="1:13" s="471" customFormat="1" ht="56.25">
      <c r="A428" s="194"/>
      <c r="B428" s="207" t="s">
        <v>79</v>
      </c>
      <c r="C428" s="208" t="s">
        <v>686</v>
      </c>
      <c r="D428" s="193" t="s">
        <v>263</v>
      </c>
      <c r="E428" s="193" t="s">
        <v>263</v>
      </c>
      <c r="F428" s="661" t="s">
        <v>63</v>
      </c>
      <c r="G428" s="662" t="s">
        <v>54</v>
      </c>
      <c r="H428" s="662" t="s">
        <v>63</v>
      </c>
      <c r="I428" s="663" t="s">
        <v>642</v>
      </c>
      <c r="J428" s="193" t="s">
        <v>80</v>
      </c>
      <c r="K428" s="554">
        <v>652.79999999999995</v>
      </c>
      <c r="L428" s="209">
        <f t="shared" ref="L428:L431" si="87">M428-K428</f>
        <v>0</v>
      </c>
      <c r="M428" s="554">
        <v>652.79999999999995</v>
      </c>
    </row>
    <row r="429" spans="1:13" s="471" customFormat="1" ht="56.25">
      <c r="A429" s="194"/>
      <c r="B429" s="207" t="s">
        <v>105</v>
      </c>
      <c r="C429" s="208" t="s">
        <v>686</v>
      </c>
      <c r="D429" s="193" t="s">
        <v>263</v>
      </c>
      <c r="E429" s="193" t="s">
        <v>263</v>
      </c>
      <c r="F429" s="661" t="s">
        <v>63</v>
      </c>
      <c r="G429" s="662" t="s">
        <v>54</v>
      </c>
      <c r="H429" s="662" t="s">
        <v>63</v>
      </c>
      <c r="I429" s="663" t="s">
        <v>642</v>
      </c>
      <c r="J429" s="193" t="s">
        <v>106</v>
      </c>
      <c r="K429" s="554">
        <v>409.7</v>
      </c>
      <c r="L429" s="209">
        <f t="shared" si="87"/>
        <v>0</v>
      </c>
      <c r="M429" s="554">
        <f>409.7</f>
        <v>409.7</v>
      </c>
    </row>
    <row r="430" spans="1:13" s="471" customFormat="1" ht="131.25">
      <c r="A430" s="194"/>
      <c r="B430" s="207" t="s">
        <v>908</v>
      </c>
      <c r="C430" s="208" t="s">
        <v>686</v>
      </c>
      <c r="D430" s="193" t="s">
        <v>263</v>
      </c>
      <c r="E430" s="193" t="s">
        <v>263</v>
      </c>
      <c r="F430" s="702" t="s">
        <v>63</v>
      </c>
      <c r="G430" s="703" t="s">
        <v>54</v>
      </c>
      <c r="H430" s="703" t="s">
        <v>63</v>
      </c>
      <c r="I430" s="704" t="s">
        <v>907</v>
      </c>
      <c r="J430" s="193"/>
      <c r="K430" s="554">
        <f>K431</f>
        <v>0</v>
      </c>
      <c r="L430" s="554">
        <f t="shared" ref="L430:M430" si="88">L431</f>
        <v>6720.3</v>
      </c>
      <c r="M430" s="554">
        <f t="shared" si="88"/>
        <v>6720.3</v>
      </c>
    </row>
    <row r="431" spans="1:13" s="471" customFormat="1" ht="56.25">
      <c r="A431" s="194"/>
      <c r="B431" s="207" t="s">
        <v>105</v>
      </c>
      <c r="C431" s="208" t="s">
        <v>686</v>
      </c>
      <c r="D431" s="193" t="s">
        <v>263</v>
      </c>
      <c r="E431" s="193" t="s">
        <v>263</v>
      </c>
      <c r="F431" s="702" t="s">
        <v>63</v>
      </c>
      <c r="G431" s="703" t="s">
        <v>54</v>
      </c>
      <c r="H431" s="703" t="s">
        <v>63</v>
      </c>
      <c r="I431" s="704" t="s">
        <v>907</v>
      </c>
      <c r="J431" s="193" t="s">
        <v>106</v>
      </c>
      <c r="K431" s="554">
        <v>0</v>
      </c>
      <c r="L431" s="209">
        <f t="shared" si="87"/>
        <v>6720.3</v>
      </c>
      <c r="M431" s="554">
        <f>6720.3</f>
        <v>6720.3</v>
      </c>
    </row>
    <row r="432" spans="1:13" s="471" customFormat="1" ht="18.75">
      <c r="A432" s="194"/>
      <c r="B432" s="207" t="s">
        <v>225</v>
      </c>
      <c r="C432" s="208" t="s">
        <v>686</v>
      </c>
      <c r="D432" s="193" t="s">
        <v>263</v>
      </c>
      <c r="E432" s="193" t="s">
        <v>109</v>
      </c>
      <c r="F432" s="661"/>
      <c r="G432" s="662"/>
      <c r="H432" s="662"/>
      <c r="I432" s="663"/>
      <c r="J432" s="193"/>
      <c r="K432" s="209">
        <v>58705.302999999993</v>
      </c>
      <c r="L432" s="209">
        <f>L433</f>
        <v>56.039999999999715</v>
      </c>
      <c r="M432" s="209">
        <f>M433</f>
        <v>58761.342999999993</v>
      </c>
    </row>
    <row r="433" spans="1:13" s="471" customFormat="1" ht="56.25">
      <c r="A433" s="194"/>
      <c r="B433" s="207" t="s">
        <v>244</v>
      </c>
      <c r="C433" s="208" t="s">
        <v>686</v>
      </c>
      <c r="D433" s="193" t="s">
        <v>263</v>
      </c>
      <c r="E433" s="193" t="s">
        <v>109</v>
      </c>
      <c r="F433" s="661" t="s">
        <v>63</v>
      </c>
      <c r="G433" s="662" t="s">
        <v>66</v>
      </c>
      <c r="H433" s="662" t="s">
        <v>67</v>
      </c>
      <c r="I433" s="663" t="s">
        <v>68</v>
      </c>
      <c r="J433" s="193"/>
      <c r="K433" s="209">
        <v>58705.302999999993</v>
      </c>
      <c r="L433" s="209">
        <f>L438+L434</f>
        <v>56.039999999999715</v>
      </c>
      <c r="M433" s="209">
        <f>M438+M434</f>
        <v>58761.342999999993</v>
      </c>
    </row>
    <row r="434" spans="1:13" s="471" customFormat="1" ht="25.5" customHeight="1">
      <c r="A434" s="194"/>
      <c r="B434" s="207" t="s">
        <v>249</v>
      </c>
      <c r="C434" s="208" t="s">
        <v>686</v>
      </c>
      <c r="D434" s="193" t="s">
        <v>263</v>
      </c>
      <c r="E434" s="193" t="s">
        <v>109</v>
      </c>
      <c r="F434" s="661" t="s">
        <v>63</v>
      </c>
      <c r="G434" s="662" t="s">
        <v>120</v>
      </c>
      <c r="H434" s="662" t="s">
        <v>67</v>
      </c>
      <c r="I434" s="663" t="s">
        <v>68</v>
      </c>
      <c r="J434" s="193"/>
      <c r="K434" s="209">
        <v>9</v>
      </c>
      <c r="L434" s="209">
        <f t="shared" ref="L434:M436" si="89">L435</f>
        <v>0</v>
      </c>
      <c r="M434" s="209">
        <f t="shared" si="89"/>
        <v>9</v>
      </c>
    </row>
    <row r="435" spans="1:13" s="471" customFormat="1" ht="18.75">
      <c r="A435" s="194"/>
      <c r="B435" s="207" t="s">
        <v>339</v>
      </c>
      <c r="C435" s="208" t="s">
        <v>686</v>
      </c>
      <c r="D435" s="193" t="s">
        <v>263</v>
      </c>
      <c r="E435" s="193" t="s">
        <v>109</v>
      </c>
      <c r="F435" s="661" t="s">
        <v>63</v>
      </c>
      <c r="G435" s="662" t="s">
        <v>120</v>
      </c>
      <c r="H435" s="662" t="s">
        <v>63</v>
      </c>
      <c r="I435" s="663" t="s">
        <v>68</v>
      </c>
      <c r="J435" s="193"/>
      <c r="K435" s="209">
        <v>9</v>
      </c>
      <c r="L435" s="209">
        <f t="shared" si="89"/>
        <v>0</v>
      </c>
      <c r="M435" s="209">
        <f t="shared" si="89"/>
        <v>9</v>
      </c>
    </row>
    <row r="436" spans="1:13" s="471" customFormat="1" ht="42" customHeight="1">
      <c r="A436" s="194"/>
      <c r="B436" s="207" t="s">
        <v>340</v>
      </c>
      <c r="C436" s="208" t="s">
        <v>686</v>
      </c>
      <c r="D436" s="193" t="s">
        <v>263</v>
      </c>
      <c r="E436" s="193" t="s">
        <v>109</v>
      </c>
      <c r="F436" s="661" t="s">
        <v>63</v>
      </c>
      <c r="G436" s="662" t="s">
        <v>120</v>
      </c>
      <c r="H436" s="662" t="s">
        <v>63</v>
      </c>
      <c r="I436" s="663" t="s">
        <v>341</v>
      </c>
      <c r="J436" s="193"/>
      <c r="K436" s="209">
        <v>9</v>
      </c>
      <c r="L436" s="209">
        <f t="shared" si="89"/>
        <v>0</v>
      </c>
      <c r="M436" s="209">
        <f t="shared" si="89"/>
        <v>9</v>
      </c>
    </row>
    <row r="437" spans="1:13" s="471" customFormat="1" ht="37.5">
      <c r="A437" s="194"/>
      <c r="B437" s="207" t="s">
        <v>152</v>
      </c>
      <c r="C437" s="208" t="s">
        <v>686</v>
      </c>
      <c r="D437" s="193" t="s">
        <v>263</v>
      </c>
      <c r="E437" s="193" t="s">
        <v>109</v>
      </c>
      <c r="F437" s="661" t="s">
        <v>63</v>
      </c>
      <c r="G437" s="662" t="s">
        <v>120</v>
      </c>
      <c r="H437" s="662" t="s">
        <v>63</v>
      </c>
      <c r="I437" s="663" t="s">
        <v>341</v>
      </c>
      <c r="J437" s="193" t="s">
        <v>153</v>
      </c>
      <c r="K437" s="209">
        <v>9</v>
      </c>
      <c r="L437" s="209">
        <f>M437-K437</f>
        <v>0</v>
      </c>
      <c r="M437" s="209">
        <v>9</v>
      </c>
    </row>
    <row r="438" spans="1:13" s="471" customFormat="1" ht="56.25">
      <c r="A438" s="194"/>
      <c r="B438" s="207" t="s">
        <v>251</v>
      </c>
      <c r="C438" s="208" t="s">
        <v>686</v>
      </c>
      <c r="D438" s="193" t="s">
        <v>263</v>
      </c>
      <c r="E438" s="193" t="s">
        <v>109</v>
      </c>
      <c r="F438" s="661" t="s">
        <v>63</v>
      </c>
      <c r="G438" s="662" t="s">
        <v>54</v>
      </c>
      <c r="H438" s="662" t="s">
        <v>67</v>
      </c>
      <c r="I438" s="663" t="s">
        <v>68</v>
      </c>
      <c r="J438" s="193"/>
      <c r="K438" s="209">
        <v>58696.302999999993</v>
      </c>
      <c r="L438" s="209">
        <f t="shared" ref="L438:M438" si="90">L439</f>
        <v>56.039999999999715</v>
      </c>
      <c r="M438" s="209">
        <f t="shared" si="90"/>
        <v>58752.342999999993</v>
      </c>
    </row>
    <row r="439" spans="1:13" s="471" customFormat="1" ht="37.5">
      <c r="A439" s="194"/>
      <c r="B439" s="207" t="s">
        <v>344</v>
      </c>
      <c r="C439" s="208" t="s">
        <v>686</v>
      </c>
      <c r="D439" s="193" t="s">
        <v>263</v>
      </c>
      <c r="E439" s="193" t="s">
        <v>109</v>
      </c>
      <c r="F439" s="661" t="s">
        <v>63</v>
      </c>
      <c r="G439" s="662" t="s">
        <v>54</v>
      </c>
      <c r="H439" s="662" t="s">
        <v>61</v>
      </c>
      <c r="I439" s="663" t="s">
        <v>68</v>
      </c>
      <c r="J439" s="193"/>
      <c r="K439" s="209">
        <v>58696.302999999993</v>
      </c>
      <c r="L439" s="209">
        <f>L440+L444+L449</f>
        <v>56.039999999999715</v>
      </c>
      <c r="M439" s="209">
        <f>M440+M444+M449</f>
        <v>58752.342999999993</v>
      </c>
    </row>
    <row r="440" spans="1:13" s="471" customFormat="1" ht="37.5">
      <c r="A440" s="194"/>
      <c r="B440" s="207" t="s">
        <v>71</v>
      </c>
      <c r="C440" s="208" t="s">
        <v>686</v>
      </c>
      <c r="D440" s="193" t="s">
        <v>263</v>
      </c>
      <c r="E440" s="193" t="s">
        <v>109</v>
      </c>
      <c r="F440" s="661" t="s">
        <v>63</v>
      </c>
      <c r="G440" s="662" t="s">
        <v>54</v>
      </c>
      <c r="H440" s="662" t="s">
        <v>61</v>
      </c>
      <c r="I440" s="663" t="s">
        <v>72</v>
      </c>
      <c r="J440" s="193"/>
      <c r="K440" s="209">
        <v>8906.98</v>
      </c>
      <c r="L440" s="209">
        <f>L441+L442+L443</f>
        <v>-2.1316282072803006E-14</v>
      </c>
      <c r="M440" s="209">
        <f>M441+M442+M443</f>
        <v>8906.9800000000014</v>
      </c>
    </row>
    <row r="441" spans="1:13" s="471" customFormat="1" ht="112.5">
      <c r="A441" s="194"/>
      <c r="B441" s="207" t="s">
        <v>73</v>
      </c>
      <c r="C441" s="208" t="s">
        <v>686</v>
      </c>
      <c r="D441" s="193" t="s">
        <v>263</v>
      </c>
      <c r="E441" s="193" t="s">
        <v>109</v>
      </c>
      <c r="F441" s="661" t="s">
        <v>63</v>
      </c>
      <c r="G441" s="662" t="s">
        <v>54</v>
      </c>
      <c r="H441" s="662" t="s">
        <v>61</v>
      </c>
      <c r="I441" s="663" t="s">
        <v>72</v>
      </c>
      <c r="J441" s="193" t="s">
        <v>74</v>
      </c>
      <c r="K441" s="209">
        <v>8166.8</v>
      </c>
      <c r="L441" s="209">
        <f t="shared" ref="L441:L443" si="91">M441-K441</f>
        <v>0</v>
      </c>
      <c r="M441" s="209">
        <f>8166.2+0.6</f>
        <v>8166.8</v>
      </c>
    </row>
    <row r="442" spans="1:13" s="471" customFormat="1" ht="56.25">
      <c r="A442" s="194"/>
      <c r="B442" s="207" t="s">
        <v>79</v>
      </c>
      <c r="C442" s="208" t="s">
        <v>686</v>
      </c>
      <c r="D442" s="193" t="s">
        <v>263</v>
      </c>
      <c r="E442" s="193" t="s">
        <v>109</v>
      </c>
      <c r="F442" s="661" t="s">
        <v>63</v>
      </c>
      <c r="G442" s="662" t="s">
        <v>54</v>
      </c>
      <c r="H442" s="662" t="s">
        <v>61</v>
      </c>
      <c r="I442" s="663" t="s">
        <v>72</v>
      </c>
      <c r="J442" s="193" t="s">
        <v>80</v>
      </c>
      <c r="K442" s="209">
        <v>685.18</v>
      </c>
      <c r="L442" s="209">
        <f t="shared" si="91"/>
        <v>-0.10000000000002274</v>
      </c>
      <c r="M442" s="209">
        <f>137.7+547.8-0.6-2.7+2.98-0.1</f>
        <v>685.07999999999993</v>
      </c>
    </row>
    <row r="443" spans="1:13" s="471" customFormat="1" ht="18.75">
      <c r="A443" s="194"/>
      <c r="B443" s="207" t="s">
        <v>81</v>
      </c>
      <c r="C443" s="208" t="s">
        <v>686</v>
      </c>
      <c r="D443" s="193" t="s">
        <v>263</v>
      </c>
      <c r="E443" s="193" t="s">
        <v>109</v>
      </c>
      <c r="F443" s="661" t="s">
        <v>63</v>
      </c>
      <c r="G443" s="662" t="s">
        <v>54</v>
      </c>
      <c r="H443" s="662" t="s">
        <v>61</v>
      </c>
      <c r="I443" s="663" t="s">
        <v>72</v>
      </c>
      <c r="J443" s="193" t="s">
        <v>82</v>
      </c>
      <c r="K443" s="209">
        <v>55</v>
      </c>
      <c r="L443" s="209">
        <f t="shared" si="91"/>
        <v>0.10000000000000142</v>
      </c>
      <c r="M443" s="209">
        <f>14.8+2.7+37.5+0.1</f>
        <v>55.1</v>
      </c>
    </row>
    <row r="444" spans="1:13" s="471" customFormat="1" ht="93.75">
      <c r="A444" s="194"/>
      <c r="B444" s="207" t="s">
        <v>121</v>
      </c>
      <c r="C444" s="208" t="s">
        <v>686</v>
      </c>
      <c r="D444" s="193" t="s">
        <v>263</v>
      </c>
      <c r="E444" s="193" t="s">
        <v>109</v>
      </c>
      <c r="F444" s="661" t="s">
        <v>63</v>
      </c>
      <c r="G444" s="662" t="s">
        <v>54</v>
      </c>
      <c r="H444" s="662" t="s">
        <v>61</v>
      </c>
      <c r="I444" s="663" t="s">
        <v>123</v>
      </c>
      <c r="J444" s="193"/>
      <c r="K444" s="209">
        <v>43627.922999999995</v>
      </c>
      <c r="L444" s="209">
        <f>L445+L446+L448+L447</f>
        <v>56.039999999999736</v>
      </c>
      <c r="M444" s="209">
        <f>M445+M446+M448+M447</f>
        <v>43683.962999999989</v>
      </c>
    </row>
    <row r="445" spans="1:13" s="471" customFormat="1" ht="112.5">
      <c r="A445" s="194"/>
      <c r="B445" s="207" t="s">
        <v>73</v>
      </c>
      <c r="C445" s="208" t="s">
        <v>686</v>
      </c>
      <c r="D445" s="193" t="s">
        <v>263</v>
      </c>
      <c r="E445" s="193" t="s">
        <v>109</v>
      </c>
      <c r="F445" s="661" t="s">
        <v>63</v>
      </c>
      <c r="G445" s="662" t="s">
        <v>54</v>
      </c>
      <c r="H445" s="662" t="s">
        <v>61</v>
      </c>
      <c r="I445" s="663" t="s">
        <v>123</v>
      </c>
      <c r="J445" s="193" t="s">
        <v>74</v>
      </c>
      <c r="K445" s="209">
        <v>25966.399999999994</v>
      </c>
      <c r="L445" s="209">
        <f t="shared" ref="L445:L448" si="92">M445-K445</f>
        <v>0</v>
      </c>
      <c r="M445" s="209">
        <f>22683.1+3.6+3279.1+0.6</f>
        <v>25966.399999999994</v>
      </c>
    </row>
    <row r="446" spans="1:13" s="471" customFormat="1" ht="56.25">
      <c r="A446" s="194"/>
      <c r="B446" s="207" t="s">
        <v>79</v>
      </c>
      <c r="C446" s="208" t="s">
        <v>686</v>
      </c>
      <c r="D446" s="193" t="s">
        <v>263</v>
      </c>
      <c r="E446" s="193" t="s">
        <v>109</v>
      </c>
      <c r="F446" s="661" t="s">
        <v>63</v>
      </c>
      <c r="G446" s="662" t="s">
        <v>54</v>
      </c>
      <c r="H446" s="662" t="s">
        <v>61</v>
      </c>
      <c r="I446" s="663" t="s">
        <v>123</v>
      </c>
      <c r="J446" s="193" t="s">
        <v>80</v>
      </c>
      <c r="K446" s="209">
        <v>2417.4229999999993</v>
      </c>
      <c r="L446" s="209">
        <f t="shared" si="92"/>
        <v>-143.05000000000018</v>
      </c>
      <c r="M446" s="209">
        <f>604.9+30.9+1503.1-3.6-0.9+275.7-0.8-0.6+8.723-142.65-0.4</f>
        <v>2274.3729999999991</v>
      </c>
    </row>
    <row r="447" spans="1:13" s="471" customFormat="1" ht="56.25">
      <c r="A447" s="194"/>
      <c r="B447" s="207" t="s">
        <v>105</v>
      </c>
      <c r="C447" s="208" t="s">
        <v>686</v>
      </c>
      <c r="D447" s="193" t="s">
        <v>263</v>
      </c>
      <c r="E447" s="193" t="s">
        <v>109</v>
      </c>
      <c r="F447" s="661" t="s">
        <v>63</v>
      </c>
      <c r="G447" s="662" t="s">
        <v>54</v>
      </c>
      <c r="H447" s="662" t="s">
        <v>61</v>
      </c>
      <c r="I447" s="663" t="s">
        <v>123</v>
      </c>
      <c r="J447" s="193" t="s">
        <v>106</v>
      </c>
      <c r="K447" s="209">
        <v>15235.4</v>
      </c>
      <c r="L447" s="209">
        <f t="shared" si="92"/>
        <v>199.07999999999993</v>
      </c>
      <c r="M447" s="209">
        <f>15235.4+196.65+2.43</f>
        <v>15434.48</v>
      </c>
    </row>
    <row r="448" spans="1:13" s="471" customFormat="1" ht="18.75">
      <c r="A448" s="194"/>
      <c r="B448" s="207" t="s">
        <v>81</v>
      </c>
      <c r="C448" s="208" t="s">
        <v>686</v>
      </c>
      <c r="D448" s="193" t="s">
        <v>263</v>
      </c>
      <c r="E448" s="193" t="s">
        <v>109</v>
      </c>
      <c r="F448" s="661" t="s">
        <v>63</v>
      </c>
      <c r="G448" s="662" t="s">
        <v>54</v>
      </c>
      <c r="H448" s="662" t="s">
        <v>61</v>
      </c>
      <c r="I448" s="663" t="s">
        <v>123</v>
      </c>
      <c r="J448" s="193" t="s">
        <v>82</v>
      </c>
      <c r="K448" s="209">
        <v>8.7000000000000011</v>
      </c>
      <c r="L448" s="209">
        <f t="shared" si="92"/>
        <v>9.9999999999997868E-3</v>
      </c>
      <c r="M448" s="209">
        <f>7+0.9+0.8-0.39+0.4</f>
        <v>8.7100000000000009</v>
      </c>
    </row>
    <row r="449" spans="1:13" s="471" customFormat="1" ht="116.25" customHeight="1">
      <c r="A449" s="194"/>
      <c r="B449" s="207" t="s">
        <v>439</v>
      </c>
      <c r="C449" s="208" t="s">
        <v>686</v>
      </c>
      <c r="D449" s="193" t="s">
        <v>263</v>
      </c>
      <c r="E449" s="193" t="s">
        <v>109</v>
      </c>
      <c r="F449" s="661" t="s">
        <v>63</v>
      </c>
      <c r="G449" s="662" t="s">
        <v>54</v>
      </c>
      <c r="H449" s="662" t="s">
        <v>61</v>
      </c>
      <c r="I449" s="663" t="s">
        <v>332</v>
      </c>
      <c r="J449" s="193"/>
      <c r="K449" s="209">
        <v>6161.4000000000005</v>
      </c>
      <c r="L449" s="209">
        <f>L450+L451</f>
        <v>0</v>
      </c>
      <c r="M449" s="209">
        <f>M450+M451</f>
        <v>6161.4000000000005</v>
      </c>
    </row>
    <row r="450" spans="1:13" s="471" customFormat="1" ht="112.5">
      <c r="A450" s="194"/>
      <c r="B450" s="207" t="s">
        <v>73</v>
      </c>
      <c r="C450" s="208" t="s">
        <v>686</v>
      </c>
      <c r="D450" s="193" t="s">
        <v>263</v>
      </c>
      <c r="E450" s="193" t="s">
        <v>109</v>
      </c>
      <c r="F450" s="661" t="s">
        <v>63</v>
      </c>
      <c r="G450" s="662" t="s">
        <v>54</v>
      </c>
      <c r="H450" s="662" t="s">
        <v>61</v>
      </c>
      <c r="I450" s="663" t="s">
        <v>332</v>
      </c>
      <c r="J450" s="193" t="s">
        <v>74</v>
      </c>
      <c r="K450" s="209">
        <v>5804.3</v>
      </c>
      <c r="L450" s="209">
        <f t="shared" ref="L450:L451" si="93">M450-K450</f>
        <v>0</v>
      </c>
      <c r="M450" s="209">
        <v>5804.3</v>
      </c>
    </row>
    <row r="451" spans="1:13" s="471" customFormat="1" ht="56.25">
      <c r="A451" s="194"/>
      <c r="B451" s="207" t="s">
        <v>79</v>
      </c>
      <c r="C451" s="208" t="s">
        <v>686</v>
      </c>
      <c r="D451" s="193" t="s">
        <v>263</v>
      </c>
      <c r="E451" s="193" t="s">
        <v>109</v>
      </c>
      <c r="F451" s="661" t="s">
        <v>63</v>
      </c>
      <c r="G451" s="662" t="s">
        <v>54</v>
      </c>
      <c r="H451" s="662" t="s">
        <v>61</v>
      </c>
      <c r="I451" s="663" t="s">
        <v>332</v>
      </c>
      <c r="J451" s="193" t="s">
        <v>80</v>
      </c>
      <c r="K451" s="209">
        <v>357.1</v>
      </c>
      <c r="L451" s="209">
        <f t="shared" si="93"/>
        <v>0</v>
      </c>
      <c r="M451" s="209">
        <v>357.1</v>
      </c>
    </row>
    <row r="452" spans="1:13" s="471" customFormat="1" ht="18.75">
      <c r="A452" s="194"/>
      <c r="B452" s="212" t="s">
        <v>151</v>
      </c>
      <c r="C452" s="208" t="s">
        <v>686</v>
      </c>
      <c r="D452" s="193" t="s">
        <v>136</v>
      </c>
      <c r="E452" s="193"/>
      <c r="F452" s="661"/>
      <c r="G452" s="662"/>
      <c r="H452" s="662"/>
      <c r="I452" s="663"/>
      <c r="J452" s="193"/>
      <c r="K452" s="209">
        <v>7904.9000000000005</v>
      </c>
      <c r="L452" s="209">
        <f t="shared" ref="L452:M453" si="94">L453</f>
        <v>0</v>
      </c>
      <c r="M452" s="209">
        <f t="shared" si="94"/>
        <v>7904.9000000000005</v>
      </c>
    </row>
    <row r="453" spans="1:13" s="471" customFormat="1" ht="18.75">
      <c r="A453" s="194"/>
      <c r="B453" s="212" t="s">
        <v>232</v>
      </c>
      <c r="C453" s="208" t="s">
        <v>686</v>
      </c>
      <c r="D453" s="193" t="s">
        <v>136</v>
      </c>
      <c r="E453" s="193" t="s">
        <v>76</v>
      </c>
      <c r="F453" s="661"/>
      <c r="G453" s="662"/>
      <c r="H453" s="662"/>
      <c r="I453" s="663"/>
      <c r="J453" s="193"/>
      <c r="K453" s="209">
        <v>7904.9000000000005</v>
      </c>
      <c r="L453" s="209">
        <f t="shared" si="94"/>
        <v>0</v>
      </c>
      <c r="M453" s="209">
        <f t="shared" si="94"/>
        <v>7904.9000000000005</v>
      </c>
    </row>
    <row r="454" spans="1:13" s="471" customFormat="1" ht="56.25">
      <c r="A454" s="194"/>
      <c r="B454" s="207" t="s">
        <v>244</v>
      </c>
      <c r="C454" s="208" t="s">
        <v>686</v>
      </c>
      <c r="D454" s="193" t="s">
        <v>136</v>
      </c>
      <c r="E454" s="193" t="s">
        <v>76</v>
      </c>
      <c r="F454" s="661" t="s">
        <v>63</v>
      </c>
      <c r="G454" s="662" t="s">
        <v>66</v>
      </c>
      <c r="H454" s="662" t="s">
        <v>67</v>
      </c>
      <c r="I454" s="663" t="s">
        <v>68</v>
      </c>
      <c r="J454" s="193"/>
      <c r="K454" s="209">
        <v>7904.9000000000005</v>
      </c>
      <c r="L454" s="209">
        <f t="shared" ref="L454:M456" si="95">L455</f>
        <v>0</v>
      </c>
      <c r="M454" s="209">
        <f t="shared" si="95"/>
        <v>7904.9000000000005</v>
      </c>
    </row>
    <row r="455" spans="1:13" s="471" customFormat="1" ht="37.5">
      <c r="A455" s="194"/>
      <c r="B455" s="207" t="s">
        <v>245</v>
      </c>
      <c r="C455" s="208" t="s">
        <v>686</v>
      </c>
      <c r="D455" s="193" t="s">
        <v>136</v>
      </c>
      <c r="E455" s="193" t="s">
        <v>76</v>
      </c>
      <c r="F455" s="661" t="s">
        <v>63</v>
      </c>
      <c r="G455" s="662" t="s">
        <v>69</v>
      </c>
      <c r="H455" s="662" t="s">
        <v>67</v>
      </c>
      <c r="I455" s="663" t="s">
        <v>68</v>
      </c>
      <c r="J455" s="193"/>
      <c r="K455" s="209">
        <v>7904.9000000000005</v>
      </c>
      <c r="L455" s="209">
        <f t="shared" si="95"/>
        <v>0</v>
      </c>
      <c r="M455" s="209">
        <f t="shared" si="95"/>
        <v>7904.9000000000005</v>
      </c>
    </row>
    <row r="456" spans="1:13" s="471" customFormat="1" ht="37.5">
      <c r="A456" s="194"/>
      <c r="B456" s="207" t="s">
        <v>329</v>
      </c>
      <c r="C456" s="208" t="s">
        <v>686</v>
      </c>
      <c r="D456" s="193" t="s">
        <v>136</v>
      </c>
      <c r="E456" s="193" t="s">
        <v>76</v>
      </c>
      <c r="F456" s="661" t="s">
        <v>63</v>
      </c>
      <c r="G456" s="662" t="s">
        <v>69</v>
      </c>
      <c r="H456" s="662" t="s">
        <v>61</v>
      </c>
      <c r="I456" s="663" t="s">
        <v>68</v>
      </c>
      <c r="J456" s="193"/>
      <c r="K456" s="209">
        <v>7904.9000000000005</v>
      </c>
      <c r="L456" s="209">
        <f t="shared" si="95"/>
        <v>0</v>
      </c>
      <c r="M456" s="209">
        <f t="shared" si="95"/>
        <v>7904.9000000000005</v>
      </c>
    </row>
    <row r="457" spans="1:13" s="471" customFormat="1" ht="136.5" customHeight="1">
      <c r="A457" s="194"/>
      <c r="B457" s="207" t="s">
        <v>345</v>
      </c>
      <c r="C457" s="208" t="s">
        <v>686</v>
      </c>
      <c r="D457" s="193" t="s">
        <v>136</v>
      </c>
      <c r="E457" s="193" t="s">
        <v>76</v>
      </c>
      <c r="F457" s="661" t="s">
        <v>63</v>
      </c>
      <c r="G457" s="662" t="s">
        <v>69</v>
      </c>
      <c r="H457" s="662" t="s">
        <v>61</v>
      </c>
      <c r="I457" s="663" t="s">
        <v>346</v>
      </c>
      <c r="J457" s="193"/>
      <c r="K457" s="209">
        <v>7904.9000000000005</v>
      </c>
      <c r="L457" s="209">
        <f>L458+L459</f>
        <v>0</v>
      </c>
      <c r="M457" s="209">
        <f>M458+M459</f>
        <v>7904.9000000000005</v>
      </c>
    </row>
    <row r="458" spans="1:13" s="471" customFormat="1" ht="56.25">
      <c r="A458" s="194"/>
      <c r="B458" s="207" t="s">
        <v>79</v>
      </c>
      <c r="C458" s="208" t="s">
        <v>686</v>
      </c>
      <c r="D458" s="193" t="s">
        <v>136</v>
      </c>
      <c r="E458" s="193" t="s">
        <v>76</v>
      </c>
      <c r="F458" s="661" t="s">
        <v>63</v>
      </c>
      <c r="G458" s="662" t="s">
        <v>69</v>
      </c>
      <c r="H458" s="662" t="s">
        <v>61</v>
      </c>
      <c r="I458" s="663" t="s">
        <v>346</v>
      </c>
      <c r="J458" s="193" t="s">
        <v>80</v>
      </c>
      <c r="K458" s="209">
        <v>116.8</v>
      </c>
      <c r="L458" s="209">
        <f t="shared" ref="L458:L459" si="96">M458-K458</f>
        <v>0</v>
      </c>
      <c r="M458" s="209">
        <v>116.8</v>
      </c>
    </row>
    <row r="459" spans="1:13" s="471" customFormat="1" ht="37.5">
      <c r="A459" s="194"/>
      <c r="B459" s="211" t="s">
        <v>152</v>
      </c>
      <c r="C459" s="208" t="s">
        <v>686</v>
      </c>
      <c r="D459" s="193" t="s">
        <v>136</v>
      </c>
      <c r="E459" s="193" t="s">
        <v>76</v>
      </c>
      <c r="F459" s="661" t="s">
        <v>63</v>
      </c>
      <c r="G459" s="662" t="s">
        <v>69</v>
      </c>
      <c r="H459" s="662" t="s">
        <v>61</v>
      </c>
      <c r="I459" s="663" t="s">
        <v>346</v>
      </c>
      <c r="J459" s="193" t="s">
        <v>153</v>
      </c>
      <c r="K459" s="209">
        <v>7788.1</v>
      </c>
      <c r="L459" s="209">
        <f t="shared" si="96"/>
        <v>0</v>
      </c>
      <c r="M459" s="209">
        <v>7788.1</v>
      </c>
    </row>
    <row r="460" spans="1:13" s="488" customFormat="1" ht="18.75">
      <c r="A460" s="483"/>
      <c r="B460" s="428"/>
      <c r="C460" s="526"/>
      <c r="D460" s="527"/>
      <c r="E460" s="527"/>
      <c r="F460" s="528"/>
      <c r="G460" s="529"/>
      <c r="H460" s="529"/>
      <c r="I460" s="530"/>
      <c r="J460" s="527"/>
      <c r="K460" s="487"/>
      <c r="L460" s="487"/>
      <c r="M460" s="487"/>
    </row>
    <row r="461" spans="1:13" s="465" customFormat="1" ht="56.25">
      <c r="A461" s="464">
        <v>6</v>
      </c>
      <c r="B461" s="504" t="s">
        <v>29</v>
      </c>
      <c r="C461" s="202" t="s">
        <v>399</v>
      </c>
      <c r="D461" s="203"/>
      <c r="E461" s="203"/>
      <c r="F461" s="204"/>
      <c r="G461" s="205"/>
      <c r="H461" s="205"/>
      <c r="I461" s="206"/>
      <c r="J461" s="203"/>
      <c r="K461" s="235">
        <v>93118.9</v>
      </c>
      <c r="L461" s="235">
        <f>L462+L486</f>
        <v>425.7999999999995</v>
      </c>
      <c r="M461" s="235">
        <f>M462+M486</f>
        <v>93544.7</v>
      </c>
    </row>
    <row r="462" spans="1:13" s="190" customFormat="1" ht="18.75">
      <c r="A462" s="194"/>
      <c r="B462" s="213" t="s">
        <v>218</v>
      </c>
      <c r="C462" s="208" t="s">
        <v>399</v>
      </c>
      <c r="D462" s="193" t="s">
        <v>263</v>
      </c>
      <c r="E462" s="193"/>
      <c r="F462" s="661"/>
      <c r="G462" s="662"/>
      <c r="H462" s="662"/>
      <c r="I462" s="663"/>
      <c r="J462" s="193"/>
      <c r="K462" s="209">
        <v>59119.299999999996</v>
      </c>
      <c r="L462" s="209">
        <f>L463+L474+L480</f>
        <v>194.8</v>
      </c>
      <c r="M462" s="209">
        <f>M463+M474+M480</f>
        <v>59314.1</v>
      </c>
    </row>
    <row r="463" spans="1:13" s="465" customFormat="1" ht="18.75">
      <c r="A463" s="194"/>
      <c r="B463" s="213" t="s">
        <v>448</v>
      </c>
      <c r="C463" s="208" t="s">
        <v>399</v>
      </c>
      <c r="D463" s="193" t="s">
        <v>263</v>
      </c>
      <c r="E463" s="193" t="s">
        <v>89</v>
      </c>
      <c r="F463" s="661"/>
      <c r="G463" s="662"/>
      <c r="H463" s="662"/>
      <c r="I463" s="663"/>
      <c r="J463" s="193"/>
      <c r="K463" s="209">
        <v>58864.1</v>
      </c>
      <c r="L463" s="209">
        <f t="shared" ref="L463:M464" si="97">L464</f>
        <v>0</v>
      </c>
      <c r="M463" s="209">
        <f t="shared" si="97"/>
        <v>58864.1</v>
      </c>
    </row>
    <row r="464" spans="1:13" s="465" customFormat="1" ht="56.25">
      <c r="A464" s="194"/>
      <c r="B464" s="213" t="s">
        <v>252</v>
      </c>
      <c r="C464" s="208" t="s">
        <v>399</v>
      </c>
      <c r="D464" s="193" t="s">
        <v>263</v>
      </c>
      <c r="E464" s="193" t="s">
        <v>89</v>
      </c>
      <c r="F464" s="661" t="s">
        <v>89</v>
      </c>
      <c r="G464" s="662" t="s">
        <v>66</v>
      </c>
      <c r="H464" s="662" t="s">
        <v>67</v>
      </c>
      <c r="I464" s="663" t="s">
        <v>68</v>
      </c>
      <c r="J464" s="193"/>
      <c r="K464" s="209">
        <v>58864.1</v>
      </c>
      <c r="L464" s="209">
        <f t="shared" si="97"/>
        <v>0</v>
      </c>
      <c r="M464" s="209">
        <f t="shared" si="97"/>
        <v>58864.1</v>
      </c>
    </row>
    <row r="465" spans="1:13" s="465" customFormat="1" ht="75">
      <c r="A465" s="194"/>
      <c r="B465" s="213" t="s">
        <v>253</v>
      </c>
      <c r="C465" s="208" t="s">
        <v>399</v>
      </c>
      <c r="D465" s="193" t="s">
        <v>263</v>
      </c>
      <c r="E465" s="193" t="s">
        <v>89</v>
      </c>
      <c r="F465" s="661" t="s">
        <v>89</v>
      </c>
      <c r="G465" s="662" t="s">
        <v>69</v>
      </c>
      <c r="H465" s="662" t="s">
        <v>67</v>
      </c>
      <c r="I465" s="663" t="s">
        <v>68</v>
      </c>
      <c r="J465" s="193"/>
      <c r="K465" s="209">
        <v>58864.1</v>
      </c>
      <c r="L465" s="209">
        <f>L466+L471</f>
        <v>0</v>
      </c>
      <c r="M465" s="209">
        <f>M466+M471</f>
        <v>58864.1</v>
      </c>
    </row>
    <row r="466" spans="1:13" s="465" customFormat="1" ht="37.5">
      <c r="A466" s="194"/>
      <c r="B466" s="213" t="s">
        <v>338</v>
      </c>
      <c r="C466" s="208" t="s">
        <v>399</v>
      </c>
      <c r="D466" s="193" t="s">
        <v>263</v>
      </c>
      <c r="E466" s="193" t="s">
        <v>89</v>
      </c>
      <c r="F466" s="661" t="s">
        <v>89</v>
      </c>
      <c r="G466" s="662" t="s">
        <v>69</v>
      </c>
      <c r="H466" s="662" t="s">
        <v>61</v>
      </c>
      <c r="I466" s="663" t="s">
        <v>68</v>
      </c>
      <c r="J466" s="193"/>
      <c r="K466" s="209">
        <v>54969.299999999996</v>
      </c>
      <c r="L466" s="209">
        <f>L467+L469</f>
        <v>0</v>
      </c>
      <c r="M466" s="209">
        <f>M467+M469</f>
        <v>54969.299999999996</v>
      </c>
    </row>
    <row r="467" spans="1:13" s="465" customFormat="1" ht="93.75">
      <c r="A467" s="194"/>
      <c r="B467" s="210" t="s">
        <v>400</v>
      </c>
      <c r="C467" s="208" t="s">
        <v>399</v>
      </c>
      <c r="D467" s="193" t="s">
        <v>263</v>
      </c>
      <c r="E467" s="193" t="s">
        <v>89</v>
      </c>
      <c r="F467" s="661" t="s">
        <v>89</v>
      </c>
      <c r="G467" s="662" t="s">
        <v>69</v>
      </c>
      <c r="H467" s="662" t="s">
        <v>61</v>
      </c>
      <c r="I467" s="663" t="s">
        <v>123</v>
      </c>
      <c r="J467" s="193"/>
      <c r="K467" s="209">
        <v>53277.1</v>
      </c>
      <c r="L467" s="209">
        <f>L468</f>
        <v>0</v>
      </c>
      <c r="M467" s="209">
        <f>M468</f>
        <v>53277.1</v>
      </c>
    </row>
    <row r="468" spans="1:13" s="190" customFormat="1" ht="56.25">
      <c r="A468" s="194"/>
      <c r="B468" s="211" t="s">
        <v>105</v>
      </c>
      <c r="C468" s="208" t="s">
        <v>399</v>
      </c>
      <c r="D468" s="193" t="s">
        <v>263</v>
      </c>
      <c r="E468" s="193" t="s">
        <v>89</v>
      </c>
      <c r="F468" s="661" t="s">
        <v>89</v>
      </c>
      <c r="G468" s="662" t="s">
        <v>69</v>
      </c>
      <c r="H468" s="662" t="s">
        <v>61</v>
      </c>
      <c r="I468" s="663" t="s">
        <v>123</v>
      </c>
      <c r="J468" s="193" t="s">
        <v>106</v>
      </c>
      <c r="K468" s="209">
        <v>53277.1</v>
      </c>
      <c r="L468" s="209">
        <f>M468-K468</f>
        <v>0</v>
      </c>
      <c r="M468" s="209">
        <f>53251.7+168.4+241.6-384.6</f>
        <v>53277.1</v>
      </c>
    </row>
    <row r="469" spans="1:13" s="190" customFormat="1" ht="37.5">
      <c r="A469" s="194"/>
      <c r="B469" s="211" t="s">
        <v>401</v>
      </c>
      <c r="C469" s="208" t="s">
        <v>399</v>
      </c>
      <c r="D469" s="193" t="s">
        <v>263</v>
      </c>
      <c r="E469" s="193" t="s">
        <v>89</v>
      </c>
      <c r="F469" s="661" t="s">
        <v>89</v>
      </c>
      <c r="G469" s="662" t="s">
        <v>69</v>
      </c>
      <c r="H469" s="662" t="s">
        <v>61</v>
      </c>
      <c r="I469" s="663" t="s">
        <v>402</v>
      </c>
      <c r="J469" s="193"/>
      <c r="K469" s="209">
        <v>1692.2</v>
      </c>
      <c r="L469" s="209">
        <f>L470</f>
        <v>0</v>
      </c>
      <c r="M469" s="209">
        <f>M470</f>
        <v>1692.2</v>
      </c>
    </row>
    <row r="470" spans="1:13" s="190" customFormat="1" ht="56.25">
      <c r="A470" s="194"/>
      <c r="B470" s="211" t="s">
        <v>105</v>
      </c>
      <c r="C470" s="208" t="s">
        <v>399</v>
      </c>
      <c r="D470" s="193" t="s">
        <v>263</v>
      </c>
      <c r="E470" s="193" t="s">
        <v>89</v>
      </c>
      <c r="F470" s="661" t="s">
        <v>89</v>
      </c>
      <c r="G470" s="662" t="s">
        <v>69</v>
      </c>
      <c r="H470" s="662" t="s">
        <v>61</v>
      </c>
      <c r="I470" s="663" t="s">
        <v>402</v>
      </c>
      <c r="J470" s="193" t="s">
        <v>106</v>
      </c>
      <c r="K470" s="209">
        <v>1692.2</v>
      </c>
      <c r="L470" s="209">
        <f>M470-K470</f>
        <v>0</v>
      </c>
      <c r="M470" s="209">
        <f>532.5+408.1+384.6+367</f>
        <v>1692.2</v>
      </c>
    </row>
    <row r="471" spans="1:13" s="190" customFormat="1" ht="18.75">
      <c r="A471" s="194"/>
      <c r="B471" s="211" t="s">
        <v>647</v>
      </c>
      <c r="C471" s="208" t="s">
        <v>399</v>
      </c>
      <c r="D471" s="193" t="s">
        <v>263</v>
      </c>
      <c r="E471" s="193" t="s">
        <v>89</v>
      </c>
      <c r="F471" s="661" t="s">
        <v>89</v>
      </c>
      <c r="G471" s="662" t="s">
        <v>69</v>
      </c>
      <c r="H471" s="662" t="s">
        <v>648</v>
      </c>
      <c r="I471" s="663" t="s">
        <v>68</v>
      </c>
      <c r="J471" s="193"/>
      <c r="K471" s="209">
        <v>3894.8</v>
      </c>
      <c r="L471" s="209">
        <f t="shared" ref="L471:M472" si="98">L472</f>
        <v>0</v>
      </c>
      <c r="M471" s="209">
        <f t="shared" si="98"/>
        <v>3894.8</v>
      </c>
    </row>
    <row r="472" spans="1:13" s="190" customFormat="1" ht="21.75" customHeight="1">
      <c r="A472" s="194"/>
      <c r="B472" s="211" t="s">
        <v>786</v>
      </c>
      <c r="C472" s="208" t="s">
        <v>399</v>
      </c>
      <c r="D472" s="193" t="s">
        <v>263</v>
      </c>
      <c r="E472" s="193" t="s">
        <v>89</v>
      </c>
      <c r="F472" s="661" t="s">
        <v>89</v>
      </c>
      <c r="G472" s="662" t="s">
        <v>69</v>
      </c>
      <c r="H472" s="662" t="s">
        <v>648</v>
      </c>
      <c r="I472" s="663" t="s">
        <v>785</v>
      </c>
      <c r="J472" s="193"/>
      <c r="K472" s="209">
        <v>3894.8</v>
      </c>
      <c r="L472" s="209">
        <f t="shared" si="98"/>
        <v>0</v>
      </c>
      <c r="M472" s="209">
        <f t="shared" si="98"/>
        <v>3894.8</v>
      </c>
    </row>
    <row r="473" spans="1:13" s="190" customFormat="1" ht="56.25">
      <c r="A473" s="194"/>
      <c r="B473" s="211" t="s">
        <v>105</v>
      </c>
      <c r="C473" s="208" t="s">
        <v>399</v>
      </c>
      <c r="D473" s="193" t="s">
        <v>263</v>
      </c>
      <c r="E473" s="193" t="s">
        <v>89</v>
      </c>
      <c r="F473" s="661" t="s">
        <v>89</v>
      </c>
      <c r="G473" s="662" t="s">
        <v>69</v>
      </c>
      <c r="H473" s="662" t="s">
        <v>648</v>
      </c>
      <c r="I473" s="663" t="s">
        <v>785</v>
      </c>
      <c r="J473" s="193" t="s">
        <v>106</v>
      </c>
      <c r="K473" s="209">
        <v>3894.8</v>
      </c>
      <c r="L473" s="209">
        <f>M473-K473</f>
        <v>0</v>
      </c>
      <c r="M473" s="209">
        <f>3700+198.4-3.6</f>
        <v>3894.8</v>
      </c>
    </row>
    <row r="474" spans="1:13" s="465" customFormat="1" ht="18.75">
      <c r="A474" s="194"/>
      <c r="B474" s="207" t="s">
        <v>449</v>
      </c>
      <c r="C474" s="208" t="s">
        <v>399</v>
      </c>
      <c r="D474" s="193" t="s">
        <v>263</v>
      </c>
      <c r="E474" s="193" t="s">
        <v>263</v>
      </c>
      <c r="F474" s="661"/>
      <c r="G474" s="662"/>
      <c r="H474" s="662"/>
      <c r="I474" s="663"/>
      <c r="J474" s="193"/>
      <c r="K474" s="209">
        <v>75.199999999999989</v>
      </c>
      <c r="L474" s="209">
        <f t="shared" ref="L474:M484" si="99">L475</f>
        <v>194.8</v>
      </c>
      <c r="M474" s="209">
        <f t="shared" si="99"/>
        <v>270</v>
      </c>
    </row>
    <row r="475" spans="1:13" s="190" customFormat="1" ht="56.25">
      <c r="A475" s="194"/>
      <c r="B475" s="213" t="s">
        <v>252</v>
      </c>
      <c r="C475" s="208" t="s">
        <v>399</v>
      </c>
      <c r="D475" s="193" t="s">
        <v>263</v>
      </c>
      <c r="E475" s="193" t="s">
        <v>263</v>
      </c>
      <c r="F475" s="661" t="s">
        <v>89</v>
      </c>
      <c r="G475" s="662" t="s">
        <v>66</v>
      </c>
      <c r="H475" s="662" t="s">
        <v>67</v>
      </c>
      <c r="I475" s="663" t="s">
        <v>68</v>
      </c>
      <c r="J475" s="193"/>
      <c r="K475" s="209">
        <v>75.199999999999989</v>
      </c>
      <c r="L475" s="209">
        <f t="shared" si="99"/>
        <v>194.8</v>
      </c>
      <c r="M475" s="209">
        <f t="shared" si="99"/>
        <v>270</v>
      </c>
    </row>
    <row r="476" spans="1:13" s="190" customFormat="1" ht="75">
      <c r="A476" s="194"/>
      <c r="B476" s="213" t="s">
        <v>253</v>
      </c>
      <c r="C476" s="208" t="s">
        <v>399</v>
      </c>
      <c r="D476" s="193" t="s">
        <v>263</v>
      </c>
      <c r="E476" s="193" t="s">
        <v>263</v>
      </c>
      <c r="F476" s="661" t="s">
        <v>89</v>
      </c>
      <c r="G476" s="662" t="s">
        <v>69</v>
      </c>
      <c r="H476" s="662" t="s">
        <v>67</v>
      </c>
      <c r="I476" s="663" t="s">
        <v>68</v>
      </c>
      <c r="J476" s="193"/>
      <c r="K476" s="209">
        <v>75.199999999999989</v>
      </c>
      <c r="L476" s="209">
        <f t="shared" si="99"/>
        <v>194.8</v>
      </c>
      <c r="M476" s="209">
        <f t="shared" si="99"/>
        <v>270</v>
      </c>
    </row>
    <row r="477" spans="1:13" s="190" customFormat="1" ht="56.25">
      <c r="A477" s="194"/>
      <c r="B477" s="213" t="s">
        <v>343</v>
      </c>
      <c r="C477" s="208" t="s">
        <v>399</v>
      </c>
      <c r="D477" s="193" t="s">
        <v>263</v>
      </c>
      <c r="E477" s="193" t="s">
        <v>263</v>
      </c>
      <c r="F477" s="661" t="s">
        <v>89</v>
      </c>
      <c r="G477" s="662" t="s">
        <v>69</v>
      </c>
      <c r="H477" s="662" t="s">
        <v>91</v>
      </c>
      <c r="I477" s="663" t="s">
        <v>68</v>
      </c>
      <c r="J477" s="193"/>
      <c r="K477" s="209">
        <v>75.199999999999989</v>
      </c>
      <c r="L477" s="209">
        <f t="shared" si="99"/>
        <v>194.8</v>
      </c>
      <c r="M477" s="209">
        <f t="shared" si="99"/>
        <v>270</v>
      </c>
    </row>
    <row r="478" spans="1:13" s="190" customFormat="1" ht="37.5">
      <c r="A478" s="194"/>
      <c r="B478" s="212" t="s">
        <v>641</v>
      </c>
      <c r="C478" s="208" t="s">
        <v>399</v>
      </c>
      <c r="D478" s="193" t="s">
        <v>263</v>
      </c>
      <c r="E478" s="193" t="s">
        <v>263</v>
      </c>
      <c r="F478" s="661" t="s">
        <v>89</v>
      </c>
      <c r="G478" s="662" t="s">
        <v>69</v>
      </c>
      <c r="H478" s="662" t="s">
        <v>91</v>
      </c>
      <c r="I478" s="663" t="s">
        <v>642</v>
      </c>
      <c r="J478" s="193"/>
      <c r="K478" s="209">
        <v>75.199999999999989</v>
      </c>
      <c r="L478" s="209">
        <f t="shared" si="99"/>
        <v>194.8</v>
      </c>
      <c r="M478" s="209">
        <f t="shared" si="99"/>
        <v>270</v>
      </c>
    </row>
    <row r="479" spans="1:13" s="190" customFormat="1" ht="56.25">
      <c r="A479" s="194"/>
      <c r="B479" s="211" t="s">
        <v>105</v>
      </c>
      <c r="C479" s="208" t="s">
        <v>399</v>
      </c>
      <c r="D479" s="193" t="s">
        <v>263</v>
      </c>
      <c r="E479" s="193" t="s">
        <v>263</v>
      </c>
      <c r="F479" s="661" t="s">
        <v>89</v>
      </c>
      <c r="G479" s="662" t="s">
        <v>69</v>
      </c>
      <c r="H479" s="662" t="s">
        <v>91</v>
      </c>
      <c r="I479" s="663" t="s">
        <v>642</v>
      </c>
      <c r="J479" s="193" t="s">
        <v>106</v>
      </c>
      <c r="K479" s="209">
        <v>75.199999999999989</v>
      </c>
      <c r="L479" s="209">
        <f>M479-K479</f>
        <v>194.8</v>
      </c>
      <c r="M479" s="209">
        <f>270-198.4+3.6+194.8</f>
        <v>270</v>
      </c>
    </row>
    <row r="480" spans="1:13" s="190" customFormat="1" ht="18.75">
      <c r="A480" s="194"/>
      <c r="B480" s="207" t="s">
        <v>225</v>
      </c>
      <c r="C480" s="208" t="s">
        <v>399</v>
      </c>
      <c r="D480" s="193" t="s">
        <v>263</v>
      </c>
      <c r="E480" s="193" t="s">
        <v>109</v>
      </c>
      <c r="F480" s="661"/>
      <c r="G480" s="662"/>
      <c r="H480" s="662"/>
      <c r="I480" s="663"/>
      <c r="J480" s="193"/>
      <c r="K480" s="209">
        <v>180</v>
      </c>
      <c r="L480" s="209">
        <f t="shared" si="99"/>
        <v>0</v>
      </c>
      <c r="M480" s="209">
        <v>180</v>
      </c>
    </row>
    <row r="481" spans="1:13" s="190" customFormat="1" ht="56.25">
      <c r="A481" s="194"/>
      <c r="B481" s="213" t="s">
        <v>252</v>
      </c>
      <c r="C481" s="208" t="s">
        <v>399</v>
      </c>
      <c r="D481" s="193" t="s">
        <v>263</v>
      </c>
      <c r="E481" s="193" t="s">
        <v>109</v>
      </c>
      <c r="F481" s="661" t="s">
        <v>89</v>
      </c>
      <c r="G481" s="662" t="s">
        <v>66</v>
      </c>
      <c r="H481" s="662" t="s">
        <v>67</v>
      </c>
      <c r="I481" s="663" t="s">
        <v>68</v>
      </c>
      <c r="J481" s="193"/>
      <c r="K481" s="209">
        <v>180</v>
      </c>
      <c r="L481" s="209">
        <f t="shared" si="99"/>
        <v>0</v>
      </c>
      <c r="M481" s="209">
        <v>180</v>
      </c>
    </row>
    <row r="482" spans="1:13" s="190" customFormat="1" ht="75">
      <c r="A482" s="194"/>
      <c r="B482" s="213" t="s">
        <v>253</v>
      </c>
      <c r="C482" s="208" t="s">
        <v>399</v>
      </c>
      <c r="D482" s="193" t="s">
        <v>263</v>
      </c>
      <c r="E482" s="193" t="s">
        <v>109</v>
      </c>
      <c r="F482" s="661" t="s">
        <v>89</v>
      </c>
      <c r="G482" s="662" t="s">
        <v>69</v>
      </c>
      <c r="H482" s="662" t="s">
        <v>67</v>
      </c>
      <c r="I482" s="663" t="s">
        <v>68</v>
      </c>
      <c r="J482" s="193"/>
      <c r="K482" s="209">
        <v>180</v>
      </c>
      <c r="L482" s="209">
        <f t="shared" si="99"/>
        <v>0</v>
      </c>
      <c r="M482" s="209">
        <v>180</v>
      </c>
    </row>
    <row r="483" spans="1:13" s="190" customFormat="1" ht="18.75">
      <c r="A483" s="194"/>
      <c r="B483" s="211" t="s">
        <v>339</v>
      </c>
      <c r="C483" s="208" t="s">
        <v>399</v>
      </c>
      <c r="D483" s="193" t="s">
        <v>263</v>
      </c>
      <c r="E483" s="193" t="s">
        <v>109</v>
      </c>
      <c r="F483" s="661" t="s">
        <v>89</v>
      </c>
      <c r="G483" s="662" t="s">
        <v>69</v>
      </c>
      <c r="H483" s="662" t="s">
        <v>63</v>
      </c>
      <c r="I483" s="663" t="s">
        <v>68</v>
      </c>
      <c r="J483" s="193"/>
      <c r="K483" s="209">
        <v>180</v>
      </c>
      <c r="L483" s="209">
        <f t="shared" si="99"/>
        <v>0</v>
      </c>
      <c r="M483" s="209">
        <v>180</v>
      </c>
    </row>
    <row r="484" spans="1:13" s="190" customFormat="1" ht="40.5" customHeight="1">
      <c r="A484" s="194"/>
      <c r="B484" s="211" t="s">
        <v>250</v>
      </c>
      <c r="C484" s="208" t="s">
        <v>399</v>
      </c>
      <c r="D484" s="193" t="s">
        <v>263</v>
      </c>
      <c r="E484" s="193" t="s">
        <v>109</v>
      </c>
      <c r="F484" s="661" t="s">
        <v>89</v>
      </c>
      <c r="G484" s="662" t="s">
        <v>69</v>
      </c>
      <c r="H484" s="662" t="s">
        <v>63</v>
      </c>
      <c r="I484" s="663" t="s">
        <v>341</v>
      </c>
      <c r="J484" s="193"/>
      <c r="K484" s="209">
        <v>180</v>
      </c>
      <c r="L484" s="209">
        <f t="shared" si="99"/>
        <v>0</v>
      </c>
      <c r="M484" s="209">
        <v>180</v>
      </c>
    </row>
    <row r="485" spans="1:13" s="190" customFormat="1" ht="37.5">
      <c r="A485" s="194"/>
      <c r="B485" s="211" t="s">
        <v>152</v>
      </c>
      <c r="C485" s="208" t="s">
        <v>399</v>
      </c>
      <c r="D485" s="193" t="s">
        <v>263</v>
      </c>
      <c r="E485" s="193" t="s">
        <v>109</v>
      </c>
      <c r="F485" s="661" t="s">
        <v>89</v>
      </c>
      <c r="G485" s="662" t="s">
        <v>69</v>
      </c>
      <c r="H485" s="662" t="s">
        <v>63</v>
      </c>
      <c r="I485" s="663" t="s">
        <v>341</v>
      </c>
      <c r="J485" s="193" t="s">
        <v>153</v>
      </c>
      <c r="K485" s="209">
        <v>180</v>
      </c>
      <c r="L485" s="209">
        <f>M485-K485</f>
        <v>0</v>
      </c>
      <c r="M485" s="209">
        <v>180</v>
      </c>
    </row>
    <row r="486" spans="1:13" s="190" customFormat="1" ht="18.75">
      <c r="A486" s="194"/>
      <c r="B486" s="207" t="s">
        <v>227</v>
      </c>
      <c r="C486" s="208" t="s">
        <v>399</v>
      </c>
      <c r="D486" s="193" t="s">
        <v>265</v>
      </c>
      <c r="E486" s="193"/>
      <c r="F486" s="661"/>
      <c r="G486" s="662"/>
      <c r="H486" s="662"/>
      <c r="I486" s="663"/>
      <c r="J486" s="193"/>
      <c r="K486" s="209">
        <v>33999.599999999999</v>
      </c>
      <c r="L486" s="209">
        <f>L487+L513</f>
        <v>230.99999999999949</v>
      </c>
      <c r="M486" s="209">
        <f>M487+M513</f>
        <v>34230.6</v>
      </c>
    </row>
    <row r="487" spans="1:13" s="190" customFormat="1" ht="18.75">
      <c r="A487" s="194"/>
      <c r="B487" s="207" t="s">
        <v>229</v>
      </c>
      <c r="C487" s="208" t="s">
        <v>399</v>
      </c>
      <c r="D487" s="193" t="s">
        <v>265</v>
      </c>
      <c r="E487" s="193" t="s">
        <v>61</v>
      </c>
      <c r="F487" s="661"/>
      <c r="G487" s="662"/>
      <c r="H487" s="662"/>
      <c r="I487" s="663"/>
      <c r="J487" s="193"/>
      <c r="K487" s="209">
        <v>24360.7</v>
      </c>
      <c r="L487" s="209">
        <f>L488</f>
        <v>138.69999999999931</v>
      </c>
      <c r="M487" s="209">
        <f>M488</f>
        <v>24499.399999999998</v>
      </c>
    </row>
    <row r="488" spans="1:13" s="190" customFormat="1" ht="56.25">
      <c r="A488" s="194"/>
      <c r="B488" s="213" t="s">
        <v>252</v>
      </c>
      <c r="C488" s="208" t="s">
        <v>399</v>
      </c>
      <c r="D488" s="193" t="s">
        <v>265</v>
      </c>
      <c r="E488" s="193" t="s">
        <v>61</v>
      </c>
      <c r="F488" s="661" t="s">
        <v>89</v>
      </c>
      <c r="G488" s="662" t="s">
        <v>66</v>
      </c>
      <c r="H488" s="662" t="s">
        <v>67</v>
      </c>
      <c r="I488" s="663" t="s">
        <v>68</v>
      </c>
      <c r="J488" s="193"/>
      <c r="K488" s="209">
        <v>24360.7</v>
      </c>
      <c r="L488" s="209">
        <f>L489+L506</f>
        <v>138.69999999999931</v>
      </c>
      <c r="M488" s="209">
        <f>M489+M506</f>
        <v>24499.399999999998</v>
      </c>
    </row>
    <row r="489" spans="1:13" s="190" customFormat="1" ht="75">
      <c r="A489" s="194"/>
      <c r="B489" s="213" t="s">
        <v>253</v>
      </c>
      <c r="C489" s="208" t="s">
        <v>399</v>
      </c>
      <c r="D489" s="193" t="s">
        <v>265</v>
      </c>
      <c r="E489" s="193" t="s">
        <v>61</v>
      </c>
      <c r="F489" s="223" t="s">
        <v>89</v>
      </c>
      <c r="G489" s="385" t="s">
        <v>69</v>
      </c>
      <c r="H489" s="385" t="s">
        <v>67</v>
      </c>
      <c r="I489" s="386" t="s">
        <v>68</v>
      </c>
      <c r="J489" s="387"/>
      <c r="K489" s="209">
        <v>24300.7</v>
      </c>
      <c r="L489" s="209">
        <f>L490+L501</f>
        <v>-6.8212102632969618E-13</v>
      </c>
      <c r="M489" s="209">
        <f>M490+M501</f>
        <v>24300.699999999997</v>
      </c>
    </row>
    <row r="490" spans="1:13" s="190" customFormat="1" ht="18.75">
      <c r="A490" s="194"/>
      <c r="B490" s="207" t="s">
        <v>403</v>
      </c>
      <c r="C490" s="208" t="s">
        <v>399</v>
      </c>
      <c r="D490" s="193" t="s">
        <v>265</v>
      </c>
      <c r="E490" s="193" t="s">
        <v>61</v>
      </c>
      <c r="F490" s="223" t="s">
        <v>89</v>
      </c>
      <c r="G490" s="385" t="s">
        <v>69</v>
      </c>
      <c r="H490" s="385" t="s">
        <v>89</v>
      </c>
      <c r="I490" s="386" t="s">
        <v>68</v>
      </c>
      <c r="J490" s="387"/>
      <c r="K490" s="209">
        <v>11756.5</v>
      </c>
      <c r="L490" s="209">
        <f>L491+L495+L497+L499+L493</f>
        <v>0</v>
      </c>
      <c r="M490" s="209">
        <f>M491+M495+M497+M499+M493</f>
        <v>11756.5</v>
      </c>
    </row>
    <row r="491" spans="1:13" s="190" customFormat="1" ht="93.75">
      <c r="A491" s="194"/>
      <c r="B491" s="210" t="s">
        <v>404</v>
      </c>
      <c r="C491" s="208" t="s">
        <v>399</v>
      </c>
      <c r="D491" s="193" t="s">
        <v>265</v>
      </c>
      <c r="E491" s="193" t="s">
        <v>61</v>
      </c>
      <c r="F491" s="223" t="s">
        <v>89</v>
      </c>
      <c r="G491" s="385" t="s">
        <v>69</v>
      </c>
      <c r="H491" s="385" t="s">
        <v>89</v>
      </c>
      <c r="I491" s="386" t="s">
        <v>123</v>
      </c>
      <c r="J491" s="387"/>
      <c r="K491" s="209">
        <v>11049.6</v>
      </c>
      <c r="L491" s="209">
        <f>L492</f>
        <v>0</v>
      </c>
      <c r="M491" s="209">
        <f>M492</f>
        <v>11049.6</v>
      </c>
    </row>
    <row r="492" spans="1:13" s="190" customFormat="1" ht="56.25">
      <c r="A492" s="194"/>
      <c r="B492" s="211" t="s">
        <v>105</v>
      </c>
      <c r="C492" s="208" t="s">
        <v>399</v>
      </c>
      <c r="D492" s="193" t="s">
        <v>265</v>
      </c>
      <c r="E492" s="193" t="s">
        <v>61</v>
      </c>
      <c r="F492" s="661" t="s">
        <v>89</v>
      </c>
      <c r="G492" s="662" t="s">
        <v>69</v>
      </c>
      <c r="H492" s="662" t="s">
        <v>89</v>
      </c>
      <c r="I492" s="663" t="s">
        <v>123</v>
      </c>
      <c r="J492" s="193" t="s">
        <v>106</v>
      </c>
      <c r="K492" s="209">
        <v>11049.6</v>
      </c>
      <c r="L492" s="209">
        <f>M492-K492</f>
        <v>0</v>
      </c>
      <c r="M492" s="209">
        <v>11049.6</v>
      </c>
    </row>
    <row r="493" spans="1:13" s="190" customFormat="1" ht="37.5">
      <c r="A493" s="194"/>
      <c r="B493" s="207" t="s">
        <v>516</v>
      </c>
      <c r="C493" s="208" t="s">
        <v>399</v>
      </c>
      <c r="D493" s="193" t="s">
        <v>265</v>
      </c>
      <c r="E493" s="193" t="s">
        <v>61</v>
      </c>
      <c r="F493" s="667" t="s">
        <v>89</v>
      </c>
      <c r="G493" s="668" t="s">
        <v>69</v>
      </c>
      <c r="H493" s="668" t="s">
        <v>89</v>
      </c>
      <c r="I493" s="669" t="s">
        <v>515</v>
      </c>
      <c r="J493" s="193"/>
      <c r="K493" s="209">
        <v>83.9</v>
      </c>
      <c r="L493" s="209">
        <f>L494</f>
        <v>0</v>
      </c>
      <c r="M493" s="209">
        <f>M494</f>
        <v>83.9</v>
      </c>
    </row>
    <row r="494" spans="1:13" s="190" customFormat="1" ht="56.25">
      <c r="A494" s="194"/>
      <c r="B494" s="211" t="s">
        <v>105</v>
      </c>
      <c r="C494" s="208" t="s">
        <v>399</v>
      </c>
      <c r="D494" s="193" t="s">
        <v>265</v>
      </c>
      <c r="E494" s="193" t="s">
        <v>61</v>
      </c>
      <c r="F494" s="667" t="s">
        <v>89</v>
      </c>
      <c r="G494" s="668" t="s">
        <v>69</v>
      </c>
      <c r="H494" s="668" t="s">
        <v>89</v>
      </c>
      <c r="I494" s="669" t="s">
        <v>515</v>
      </c>
      <c r="J494" s="193" t="s">
        <v>106</v>
      </c>
      <c r="K494" s="209">
        <v>83.9</v>
      </c>
      <c r="L494" s="209">
        <f>M494-K494</f>
        <v>0</v>
      </c>
      <c r="M494" s="209">
        <f>83.9</f>
        <v>83.9</v>
      </c>
    </row>
    <row r="495" spans="1:13" s="190" customFormat="1" ht="37.5">
      <c r="A495" s="194"/>
      <c r="B495" s="211" t="s">
        <v>401</v>
      </c>
      <c r="C495" s="208" t="s">
        <v>399</v>
      </c>
      <c r="D495" s="193" t="s">
        <v>265</v>
      </c>
      <c r="E495" s="193" t="s">
        <v>61</v>
      </c>
      <c r="F495" s="223" t="s">
        <v>89</v>
      </c>
      <c r="G495" s="385" t="s">
        <v>69</v>
      </c>
      <c r="H495" s="385" t="s">
        <v>89</v>
      </c>
      <c r="I495" s="386" t="s">
        <v>402</v>
      </c>
      <c r="J495" s="387"/>
      <c r="K495" s="209">
        <v>141.70000000000002</v>
      </c>
      <c r="L495" s="209">
        <f>L496</f>
        <v>0</v>
      </c>
      <c r="M495" s="209">
        <f>M496</f>
        <v>141.70000000000002</v>
      </c>
    </row>
    <row r="496" spans="1:13" s="190" customFormat="1" ht="56.25">
      <c r="A496" s="194"/>
      <c r="B496" s="211" t="s">
        <v>105</v>
      </c>
      <c r="C496" s="208" t="s">
        <v>399</v>
      </c>
      <c r="D496" s="193" t="s">
        <v>265</v>
      </c>
      <c r="E496" s="193" t="s">
        <v>61</v>
      </c>
      <c r="F496" s="223" t="s">
        <v>89</v>
      </c>
      <c r="G496" s="385" t="s">
        <v>69</v>
      </c>
      <c r="H496" s="385" t="s">
        <v>89</v>
      </c>
      <c r="I496" s="386" t="s">
        <v>402</v>
      </c>
      <c r="J496" s="387" t="s">
        <v>106</v>
      </c>
      <c r="K496" s="209">
        <v>141.70000000000002</v>
      </c>
      <c r="L496" s="209">
        <f>M496-K496</f>
        <v>0</v>
      </c>
      <c r="M496" s="209">
        <f>144.3-2.6</f>
        <v>141.70000000000002</v>
      </c>
    </row>
    <row r="497" spans="1:13" s="190" customFormat="1" ht="56.25">
      <c r="A497" s="194"/>
      <c r="B497" s="211" t="s">
        <v>254</v>
      </c>
      <c r="C497" s="208" t="s">
        <v>399</v>
      </c>
      <c r="D497" s="193" t="s">
        <v>265</v>
      </c>
      <c r="E497" s="193" t="s">
        <v>61</v>
      </c>
      <c r="F497" s="661" t="s">
        <v>89</v>
      </c>
      <c r="G497" s="662" t="s">
        <v>69</v>
      </c>
      <c r="H497" s="662" t="s">
        <v>89</v>
      </c>
      <c r="I497" s="663" t="s">
        <v>405</v>
      </c>
      <c r="J497" s="193"/>
      <c r="K497" s="209">
        <v>430</v>
      </c>
      <c r="L497" s="209">
        <f>L498</f>
        <v>0</v>
      </c>
      <c r="M497" s="209">
        <f>M498</f>
        <v>430</v>
      </c>
    </row>
    <row r="498" spans="1:13" s="190" customFormat="1" ht="56.25">
      <c r="A498" s="194"/>
      <c r="B498" s="211" t="s">
        <v>105</v>
      </c>
      <c r="C498" s="208" t="s">
        <v>399</v>
      </c>
      <c r="D498" s="193" t="s">
        <v>265</v>
      </c>
      <c r="E498" s="193" t="s">
        <v>61</v>
      </c>
      <c r="F498" s="661" t="s">
        <v>89</v>
      </c>
      <c r="G498" s="662" t="s">
        <v>69</v>
      </c>
      <c r="H498" s="662" t="s">
        <v>89</v>
      </c>
      <c r="I498" s="663" t="s">
        <v>405</v>
      </c>
      <c r="J498" s="193" t="s">
        <v>106</v>
      </c>
      <c r="K498" s="209">
        <v>430</v>
      </c>
      <c r="L498" s="209">
        <f>M498-K498</f>
        <v>0</v>
      </c>
      <c r="M498" s="209">
        <v>430</v>
      </c>
    </row>
    <row r="499" spans="1:13" s="190" customFormat="1" ht="93.75">
      <c r="A499" s="194"/>
      <c r="B499" s="211" t="s">
        <v>886</v>
      </c>
      <c r="C499" s="208" t="s">
        <v>399</v>
      </c>
      <c r="D499" s="193" t="s">
        <v>265</v>
      </c>
      <c r="E499" s="193" t="s">
        <v>61</v>
      </c>
      <c r="F499" s="661" t="s">
        <v>89</v>
      </c>
      <c r="G499" s="662" t="s">
        <v>69</v>
      </c>
      <c r="H499" s="662" t="s">
        <v>89</v>
      </c>
      <c r="I499" s="663" t="s">
        <v>885</v>
      </c>
      <c r="J499" s="193"/>
      <c r="K499" s="209">
        <v>51.300000000000004</v>
      </c>
      <c r="L499" s="209">
        <f>L500</f>
        <v>0</v>
      </c>
      <c r="M499" s="209">
        <f>M500</f>
        <v>51.300000000000004</v>
      </c>
    </row>
    <row r="500" spans="1:13" s="190" customFormat="1" ht="56.25">
      <c r="A500" s="194"/>
      <c r="B500" s="211" t="s">
        <v>105</v>
      </c>
      <c r="C500" s="208" t="s">
        <v>399</v>
      </c>
      <c r="D500" s="193" t="s">
        <v>265</v>
      </c>
      <c r="E500" s="193" t="s">
        <v>61</v>
      </c>
      <c r="F500" s="661" t="s">
        <v>89</v>
      </c>
      <c r="G500" s="662" t="s">
        <v>69</v>
      </c>
      <c r="H500" s="662" t="s">
        <v>89</v>
      </c>
      <c r="I500" s="663" t="s">
        <v>885</v>
      </c>
      <c r="J500" s="193" t="s">
        <v>106</v>
      </c>
      <c r="K500" s="209">
        <v>51.300000000000004</v>
      </c>
      <c r="L500" s="209">
        <f t="shared" ref="L500" si="100">M500-K500</f>
        <v>0</v>
      </c>
      <c r="M500" s="209">
        <f>48.7+2.6</f>
        <v>51.300000000000004</v>
      </c>
    </row>
    <row r="501" spans="1:13" s="190" customFormat="1" ht="37.5">
      <c r="A501" s="194"/>
      <c r="B501" s="211" t="s">
        <v>406</v>
      </c>
      <c r="C501" s="208" t="s">
        <v>399</v>
      </c>
      <c r="D501" s="193" t="s">
        <v>265</v>
      </c>
      <c r="E501" s="193" t="s">
        <v>61</v>
      </c>
      <c r="F501" s="223" t="s">
        <v>89</v>
      </c>
      <c r="G501" s="385" t="s">
        <v>69</v>
      </c>
      <c r="H501" s="385" t="s">
        <v>76</v>
      </c>
      <c r="I501" s="663" t="s">
        <v>68</v>
      </c>
      <c r="J501" s="193"/>
      <c r="K501" s="209">
        <v>12544.2</v>
      </c>
      <c r="L501" s="209">
        <f>L502</f>
        <v>-6.8212102632969618E-13</v>
      </c>
      <c r="M501" s="209">
        <f>M502</f>
        <v>12544.199999999999</v>
      </c>
    </row>
    <row r="502" spans="1:13" s="190" customFormat="1" ht="77.25" customHeight="1">
      <c r="A502" s="194"/>
      <c r="B502" s="210" t="s">
        <v>404</v>
      </c>
      <c r="C502" s="208" t="s">
        <v>399</v>
      </c>
      <c r="D502" s="193" t="s">
        <v>265</v>
      </c>
      <c r="E502" s="193" t="s">
        <v>61</v>
      </c>
      <c r="F502" s="223" t="s">
        <v>89</v>
      </c>
      <c r="G502" s="385" t="s">
        <v>69</v>
      </c>
      <c r="H502" s="385" t="s">
        <v>76</v>
      </c>
      <c r="I502" s="386" t="s">
        <v>123</v>
      </c>
      <c r="J502" s="387"/>
      <c r="K502" s="209">
        <v>12544.2</v>
      </c>
      <c r="L502" s="209">
        <f>L503+L504+L505</f>
        <v>-6.8212102632969618E-13</v>
      </c>
      <c r="M502" s="209">
        <f>M503+M504+M505</f>
        <v>12544.199999999999</v>
      </c>
    </row>
    <row r="503" spans="1:13" s="190" customFormat="1" ht="87" customHeight="1">
      <c r="A503" s="194"/>
      <c r="B503" s="207" t="s">
        <v>73</v>
      </c>
      <c r="C503" s="208" t="s">
        <v>399</v>
      </c>
      <c r="D503" s="193" t="s">
        <v>265</v>
      </c>
      <c r="E503" s="193" t="s">
        <v>61</v>
      </c>
      <c r="F503" s="661" t="s">
        <v>89</v>
      </c>
      <c r="G503" s="662" t="s">
        <v>69</v>
      </c>
      <c r="H503" s="662" t="s">
        <v>76</v>
      </c>
      <c r="I503" s="663" t="s">
        <v>123</v>
      </c>
      <c r="J503" s="193" t="s">
        <v>74</v>
      </c>
      <c r="K503" s="209">
        <v>11640.1</v>
      </c>
      <c r="L503" s="209">
        <f t="shared" ref="L503:L505" si="101">M503-K503</f>
        <v>40.299999999999272</v>
      </c>
      <c r="M503" s="209">
        <f>11430.4+209.7+40.3</f>
        <v>11680.4</v>
      </c>
    </row>
    <row r="504" spans="1:13" s="190" customFormat="1" ht="40.5" customHeight="1">
      <c r="A504" s="194"/>
      <c r="B504" s="207" t="s">
        <v>79</v>
      </c>
      <c r="C504" s="208" t="s">
        <v>399</v>
      </c>
      <c r="D504" s="193" t="s">
        <v>265</v>
      </c>
      <c r="E504" s="193" t="s">
        <v>61</v>
      </c>
      <c r="F504" s="661" t="s">
        <v>89</v>
      </c>
      <c r="G504" s="662" t="s">
        <v>69</v>
      </c>
      <c r="H504" s="662" t="s">
        <v>76</v>
      </c>
      <c r="I504" s="663" t="s">
        <v>123</v>
      </c>
      <c r="J504" s="193" t="s">
        <v>80</v>
      </c>
      <c r="K504" s="209">
        <v>882.7</v>
      </c>
      <c r="L504" s="209">
        <f t="shared" si="101"/>
        <v>-40.299999999999955</v>
      </c>
      <c r="M504" s="209">
        <f>882.7-40.3</f>
        <v>842.40000000000009</v>
      </c>
    </row>
    <row r="505" spans="1:13" s="190" customFormat="1" ht="18.75">
      <c r="A505" s="194"/>
      <c r="B505" s="207" t="s">
        <v>81</v>
      </c>
      <c r="C505" s="208" t="s">
        <v>399</v>
      </c>
      <c r="D505" s="193" t="s">
        <v>265</v>
      </c>
      <c r="E505" s="193" t="s">
        <v>61</v>
      </c>
      <c r="F505" s="661" t="s">
        <v>89</v>
      </c>
      <c r="G505" s="662" t="s">
        <v>69</v>
      </c>
      <c r="H505" s="662" t="s">
        <v>76</v>
      </c>
      <c r="I505" s="663" t="s">
        <v>123</v>
      </c>
      <c r="J505" s="193" t="s">
        <v>82</v>
      </c>
      <c r="K505" s="209">
        <v>21.4</v>
      </c>
      <c r="L505" s="209">
        <f t="shared" si="101"/>
        <v>0</v>
      </c>
      <c r="M505" s="209">
        <v>21.4</v>
      </c>
    </row>
    <row r="506" spans="1:13" s="190" customFormat="1" ht="37.5" customHeight="1">
      <c r="A506" s="194"/>
      <c r="B506" s="207" t="s">
        <v>415</v>
      </c>
      <c r="C506" s="208" t="s">
        <v>399</v>
      </c>
      <c r="D506" s="193" t="s">
        <v>265</v>
      </c>
      <c r="E506" s="193" t="s">
        <v>61</v>
      </c>
      <c r="F506" s="223" t="s">
        <v>89</v>
      </c>
      <c r="G506" s="385" t="s">
        <v>120</v>
      </c>
      <c r="H506" s="385" t="s">
        <v>67</v>
      </c>
      <c r="I506" s="663" t="s">
        <v>68</v>
      </c>
      <c r="J506" s="193"/>
      <c r="K506" s="209">
        <v>60</v>
      </c>
      <c r="L506" s="209">
        <f>L507</f>
        <v>138.69999999999999</v>
      </c>
      <c r="M506" s="209">
        <f>M507</f>
        <v>198.7</v>
      </c>
    </row>
    <row r="507" spans="1:13" s="190" customFormat="1" ht="92.25" customHeight="1">
      <c r="A507" s="194"/>
      <c r="B507" s="211" t="s">
        <v>407</v>
      </c>
      <c r="C507" s="208" t="s">
        <v>399</v>
      </c>
      <c r="D507" s="193" t="s">
        <v>265</v>
      </c>
      <c r="E507" s="193" t="s">
        <v>61</v>
      </c>
      <c r="F507" s="223" t="s">
        <v>89</v>
      </c>
      <c r="G507" s="385" t="s">
        <v>120</v>
      </c>
      <c r="H507" s="385" t="s">
        <v>89</v>
      </c>
      <c r="I507" s="663" t="s">
        <v>68</v>
      </c>
      <c r="J507" s="193"/>
      <c r="K507" s="209">
        <v>60</v>
      </c>
      <c r="L507" s="209">
        <f>L508+L511</f>
        <v>138.69999999999999</v>
      </c>
      <c r="M507" s="209">
        <f>M508+M511</f>
        <v>198.7</v>
      </c>
    </row>
    <row r="508" spans="1:13" s="190" customFormat="1" ht="37.5">
      <c r="A508" s="194"/>
      <c r="B508" s="211" t="s">
        <v>401</v>
      </c>
      <c r="C508" s="208" t="s">
        <v>399</v>
      </c>
      <c r="D508" s="193" t="s">
        <v>265</v>
      </c>
      <c r="E508" s="193" t="s">
        <v>61</v>
      </c>
      <c r="F508" s="223" t="s">
        <v>89</v>
      </c>
      <c r="G508" s="385" t="s">
        <v>120</v>
      </c>
      <c r="H508" s="385" t="s">
        <v>89</v>
      </c>
      <c r="I508" s="386" t="s">
        <v>402</v>
      </c>
      <c r="J508" s="387"/>
      <c r="K508" s="209">
        <v>17.799999999999997</v>
      </c>
      <c r="L508" s="209">
        <f>L510+L509</f>
        <v>138.69999999999999</v>
      </c>
      <c r="M508" s="209">
        <f>M510+M509</f>
        <v>156.5</v>
      </c>
    </row>
    <row r="509" spans="1:13" s="190" customFormat="1" ht="56.25">
      <c r="A509" s="194"/>
      <c r="B509" s="207" t="s">
        <v>79</v>
      </c>
      <c r="C509" s="208" t="s">
        <v>399</v>
      </c>
      <c r="D509" s="193" t="s">
        <v>265</v>
      </c>
      <c r="E509" s="193" t="s">
        <v>61</v>
      </c>
      <c r="F509" s="223" t="s">
        <v>89</v>
      </c>
      <c r="G509" s="385" t="s">
        <v>120</v>
      </c>
      <c r="H509" s="385" t="s">
        <v>89</v>
      </c>
      <c r="I509" s="386" t="s">
        <v>402</v>
      </c>
      <c r="J509" s="387" t="s">
        <v>80</v>
      </c>
      <c r="K509" s="209"/>
      <c r="L509" s="209">
        <f>M509-K509</f>
        <v>138.69999999999999</v>
      </c>
      <c r="M509" s="209">
        <f>138.7</f>
        <v>138.69999999999999</v>
      </c>
    </row>
    <row r="510" spans="1:13" s="190" customFormat="1" ht="56.25">
      <c r="A510" s="194"/>
      <c r="B510" s="211" t="s">
        <v>105</v>
      </c>
      <c r="C510" s="208" t="s">
        <v>399</v>
      </c>
      <c r="D510" s="193" t="s">
        <v>265</v>
      </c>
      <c r="E510" s="193" t="s">
        <v>61</v>
      </c>
      <c r="F510" s="661" t="s">
        <v>89</v>
      </c>
      <c r="G510" s="662" t="s">
        <v>120</v>
      </c>
      <c r="H510" s="662" t="s">
        <v>89</v>
      </c>
      <c r="I510" s="663" t="s">
        <v>402</v>
      </c>
      <c r="J510" s="193" t="s">
        <v>106</v>
      </c>
      <c r="K510" s="209">
        <v>17.799999999999997</v>
      </c>
      <c r="L510" s="209">
        <f>M510-K510</f>
        <v>0</v>
      </c>
      <c r="M510" s="209">
        <f>20-2.1-0.1</f>
        <v>17.799999999999997</v>
      </c>
    </row>
    <row r="511" spans="1:13" s="190" customFormat="1" ht="56.25">
      <c r="A511" s="194"/>
      <c r="B511" s="211" t="s">
        <v>649</v>
      </c>
      <c r="C511" s="208" t="s">
        <v>399</v>
      </c>
      <c r="D511" s="193" t="s">
        <v>265</v>
      </c>
      <c r="E511" s="193" t="s">
        <v>61</v>
      </c>
      <c r="F511" s="661" t="s">
        <v>89</v>
      </c>
      <c r="G511" s="662" t="s">
        <v>120</v>
      </c>
      <c r="H511" s="662" t="s">
        <v>89</v>
      </c>
      <c r="I511" s="663" t="s">
        <v>650</v>
      </c>
      <c r="J511" s="193"/>
      <c r="K511" s="209">
        <v>42.2</v>
      </c>
      <c r="L511" s="209">
        <f>L512</f>
        <v>0</v>
      </c>
      <c r="M511" s="209">
        <f>M512</f>
        <v>42.2</v>
      </c>
    </row>
    <row r="512" spans="1:13" s="190" customFormat="1" ht="56.25">
      <c r="A512" s="194"/>
      <c r="B512" s="211" t="s">
        <v>105</v>
      </c>
      <c r="C512" s="208" t="s">
        <v>399</v>
      </c>
      <c r="D512" s="193" t="s">
        <v>265</v>
      </c>
      <c r="E512" s="193" t="s">
        <v>61</v>
      </c>
      <c r="F512" s="661" t="s">
        <v>89</v>
      </c>
      <c r="G512" s="662" t="s">
        <v>120</v>
      </c>
      <c r="H512" s="662" t="s">
        <v>89</v>
      </c>
      <c r="I512" s="663" t="s">
        <v>650</v>
      </c>
      <c r="J512" s="193" t="s">
        <v>106</v>
      </c>
      <c r="K512" s="209">
        <v>42.2</v>
      </c>
      <c r="L512" s="209">
        <f>M512-K512</f>
        <v>0</v>
      </c>
      <c r="M512" s="209">
        <f>42.1+0.1</f>
        <v>42.2</v>
      </c>
    </row>
    <row r="513" spans="1:13" s="190" customFormat="1" ht="37.5">
      <c r="A513" s="194"/>
      <c r="B513" s="207" t="s">
        <v>408</v>
      </c>
      <c r="C513" s="208" t="s">
        <v>399</v>
      </c>
      <c r="D513" s="193" t="s">
        <v>265</v>
      </c>
      <c r="E513" s="193" t="s">
        <v>76</v>
      </c>
      <c r="F513" s="223"/>
      <c r="G513" s="385"/>
      <c r="H513" s="385"/>
      <c r="I513" s="386"/>
      <c r="J513" s="387"/>
      <c r="K513" s="209">
        <v>9638.8999999999978</v>
      </c>
      <c r="L513" s="209">
        <f>L514</f>
        <v>92.300000000000182</v>
      </c>
      <c r="M513" s="209">
        <f>M514</f>
        <v>9731.1999999999989</v>
      </c>
    </row>
    <row r="514" spans="1:13" s="190" customFormat="1" ht="56.25">
      <c r="A514" s="194"/>
      <c r="B514" s="213" t="s">
        <v>252</v>
      </c>
      <c r="C514" s="208" t="s">
        <v>399</v>
      </c>
      <c r="D514" s="193" t="s">
        <v>265</v>
      </c>
      <c r="E514" s="193" t="s">
        <v>76</v>
      </c>
      <c r="F514" s="223" t="s">
        <v>89</v>
      </c>
      <c r="G514" s="385" t="s">
        <v>66</v>
      </c>
      <c r="H514" s="385" t="s">
        <v>67</v>
      </c>
      <c r="I514" s="386" t="s">
        <v>68</v>
      </c>
      <c r="J514" s="387"/>
      <c r="K514" s="209">
        <v>9638.8999999999978</v>
      </c>
      <c r="L514" s="209">
        <f>L519+L515</f>
        <v>92.300000000000182</v>
      </c>
      <c r="M514" s="209">
        <f>M519+M515</f>
        <v>9731.1999999999989</v>
      </c>
    </row>
    <row r="515" spans="1:13" s="190" customFormat="1" ht="39.75" customHeight="1">
      <c r="A515" s="194"/>
      <c r="B515" s="207" t="s">
        <v>415</v>
      </c>
      <c r="C515" s="208" t="s">
        <v>399</v>
      </c>
      <c r="D515" s="193" t="s">
        <v>265</v>
      </c>
      <c r="E515" s="193" t="s">
        <v>76</v>
      </c>
      <c r="F515" s="661" t="s">
        <v>89</v>
      </c>
      <c r="G515" s="662" t="s">
        <v>120</v>
      </c>
      <c r="H515" s="662" t="s">
        <v>67</v>
      </c>
      <c r="I515" s="663" t="s">
        <v>68</v>
      </c>
      <c r="J515" s="193"/>
      <c r="K515" s="209">
        <v>672.8</v>
      </c>
      <c r="L515" s="209">
        <f t="shared" ref="L515:M517" si="102">L516</f>
        <v>84</v>
      </c>
      <c r="M515" s="209">
        <f t="shared" si="102"/>
        <v>756.8</v>
      </c>
    </row>
    <row r="516" spans="1:13" s="190" customFormat="1" ht="87" customHeight="1">
      <c r="A516" s="194"/>
      <c r="B516" s="370" t="s">
        <v>407</v>
      </c>
      <c r="C516" s="208" t="s">
        <v>399</v>
      </c>
      <c r="D516" s="193" t="s">
        <v>265</v>
      </c>
      <c r="E516" s="193" t="s">
        <v>76</v>
      </c>
      <c r="F516" s="661" t="s">
        <v>89</v>
      </c>
      <c r="G516" s="662" t="s">
        <v>120</v>
      </c>
      <c r="H516" s="662" t="s">
        <v>89</v>
      </c>
      <c r="I516" s="663" t="s">
        <v>68</v>
      </c>
      <c r="J516" s="193"/>
      <c r="K516" s="209">
        <v>672.8</v>
      </c>
      <c r="L516" s="209">
        <f t="shared" si="102"/>
        <v>84</v>
      </c>
      <c r="M516" s="209">
        <f t="shared" si="102"/>
        <v>756.8</v>
      </c>
    </row>
    <row r="517" spans="1:13" s="190" customFormat="1" ht="37.5">
      <c r="A517" s="194"/>
      <c r="B517" s="211" t="s">
        <v>401</v>
      </c>
      <c r="C517" s="208" t="s">
        <v>399</v>
      </c>
      <c r="D517" s="193" t="s">
        <v>265</v>
      </c>
      <c r="E517" s="193" t="s">
        <v>76</v>
      </c>
      <c r="F517" s="661" t="s">
        <v>89</v>
      </c>
      <c r="G517" s="662" t="s">
        <v>120</v>
      </c>
      <c r="H517" s="662" t="s">
        <v>89</v>
      </c>
      <c r="I517" s="663" t="s">
        <v>402</v>
      </c>
      <c r="J517" s="193"/>
      <c r="K517" s="209">
        <v>672.8</v>
      </c>
      <c r="L517" s="209">
        <f t="shared" si="102"/>
        <v>84</v>
      </c>
      <c r="M517" s="209">
        <f t="shared" si="102"/>
        <v>756.8</v>
      </c>
    </row>
    <row r="518" spans="1:13" s="190" customFormat="1" ht="50.25" customHeight="1">
      <c r="A518" s="194"/>
      <c r="B518" s="207" t="s">
        <v>79</v>
      </c>
      <c r="C518" s="208" t="s">
        <v>399</v>
      </c>
      <c r="D518" s="193" t="s">
        <v>265</v>
      </c>
      <c r="E518" s="193" t="s">
        <v>76</v>
      </c>
      <c r="F518" s="661" t="s">
        <v>89</v>
      </c>
      <c r="G518" s="662" t="s">
        <v>120</v>
      </c>
      <c r="H518" s="662" t="s">
        <v>89</v>
      </c>
      <c r="I518" s="663" t="s">
        <v>402</v>
      </c>
      <c r="J518" s="193" t="s">
        <v>80</v>
      </c>
      <c r="K518" s="209">
        <v>672.8</v>
      </c>
      <c r="L518" s="209">
        <f>M518-K518</f>
        <v>84</v>
      </c>
      <c r="M518" s="209">
        <f>672.8+40+44</f>
        <v>756.8</v>
      </c>
    </row>
    <row r="519" spans="1:13" s="190" customFormat="1" ht="56.25">
      <c r="A519" s="194"/>
      <c r="B519" s="207" t="s">
        <v>255</v>
      </c>
      <c r="C519" s="208" t="s">
        <v>399</v>
      </c>
      <c r="D519" s="193" t="s">
        <v>265</v>
      </c>
      <c r="E519" s="193" t="s">
        <v>76</v>
      </c>
      <c r="F519" s="661" t="s">
        <v>89</v>
      </c>
      <c r="G519" s="662" t="s">
        <v>54</v>
      </c>
      <c r="H519" s="662" t="s">
        <v>67</v>
      </c>
      <c r="I519" s="663" t="s">
        <v>68</v>
      </c>
      <c r="J519" s="193"/>
      <c r="K519" s="209">
        <v>8966.0999999999985</v>
      </c>
      <c r="L519" s="209">
        <f>L520</f>
        <v>8.3000000000001819</v>
      </c>
      <c r="M519" s="209">
        <f>M520</f>
        <v>8974.4</v>
      </c>
    </row>
    <row r="520" spans="1:13" s="190" customFormat="1" ht="37.5">
      <c r="A520" s="194"/>
      <c r="B520" s="207" t="s">
        <v>344</v>
      </c>
      <c r="C520" s="208" t="s">
        <v>399</v>
      </c>
      <c r="D520" s="193" t="s">
        <v>265</v>
      </c>
      <c r="E520" s="193" t="s">
        <v>76</v>
      </c>
      <c r="F520" s="661" t="s">
        <v>89</v>
      </c>
      <c r="G520" s="662" t="s">
        <v>54</v>
      </c>
      <c r="H520" s="662" t="s">
        <v>61</v>
      </c>
      <c r="I520" s="663" t="s">
        <v>68</v>
      </c>
      <c r="J520" s="193"/>
      <c r="K520" s="209">
        <v>8966.0999999999985</v>
      </c>
      <c r="L520" s="209">
        <f>L521+L525</f>
        <v>8.3000000000001819</v>
      </c>
      <c r="M520" s="209">
        <f>M521+M525</f>
        <v>8974.4</v>
      </c>
    </row>
    <row r="521" spans="1:13" s="190" customFormat="1" ht="37.5">
      <c r="A521" s="194"/>
      <c r="B521" s="207" t="s">
        <v>71</v>
      </c>
      <c r="C521" s="208" t="s">
        <v>399</v>
      </c>
      <c r="D521" s="193" t="s">
        <v>265</v>
      </c>
      <c r="E521" s="193" t="s">
        <v>76</v>
      </c>
      <c r="F521" s="661" t="s">
        <v>89</v>
      </c>
      <c r="G521" s="662" t="s">
        <v>54</v>
      </c>
      <c r="H521" s="662" t="s">
        <v>61</v>
      </c>
      <c r="I521" s="663" t="s">
        <v>72</v>
      </c>
      <c r="J521" s="387"/>
      <c r="K521" s="209">
        <v>2726.2</v>
      </c>
      <c r="L521" s="209">
        <f>L522+L523+L524</f>
        <v>8.3000000000001819</v>
      </c>
      <c r="M521" s="209">
        <f>M522+M523+M524</f>
        <v>2734.5</v>
      </c>
    </row>
    <row r="522" spans="1:13" s="190" customFormat="1" ht="112.5">
      <c r="A522" s="194"/>
      <c r="B522" s="207" t="s">
        <v>73</v>
      </c>
      <c r="C522" s="208" t="s">
        <v>399</v>
      </c>
      <c r="D522" s="193" t="s">
        <v>265</v>
      </c>
      <c r="E522" s="193" t="s">
        <v>76</v>
      </c>
      <c r="F522" s="661" t="s">
        <v>89</v>
      </c>
      <c r="G522" s="662" t="s">
        <v>54</v>
      </c>
      <c r="H522" s="662" t="s">
        <v>61</v>
      </c>
      <c r="I522" s="663" t="s">
        <v>72</v>
      </c>
      <c r="J522" s="387" t="s">
        <v>74</v>
      </c>
      <c r="K522" s="209">
        <v>2505.1999999999998</v>
      </c>
      <c r="L522" s="209">
        <f t="shared" ref="L522:L524" si="103">M522-K522</f>
        <v>17.300000000000182</v>
      </c>
      <c r="M522" s="209">
        <f>2505.2+8.3+9</f>
        <v>2522.5</v>
      </c>
    </row>
    <row r="523" spans="1:13" s="190" customFormat="1" ht="56.25">
      <c r="A523" s="194"/>
      <c r="B523" s="207" t="s">
        <v>79</v>
      </c>
      <c r="C523" s="208" t="s">
        <v>399</v>
      </c>
      <c r="D523" s="193" t="s">
        <v>265</v>
      </c>
      <c r="E523" s="193" t="s">
        <v>76</v>
      </c>
      <c r="F523" s="661" t="s">
        <v>89</v>
      </c>
      <c r="G523" s="662" t="s">
        <v>54</v>
      </c>
      <c r="H523" s="662" t="s">
        <v>61</v>
      </c>
      <c r="I523" s="663" t="s">
        <v>72</v>
      </c>
      <c r="J523" s="387" t="s">
        <v>80</v>
      </c>
      <c r="K523" s="209">
        <v>216.5</v>
      </c>
      <c r="L523" s="209">
        <f t="shared" si="103"/>
        <v>-9</v>
      </c>
      <c r="M523" s="209">
        <f>216.5-9</f>
        <v>207.5</v>
      </c>
    </row>
    <row r="524" spans="1:13" s="190" customFormat="1" ht="18.75">
      <c r="A524" s="194"/>
      <c r="B524" s="207" t="s">
        <v>81</v>
      </c>
      <c r="C524" s="208" t="s">
        <v>399</v>
      </c>
      <c r="D524" s="193" t="s">
        <v>265</v>
      </c>
      <c r="E524" s="193" t="s">
        <v>76</v>
      </c>
      <c r="F524" s="661" t="s">
        <v>89</v>
      </c>
      <c r="G524" s="662" t="s">
        <v>54</v>
      </c>
      <c r="H524" s="662" t="s">
        <v>61</v>
      </c>
      <c r="I524" s="663" t="s">
        <v>72</v>
      </c>
      <c r="J524" s="193" t="s">
        <v>82</v>
      </c>
      <c r="K524" s="209">
        <v>4.5</v>
      </c>
      <c r="L524" s="209">
        <f t="shared" si="103"/>
        <v>0</v>
      </c>
      <c r="M524" s="209">
        <v>4.5</v>
      </c>
    </row>
    <row r="525" spans="1:13" s="190" customFormat="1" ht="93.75">
      <c r="A525" s="194"/>
      <c r="B525" s="210" t="s">
        <v>404</v>
      </c>
      <c r="C525" s="208" t="s">
        <v>399</v>
      </c>
      <c r="D525" s="193" t="s">
        <v>265</v>
      </c>
      <c r="E525" s="193" t="s">
        <v>76</v>
      </c>
      <c r="F525" s="661" t="s">
        <v>89</v>
      </c>
      <c r="G525" s="662" t="s">
        <v>54</v>
      </c>
      <c r="H525" s="662" t="s">
        <v>61</v>
      </c>
      <c r="I525" s="663" t="s">
        <v>123</v>
      </c>
      <c r="J525" s="193"/>
      <c r="K525" s="209">
        <v>6239.9</v>
      </c>
      <c r="L525" s="209">
        <f>L526+L527+L528</f>
        <v>0</v>
      </c>
      <c r="M525" s="209">
        <f>M526+M527+M528</f>
        <v>6239.9</v>
      </c>
    </row>
    <row r="526" spans="1:13" s="190" customFormat="1" ht="112.5">
      <c r="A526" s="194"/>
      <c r="B526" s="207" t="s">
        <v>73</v>
      </c>
      <c r="C526" s="505" t="s">
        <v>399</v>
      </c>
      <c r="D526" s="387" t="s">
        <v>265</v>
      </c>
      <c r="E526" s="387" t="s">
        <v>76</v>
      </c>
      <c r="F526" s="661" t="s">
        <v>89</v>
      </c>
      <c r="G526" s="662" t="s">
        <v>54</v>
      </c>
      <c r="H526" s="662" t="s">
        <v>61</v>
      </c>
      <c r="I526" s="663" t="s">
        <v>123</v>
      </c>
      <c r="J526" s="387" t="s">
        <v>74</v>
      </c>
      <c r="K526" s="209">
        <v>5729.7</v>
      </c>
      <c r="L526" s="209">
        <f t="shared" ref="L526:L528" si="104">M526-K526</f>
        <v>0</v>
      </c>
      <c r="M526" s="209">
        <v>5729.7</v>
      </c>
    </row>
    <row r="527" spans="1:13" s="190" customFormat="1" ht="56.25">
      <c r="A527" s="194"/>
      <c r="B527" s="207" t="s">
        <v>79</v>
      </c>
      <c r="C527" s="505" t="s">
        <v>399</v>
      </c>
      <c r="D527" s="387" t="s">
        <v>265</v>
      </c>
      <c r="E527" s="387" t="s">
        <v>76</v>
      </c>
      <c r="F527" s="661" t="s">
        <v>89</v>
      </c>
      <c r="G527" s="662" t="s">
        <v>54</v>
      </c>
      <c r="H527" s="662" t="s">
        <v>61</v>
      </c>
      <c r="I527" s="663" t="s">
        <v>123</v>
      </c>
      <c r="J527" s="387" t="s">
        <v>80</v>
      </c>
      <c r="K527" s="209">
        <v>508.5</v>
      </c>
      <c r="L527" s="209">
        <f t="shared" si="104"/>
        <v>0</v>
      </c>
      <c r="M527" s="209">
        <f>430.9+77.6</f>
        <v>508.5</v>
      </c>
    </row>
    <row r="528" spans="1:13" s="190" customFormat="1" ht="18.75">
      <c r="A528" s="194"/>
      <c r="B528" s="207" t="s">
        <v>81</v>
      </c>
      <c r="C528" s="505" t="s">
        <v>399</v>
      </c>
      <c r="D528" s="387" t="s">
        <v>265</v>
      </c>
      <c r="E528" s="387" t="s">
        <v>76</v>
      </c>
      <c r="F528" s="661" t="s">
        <v>89</v>
      </c>
      <c r="G528" s="662" t="s">
        <v>54</v>
      </c>
      <c r="H528" s="662" t="s">
        <v>61</v>
      </c>
      <c r="I528" s="663" t="s">
        <v>123</v>
      </c>
      <c r="J528" s="193" t="s">
        <v>82</v>
      </c>
      <c r="K528" s="209">
        <v>1.7</v>
      </c>
      <c r="L528" s="209">
        <f t="shared" si="104"/>
        <v>0</v>
      </c>
      <c r="M528" s="209">
        <v>1.7</v>
      </c>
    </row>
    <row r="529" spans="1:13" s="488" customFormat="1" ht="18.75">
      <c r="A529" s="483"/>
      <c r="B529" s="428"/>
      <c r="C529" s="526"/>
      <c r="D529" s="527"/>
      <c r="E529" s="527"/>
      <c r="F529" s="528"/>
      <c r="G529" s="529"/>
      <c r="H529" s="529"/>
      <c r="I529" s="530"/>
      <c r="J529" s="527"/>
      <c r="K529" s="487"/>
      <c r="L529" s="487"/>
      <c r="M529" s="487"/>
    </row>
    <row r="530" spans="1:13" s="465" customFormat="1" ht="56.25">
      <c r="A530" s="464">
        <v>7</v>
      </c>
      <c r="B530" s="201" t="s">
        <v>30</v>
      </c>
      <c r="C530" s="202" t="s">
        <v>353</v>
      </c>
      <c r="D530" s="203"/>
      <c r="E530" s="203"/>
      <c r="F530" s="204"/>
      <c r="G530" s="205"/>
      <c r="H530" s="205"/>
      <c r="I530" s="206"/>
      <c r="J530" s="203"/>
      <c r="K530" s="235">
        <v>38543.299999999996</v>
      </c>
      <c r="L530" s="235">
        <f>L531</f>
        <v>-2985</v>
      </c>
      <c r="M530" s="235">
        <f>M531</f>
        <v>35558.299999999996</v>
      </c>
    </row>
    <row r="531" spans="1:13" s="190" customFormat="1" ht="18.75">
      <c r="A531" s="194"/>
      <c r="B531" s="213" t="s">
        <v>409</v>
      </c>
      <c r="C531" s="208" t="s">
        <v>353</v>
      </c>
      <c r="D531" s="193" t="s">
        <v>93</v>
      </c>
      <c r="E531" s="193"/>
      <c r="F531" s="661"/>
      <c r="G531" s="662"/>
      <c r="H531" s="662"/>
      <c r="I531" s="663"/>
      <c r="J531" s="193"/>
      <c r="K531" s="209">
        <v>38543.299999999996</v>
      </c>
      <c r="L531" s="209">
        <f>L532+L552+L563</f>
        <v>-2985</v>
      </c>
      <c r="M531" s="209">
        <f>M532+M552+M563</f>
        <v>35558.299999999996</v>
      </c>
    </row>
    <row r="532" spans="1:13" s="465" customFormat="1" ht="18.75">
      <c r="A532" s="194"/>
      <c r="B532" s="213" t="s">
        <v>468</v>
      </c>
      <c r="C532" s="208" t="s">
        <v>353</v>
      </c>
      <c r="D532" s="193" t="s">
        <v>93</v>
      </c>
      <c r="E532" s="193" t="s">
        <v>61</v>
      </c>
      <c r="F532" s="661"/>
      <c r="G532" s="662"/>
      <c r="H532" s="662"/>
      <c r="I532" s="663"/>
      <c r="J532" s="193"/>
      <c r="K532" s="209">
        <v>35509.1</v>
      </c>
      <c r="L532" s="209">
        <f>L533</f>
        <v>-3885</v>
      </c>
      <c r="M532" s="209">
        <f>M533</f>
        <v>31624.1</v>
      </c>
    </row>
    <row r="533" spans="1:13" s="465" customFormat="1" ht="57" customHeight="1">
      <c r="A533" s="194"/>
      <c r="B533" s="207" t="s">
        <v>256</v>
      </c>
      <c r="C533" s="208" t="s">
        <v>353</v>
      </c>
      <c r="D533" s="193" t="s">
        <v>93</v>
      </c>
      <c r="E533" s="193" t="s">
        <v>61</v>
      </c>
      <c r="F533" s="661" t="s">
        <v>76</v>
      </c>
      <c r="G533" s="662" t="s">
        <v>66</v>
      </c>
      <c r="H533" s="662" t="s">
        <v>67</v>
      </c>
      <c r="I533" s="663" t="s">
        <v>68</v>
      </c>
      <c r="J533" s="193"/>
      <c r="K533" s="209">
        <v>35509.1</v>
      </c>
      <c r="L533" s="209">
        <f>L534+L538+L548</f>
        <v>-3885</v>
      </c>
      <c r="M533" s="209">
        <f>M534+M538+M548</f>
        <v>31624.1</v>
      </c>
    </row>
    <row r="534" spans="1:13" s="465" customFormat="1" ht="37.5">
      <c r="A534" s="194"/>
      <c r="B534" s="213" t="s">
        <v>257</v>
      </c>
      <c r="C534" s="208" t="s">
        <v>353</v>
      </c>
      <c r="D534" s="193" t="s">
        <v>93</v>
      </c>
      <c r="E534" s="193" t="s">
        <v>61</v>
      </c>
      <c r="F534" s="661" t="s">
        <v>76</v>
      </c>
      <c r="G534" s="662" t="s">
        <v>69</v>
      </c>
      <c r="H534" s="662" t="s">
        <v>67</v>
      </c>
      <c r="I534" s="663" t="s">
        <v>68</v>
      </c>
      <c r="J534" s="193"/>
      <c r="K534" s="209">
        <v>171</v>
      </c>
      <c r="L534" s="209">
        <f>L535</f>
        <v>0</v>
      </c>
      <c r="M534" s="209">
        <f>M535</f>
        <v>171</v>
      </c>
    </row>
    <row r="535" spans="1:13" s="465" customFormat="1" ht="18.75">
      <c r="A535" s="194"/>
      <c r="B535" s="207" t="s">
        <v>339</v>
      </c>
      <c r="C535" s="208" t="s">
        <v>353</v>
      </c>
      <c r="D535" s="193" t="s">
        <v>93</v>
      </c>
      <c r="E535" s="193" t="s">
        <v>61</v>
      </c>
      <c r="F535" s="661" t="s">
        <v>76</v>
      </c>
      <c r="G535" s="662" t="s">
        <v>69</v>
      </c>
      <c r="H535" s="662" t="s">
        <v>61</v>
      </c>
      <c r="I535" s="663" t="s">
        <v>68</v>
      </c>
      <c r="J535" s="193"/>
      <c r="K535" s="209">
        <v>171</v>
      </c>
      <c r="L535" s="209">
        <f t="shared" ref="L535:M536" si="105">L536</f>
        <v>0</v>
      </c>
      <c r="M535" s="209">
        <f t="shared" si="105"/>
        <v>171</v>
      </c>
    </row>
    <row r="536" spans="1:13" s="465" customFormat="1" ht="42.75" customHeight="1">
      <c r="A536" s="194"/>
      <c r="B536" s="207" t="s">
        <v>340</v>
      </c>
      <c r="C536" s="208" t="s">
        <v>353</v>
      </c>
      <c r="D536" s="193" t="s">
        <v>93</v>
      </c>
      <c r="E536" s="193" t="s">
        <v>61</v>
      </c>
      <c r="F536" s="661" t="s">
        <v>76</v>
      </c>
      <c r="G536" s="662" t="s">
        <v>69</v>
      </c>
      <c r="H536" s="662" t="s">
        <v>61</v>
      </c>
      <c r="I536" s="663" t="s">
        <v>341</v>
      </c>
      <c r="J536" s="193"/>
      <c r="K536" s="209">
        <v>171</v>
      </c>
      <c r="L536" s="209">
        <f t="shared" si="105"/>
        <v>0</v>
      </c>
      <c r="M536" s="209">
        <f t="shared" si="105"/>
        <v>171</v>
      </c>
    </row>
    <row r="537" spans="1:13" s="465" customFormat="1" ht="37.5">
      <c r="A537" s="194"/>
      <c r="B537" s="207" t="s">
        <v>152</v>
      </c>
      <c r="C537" s="208" t="s">
        <v>353</v>
      </c>
      <c r="D537" s="193" t="s">
        <v>93</v>
      </c>
      <c r="E537" s="193" t="s">
        <v>61</v>
      </c>
      <c r="F537" s="661" t="s">
        <v>76</v>
      </c>
      <c r="G537" s="662" t="s">
        <v>69</v>
      </c>
      <c r="H537" s="662" t="s">
        <v>61</v>
      </c>
      <c r="I537" s="663" t="s">
        <v>341</v>
      </c>
      <c r="J537" s="193" t="s">
        <v>153</v>
      </c>
      <c r="K537" s="209">
        <v>171</v>
      </c>
      <c r="L537" s="209">
        <f>M537-K537</f>
        <v>0</v>
      </c>
      <c r="M537" s="209">
        <v>171</v>
      </c>
    </row>
    <row r="538" spans="1:13" s="190" customFormat="1" ht="37.5">
      <c r="A538" s="194"/>
      <c r="B538" s="207" t="s">
        <v>259</v>
      </c>
      <c r="C538" s="208" t="s">
        <v>353</v>
      </c>
      <c r="D538" s="193" t="s">
        <v>93</v>
      </c>
      <c r="E538" s="193" t="s">
        <v>61</v>
      </c>
      <c r="F538" s="661" t="s">
        <v>76</v>
      </c>
      <c r="G538" s="662" t="s">
        <v>120</v>
      </c>
      <c r="H538" s="662" t="s">
        <v>67</v>
      </c>
      <c r="I538" s="663" t="s">
        <v>68</v>
      </c>
      <c r="J538" s="193"/>
      <c r="K538" s="209">
        <v>30872.7</v>
      </c>
      <c r="L538" s="209">
        <f>L539</f>
        <v>-3919.5</v>
      </c>
      <c r="M538" s="209">
        <f>M539</f>
        <v>26953.200000000001</v>
      </c>
    </row>
    <row r="539" spans="1:13" s="465" customFormat="1" ht="23.25" customHeight="1">
      <c r="A539" s="194"/>
      <c r="B539" s="207" t="s">
        <v>469</v>
      </c>
      <c r="C539" s="208" t="s">
        <v>353</v>
      </c>
      <c r="D539" s="193" t="s">
        <v>93</v>
      </c>
      <c r="E539" s="193" t="s">
        <v>61</v>
      </c>
      <c r="F539" s="661" t="s">
        <v>76</v>
      </c>
      <c r="G539" s="662" t="s">
        <v>120</v>
      </c>
      <c r="H539" s="662" t="s">
        <v>63</v>
      </c>
      <c r="I539" s="663" t="s">
        <v>68</v>
      </c>
      <c r="J539" s="193"/>
      <c r="K539" s="209">
        <v>30872.7</v>
      </c>
      <c r="L539" s="209">
        <f>L540+L544+L546</f>
        <v>-3919.5</v>
      </c>
      <c r="M539" s="209">
        <f>M540+M544+M546</f>
        <v>26953.200000000001</v>
      </c>
    </row>
    <row r="540" spans="1:13" s="465" customFormat="1" ht="93.75">
      <c r="A540" s="194"/>
      <c r="B540" s="207" t="s">
        <v>121</v>
      </c>
      <c r="C540" s="208" t="s">
        <v>353</v>
      </c>
      <c r="D540" s="193" t="s">
        <v>93</v>
      </c>
      <c r="E540" s="193" t="s">
        <v>61</v>
      </c>
      <c r="F540" s="661" t="s">
        <v>76</v>
      </c>
      <c r="G540" s="662" t="s">
        <v>120</v>
      </c>
      <c r="H540" s="662" t="s">
        <v>63</v>
      </c>
      <c r="I540" s="663" t="s">
        <v>123</v>
      </c>
      <c r="J540" s="193"/>
      <c r="K540" s="209">
        <v>22874.400000000001</v>
      </c>
      <c r="L540" s="209">
        <f>L541+L542+L543</f>
        <v>1280</v>
      </c>
      <c r="M540" s="209">
        <f>M541+M542+M543</f>
        <v>24154.400000000001</v>
      </c>
    </row>
    <row r="541" spans="1:13" s="465" customFormat="1" ht="112.5">
      <c r="A541" s="194"/>
      <c r="B541" s="207" t="s">
        <v>73</v>
      </c>
      <c r="C541" s="208" t="s">
        <v>353</v>
      </c>
      <c r="D541" s="193" t="s">
        <v>93</v>
      </c>
      <c r="E541" s="193" t="s">
        <v>61</v>
      </c>
      <c r="F541" s="661" t="s">
        <v>76</v>
      </c>
      <c r="G541" s="662" t="s">
        <v>120</v>
      </c>
      <c r="H541" s="662" t="s">
        <v>63</v>
      </c>
      <c r="I541" s="663" t="s">
        <v>123</v>
      </c>
      <c r="J541" s="193" t="s">
        <v>74</v>
      </c>
      <c r="K541" s="209">
        <v>20475</v>
      </c>
      <c r="L541" s="209">
        <f t="shared" ref="L541:L543" si="106">M541-K541</f>
        <v>215</v>
      </c>
      <c r="M541" s="209">
        <f>23475-1600-1400+215</f>
        <v>20690</v>
      </c>
    </row>
    <row r="542" spans="1:13" s="190" customFormat="1" ht="56.25">
      <c r="A542" s="194"/>
      <c r="B542" s="207" t="s">
        <v>79</v>
      </c>
      <c r="C542" s="208" t="s">
        <v>353</v>
      </c>
      <c r="D542" s="193" t="s">
        <v>93</v>
      </c>
      <c r="E542" s="193" t="s">
        <v>61</v>
      </c>
      <c r="F542" s="661" t="s">
        <v>76</v>
      </c>
      <c r="G542" s="662" t="s">
        <v>120</v>
      </c>
      <c r="H542" s="662" t="s">
        <v>63</v>
      </c>
      <c r="I542" s="663" t="s">
        <v>123</v>
      </c>
      <c r="J542" s="193" t="s">
        <v>80</v>
      </c>
      <c r="K542" s="209">
        <v>2330.4</v>
      </c>
      <c r="L542" s="209">
        <f t="shared" si="106"/>
        <v>1065</v>
      </c>
      <c r="M542" s="209">
        <f>2330.4+750+200+115</f>
        <v>3395.4</v>
      </c>
    </row>
    <row r="543" spans="1:13" s="465" customFormat="1" ht="18.75">
      <c r="A543" s="194"/>
      <c r="B543" s="207" t="s">
        <v>81</v>
      </c>
      <c r="C543" s="208" t="s">
        <v>353</v>
      </c>
      <c r="D543" s="193" t="s">
        <v>93</v>
      </c>
      <c r="E543" s="193" t="s">
        <v>61</v>
      </c>
      <c r="F543" s="661" t="s">
        <v>76</v>
      </c>
      <c r="G543" s="662" t="s">
        <v>120</v>
      </c>
      <c r="H543" s="662" t="s">
        <v>63</v>
      </c>
      <c r="I543" s="663" t="s">
        <v>123</v>
      </c>
      <c r="J543" s="193" t="s">
        <v>82</v>
      </c>
      <c r="K543" s="209">
        <v>69</v>
      </c>
      <c r="L543" s="209">
        <f t="shared" si="106"/>
        <v>0</v>
      </c>
      <c r="M543" s="209">
        <f>2069-1100-900</f>
        <v>69</v>
      </c>
    </row>
    <row r="544" spans="1:13" s="465" customFormat="1" ht="37.5">
      <c r="A544" s="194"/>
      <c r="B544" s="207" t="s">
        <v>516</v>
      </c>
      <c r="C544" s="208" t="s">
        <v>353</v>
      </c>
      <c r="D544" s="193" t="s">
        <v>93</v>
      </c>
      <c r="E544" s="193" t="s">
        <v>61</v>
      </c>
      <c r="F544" s="661" t="s">
        <v>76</v>
      </c>
      <c r="G544" s="662" t="s">
        <v>120</v>
      </c>
      <c r="H544" s="662" t="s">
        <v>63</v>
      </c>
      <c r="I544" s="663" t="s">
        <v>515</v>
      </c>
      <c r="J544" s="193"/>
      <c r="K544" s="209">
        <v>7100.5</v>
      </c>
      <c r="L544" s="209">
        <f>L545</f>
        <v>-5199.5</v>
      </c>
      <c r="M544" s="209">
        <f>M545</f>
        <v>1901</v>
      </c>
    </row>
    <row r="545" spans="1:14" s="465" customFormat="1" ht="56.25">
      <c r="A545" s="194"/>
      <c r="B545" s="207" t="s">
        <v>79</v>
      </c>
      <c r="C545" s="208" t="s">
        <v>353</v>
      </c>
      <c r="D545" s="193" t="s">
        <v>93</v>
      </c>
      <c r="E545" s="193" t="s">
        <v>61</v>
      </c>
      <c r="F545" s="661" t="s">
        <v>76</v>
      </c>
      <c r="G545" s="662" t="s">
        <v>120</v>
      </c>
      <c r="H545" s="662" t="s">
        <v>63</v>
      </c>
      <c r="I545" s="663" t="s">
        <v>515</v>
      </c>
      <c r="J545" s="193" t="s">
        <v>80</v>
      </c>
      <c r="K545" s="209">
        <v>7100.5</v>
      </c>
      <c r="L545" s="209">
        <f>M545-K545</f>
        <v>-5199.5</v>
      </c>
      <c r="M545" s="209">
        <f>7100.5-1650-349.5-3200</f>
        <v>1901</v>
      </c>
    </row>
    <row r="546" spans="1:14" s="465" customFormat="1" ht="58.5" customHeight="1">
      <c r="A546" s="194"/>
      <c r="B546" s="634" t="s">
        <v>874</v>
      </c>
      <c r="C546" s="208" t="s">
        <v>353</v>
      </c>
      <c r="D546" s="193" t="s">
        <v>93</v>
      </c>
      <c r="E546" s="193" t="s">
        <v>61</v>
      </c>
      <c r="F546" s="661" t="s">
        <v>76</v>
      </c>
      <c r="G546" s="662" t="s">
        <v>120</v>
      </c>
      <c r="H546" s="662" t="s">
        <v>63</v>
      </c>
      <c r="I546" s="663" t="s">
        <v>643</v>
      </c>
      <c r="J546" s="193"/>
      <c r="K546" s="209">
        <v>897.8</v>
      </c>
      <c r="L546" s="209">
        <f>L547</f>
        <v>0</v>
      </c>
      <c r="M546" s="209">
        <f>M547</f>
        <v>897.8</v>
      </c>
    </row>
    <row r="547" spans="1:14" s="465" customFormat="1" ht="112.5">
      <c r="A547" s="194"/>
      <c r="B547" s="207" t="s">
        <v>73</v>
      </c>
      <c r="C547" s="208" t="s">
        <v>353</v>
      </c>
      <c r="D547" s="193" t="s">
        <v>93</v>
      </c>
      <c r="E547" s="193" t="s">
        <v>61</v>
      </c>
      <c r="F547" s="661" t="s">
        <v>76</v>
      </c>
      <c r="G547" s="662" t="s">
        <v>120</v>
      </c>
      <c r="H547" s="662" t="s">
        <v>63</v>
      </c>
      <c r="I547" s="663" t="s">
        <v>643</v>
      </c>
      <c r="J547" s="193" t="s">
        <v>74</v>
      </c>
      <c r="K547" s="209">
        <v>897.8</v>
      </c>
      <c r="L547" s="209">
        <f>M547-K547</f>
        <v>0</v>
      </c>
      <c r="M547" s="209">
        <v>897.8</v>
      </c>
    </row>
    <row r="548" spans="1:14" s="190" customFormat="1" ht="37.5">
      <c r="A548" s="194"/>
      <c r="B548" s="207" t="s">
        <v>428</v>
      </c>
      <c r="C548" s="208" t="s">
        <v>353</v>
      </c>
      <c r="D548" s="193" t="s">
        <v>93</v>
      </c>
      <c r="E548" s="193" t="s">
        <v>61</v>
      </c>
      <c r="F548" s="661" t="s">
        <v>76</v>
      </c>
      <c r="G548" s="662" t="s">
        <v>55</v>
      </c>
      <c r="H548" s="662" t="s">
        <v>67</v>
      </c>
      <c r="I548" s="663" t="s">
        <v>68</v>
      </c>
      <c r="J548" s="193"/>
      <c r="K548" s="209">
        <v>4465.3999999999996</v>
      </c>
      <c r="L548" s="209">
        <f t="shared" ref="L548:M550" si="107">L549</f>
        <v>34.5</v>
      </c>
      <c r="M548" s="209">
        <f t="shared" si="107"/>
        <v>4499.8999999999996</v>
      </c>
    </row>
    <row r="549" spans="1:14" s="465" customFormat="1" ht="75">
      <c r="A549" s="194"/>
      <c r="B549" s="207" t="s">
        <v>644</v>
      </c>
      <c r="C549" s="208" t="s">
        <v>353</v>
      </c>
      <c r="D549" s="193" t="s">
        <v>93</v>
      </c>
      <c r="E549" s="193" t="s">
        <v>61</v>
      </c>
      <c r="F549" s="661" t="s">
        <v>76</v>
      </c>
      <c r="G549" s="662" t="s">
        <v>55</v>
      </c>
      <c r="H549" s="662" t="s">
        <v>89</v>
      </c>
      <c r="I549" s="663" t="s">
        <v>68</v>
      </c>
      <c r="J549" s="193"/>
      <c r="K549" s="209">
        <v>4465.3999999999996</v>
      </c>
      <c r="L549" s="209">
        <f t="shared" si="107"/>
        <v>34.5</v>
      </c>
      <c r="M549" s="209">
        <f t="shared" si="107"/>
        <v>4499.8999999999996</v>
      </c>
    </row>
    <row r="550" spans="1:14" s="465" customFormat="1" ht="56.25">
      <c r="A550" s="194"/>
      <c r="B550" s="207" t="s">
        <v>258</v>
      </c>
      <c r="C550" s="208" t="s">
        <v>353</v>
      </c>
      <c r="D550" s="193" t="s">
        <v>93</v>
      </c>
      <c r="E550" s="193" t="s">
        <v>61</v>
      </c>
      <c r="F550" s="661" t="s">
        <v>76</v>
      </c>
      <c r="G550" s="662" t="s">
        <v>55</v>
      </c>
      <c r="H550" s="662" t="s">
        <v>89</v>
      </c>
      <c r="I550" s="663" t="s">
        <v>355</v>
      </c>
      <c r="J550" s="193"/>
      <c r="K550" s="209">
        <v>4465.3999999999996</v>
      </c>
      <c r="L550" s="209">
        <f t="shared" si="107"/>
        <v>34.5</v>
      </c>
      <c r="M550" s="209">
        <f t="shared" si="107"/>
        <v>4499.8999999999996</v>
      </c>
    </row>
    <row r="551" spans="1:14" s="465" customFormat="1" ht="56.25">
      <c r="A551" s="194"/>
      <c r="B551" s="207" t="s">
        <v>242</v>
      </c>
      <c r="C551" s="208" t="s">
        <v>353</v>
      </c>
      <c r="D551" s="193" t="s">
        <v>93</v>
      </c>
      <c r="E551" s="193" t="s">
        <v>61</v>
      </c>
      <c r="F551" s="661" t="s">
        <v>76</v>
      </c>
      <c r="G551" s="662" t="s">
        <v>55</v>
      </c>
      <c r="H551" s="662" t="s">
        <v>89</v>
      </c>
      <c r="I551" s="663" t="s">
        <v>355</v>
      </c>
      <c r="J551" s="193" t="s">
        <v>243</v>
      </c>
      <c r="K551" s="209">
        <v>4465.3999999999996</v>
      </c>
      <c r="L551" s="209">
        <f>M551-K551</f>
        <v>34.5</v>
      </c>
      <c r="M551" s="209">
        <f>4465.4+34.5</f>
        <v>4499.8999999999996</v>
      </c>
    </row>
    <row r="552" spans="1:14" s="190" customFormat="1" ht="18.75">
      <c r="A552" s="194"/>
      <c r="B552" s="213" t="s">
        <v>356</v>
      </c>
      <c r="C552" s="208" t="s">
        <v>353</v>
      </c>
      <c r="D552" s="193" t="s">
        <v>93</v>
      </c>
      <c r="E552" s="193" t="s">
        <v>63</v>
      </c>
      <c r="F552" s="661"/>
      <c r="G552" s="662"/>
      <c r="H552" s="662"/>
      <c r="I552" s="663"/>
      <c r="J552" s="193"/>
      <c r="K552" s="209">
        <v>597.09999999999991</v>
      </c>
      <c r="L552" s="209">
        <f t="shared" ref="L552:M552" si="108">L553</f>
        <v>900</v>
      </c>
      <c r="M552" s="209">
        <f t="shared" si="108"/>
        <v>1497.1</v>
      </c>
      <c r="N552" s="519"/>
    </row>
    <row r="553" spans="1:14" s="190" customFormat="1" ht="56.25" customHeight="1">
      <c r="A553" s="194"/>
      <c r="B553" s="207" t="s">
        <v>256</v>
      </c>
      <c r="C553" s="208" t="s">
        <v>353</v>
      </c>
      <c r="D553" s="193" t="s">
        <v>93</v>
      </c>
      <c r="E553" s="193" t="s">
        <v>63</v>
      </c>
      <c r="F553" s="661" t="s">
        <v>76</v>
      </c>
      <c r="G553" s="662" t="s">
        <v>66</v>
      </c>
      <c r="H553" s="662" t="s">
        <v>67</v>
      </c>
      <c r="I553" s="663" t="s">
        <v>68</v>
      </c>
      <c r="J553" s="193"/>
      <c r="K553" s="209">
        <v>597.09999999999991</v>
      </c>
      <c r="L553" s="209">
        <f>L554+L559</f>
        <v>900</v>
      </c>
      <c r="M553" s="209">
        <f>M554+M559</f>
        <v>1497.1</v>
      </c>
    </row>
    <row r="554" spans="1:14" s="190" customFormat="1" ht="37.5">
      <c r="A554" s="194"/>
      <c r="B554" s="213" t="s">
        <v>257</v>
      </c>
      <c r="C554" s="208" t="s">
        <v>353</v>
      </c>
      <c r="D554" s="193" t="s">
        <v>93</v>
      </c>
      <c r="E554" s="193" t="s">
        <v>63</v>
      </c>
      <c r="F554" s="661" t="s">
        <v>76</v>
      </c>
      <c r="G554" s="662" t="s">
        <v>69</v>
      </c>
      <c r="H554" s="662" t="s">
        <v>67</v>
      </c>
      <c r="I554" s="663" t="s">
        <v>68</v>
      </c>
      <c r="J554" s="193"/>
      <c r="K554" s="209">
        <v>597.09999999999991</v>
      </c>
      <c r="L554" s="209">
        <f t="shared" ref="L554:M555" si="109">L555</f>
        <v>0</v>
      </c>
      <c r="M554" s="209">
        <f t="shared" si="109"/>
        <v>597.09999999999991</v>
      </c>
      <c r="N554" s="519"/>
    </row>
    <row r="555" spans="1:14" s="190" customFormat="1" ht="56.25">
      <c r="A555" s="194"/>
      <c r="B555" s="207" t="s">
        <v>354</v>
      </c>
      <c r="C555" s="208" t="s">
        <v>353</v>
      </c>
      <c r="D555" s="193" t="s">
        <v>93</v>
      </c>
      <c r="E555" s="193" t="s">
        <v>63</v>
      </c>
      <c r="F555" s="661" t="s">
        <v>76</v>
      </c>
      <c r="G555" s="662" t="s">
        <v>69</v>
      </c>
      <c r="H555" s="662" t="s">
        <v>63</v>
      </c>
      <c r="I555" s="663" t="s">
        <v>68</v>
      </c>
      <c r="J555" s="193"/>
      <c r="K555" s="209">
        <v>597.09999999999991</v>
      </c>
      <c r="L555" s="209">
        <f t="shared" si="109"/>
        <v>0</v>
      </c>
      <c r="M555" s="209">
        <f t="shared" si="109"/>
        <v>597.09999999999991</v>
      </c>
      <c r="N555" s="519"/>
    </row>
    <row r="556" spans="1:14" s="190" customFormat="1" ht="56.25">
      <c r="A556" s="194"/>
      <c r="B556" s="207" t="s">
        <v>258</v>
      </c>
      <c r="C556" s="208" t="s">
        <v>353</v>
      </c>
      <c r="D556" s="193" t="s">
        <v>93</v>
      </c>
      <c r="E556" s="193" t="s">
        <v>63</v>
      </c>
      <c r="F556" s="661" t="s">
        <v>76</v>
      </c>
      <c r="G556" s="662" t="s">
        <v>69</v>
      </c>
      <c r="H556" s="662" t="s">
        <v>63</v>
      </c>
      <c r="I556" s="663" t="s">
        <v>355</v>
      </c>
      <c r="J556" s="193"/>
      <c r="K556" s="209">
        <v>597.09999999999991</v>
      </c>
      <c r="L556" s="209">
        <f t="shared" ref="L556" si="110">SUM(L557:L558)</f>
        <v>0</v>
      </c>
      <c r="M556" s="209">
        <f t="shared" ref="M556" si="111">SUM(M557:M558)</f>
        <v>597.09999999999991</v>
      </c>
    </row>
    <row r="557" spans="1:14" s="190" customFormat="1" ht="112.5">
      <c r="A557" s="194"/>
      <c r="B557" s="207" t="s">
        <v>73</v>
      </c>
      <c r="C557" s="208" t="s">
        <v>353</v>
      </c>
      <c r="D557" s="193" t="s">
        <v>93</v>
      </c>
      <c r="E557" s="193" t="s">
        <v>63</v>
      </c>
      <c r="F557" s="661" t="s">
        <v>76</v>
      </c>
      <c r="G557" s="662" t="s">
        <v>69</v>
      </c>
      <c r="H557" s="662" t="s">
        <v>63</v>
      </c>
      <c r="I557" s="663" t="s">
        <v>355</v>
      </c>
      <c r="J557" s="193" t="s">
        <v>74</v>
      </c>
      <c r="K557" s="209">
        <v>549.79999999999995</v>
      </c>
      <c r="L557" s="209">
        <f t="shared" ref="L557:L558" si="112">M557-K557</f>
        <v>0</v>
      </c>
      <c r="M557" s="209">
        <v>549.79999999999995</v>
      </c>
    </row>
    <row r="558" spans="1:14" s="190" customFormat="1" ht="56.25">
      <c r="A558" s="194"/>
      <c r="B558" s="207" t="s">
        <v>79</v>
      </c>
      <c r="C558" s="208" t="s">
        <v>353</v>
      </c>
      <c r="D558" s="193" t="s">
        <v>93</v>
      </c>
      <c r="E558" s="193" t="s">
        <v>63</v>
      </c>
      <c r="F558" s="661" t="s">
        <v>76</v>
      </c>
      <c r="G558" s="662" t="s">
        <v>69</v>
      </c>
      <c r="H558" s="662" t="s">
        <v>63</v>
      </c>
      <c r="I558" s="663" t="s">
        <v>355</v>
      </c>
      <c r="J558" s="193" t="s">
        <v>80</v>
      </c>
      <c r="K558" s="209">
        <v>47.3</v>
      </c>
      <c r="L558" s="209">
        <f t="shared" si="112"/>
        <v>0</v>
      </c>
      <c r="M558" s="209">
        <v>47.3</v>
      </c>
      <c r="N558" s="519"/>
    </row>
    <row r="559" spans="1:14" s="190" customFormat="1" ht="36.6" customHeight="1">
      <c r="A559" s="194"/>
      <c r="B559" s="207" t="s">
        <v>428</v>
      </c>
      <c r="C559" s="208" t="s">
        <v>353</v>
      </c>
      <c r="D559" s="193" t="s">
        <v>93</v>
      </c>
      <c r="E559" s="193" t="s">
        <v>63</v>
      </c>
      <c r="F559" s="735" t="s">
        <v>76</v>
      </c>
      <c r="G559" s="736" t="s">
        <v>55</v>
      </c>
      <c r="H559" s="736" t="s">
        <v>67</v>
      </c>
      <c r="I559" s="737" t="s">
        <v>68</v>
      </c>
      <c r="J559" s="193"/>
      <c r="K559" s="209"/>
      <c r="L559" s="209">
        <f t="shared" ref="L559:M561" si="113">L560</f>
        <v>900</v>
      </c>
      <c r="M559" s="209">
        <f t="shared" si="113"/>
        <v>900</v>
      </c>
      <c r="N559" s="519"/>
    </row>
    <row r="560" spans="1:14" s="190" customFormat="1" ht="71.45" customHeight="1">
      <c r="A560" s="194"/>
      <c r="B560" s="207" t="s">
        <v>490</v>
      </c>
      <c r="C560" s="208" t="s">
        <v>353</v>
      </c>
      <c r="D560" s="193" t="s">
        <v>93</v>
      </c>
      <c r="E560" s="193" t="s">
        <v>63</v>
      </c>
      <c r="F560" s="735" t="s">
        <v>76</v>
      </c>
      <c r="G560" s="736" t="s">
        <v>55</v>
      </c>
      <c r="H560" s="736" t="s">
        <v>76</v>
      </c>
      <c r="I560" s="737" t="s">
        <v>68</v>
      </c>
      <c r="J560" s="193"/>
      <c r="K560" s="209"/>
      <c r="L560" s="209">
        <f t="shared" si="113"/>
        <v>900</v>
      </c>
      <c r="M560" s="209">
        <f t="shared" si="113"/>
        <v>900</v>
      </c>
      <c r="N560" s="519"/>
    </row>
    <row r="561" spans="1:14" s="190" customFormat="1" ht="59.45" customHeight="1">
      <c r="A561" s="194"/>
      <c r="B561" s="207" t="s">
        <v>103</v>
      </c>
      <c r="C561" s="208" t="s">
        <v>353</v>
      </c>
      <c r="D561" s="193" t="s">
        <v>93</v>
      </c>
      <c r="E561" s="193" t="s">
        <v>63</v>
      </c>
      <c r="F561" s="735" t="s">
        <v>76</v>
      </c>
      <c r="G561" s="736" t="s">
        <v>55</v>
      </c>
      <c r="H561" s="736" t="s">
        <v>76</v>
      </c>
      <c r="I561" s="737" t="s">
        <v>104</v>
      </c>
      <c r="J561" s="193"/>
      <c r="K561" s="209"/>
      <c r="L561" s="209">
        <f t="shared" si="113"/>
        <v>900</v>
      </c>
      <c r="M561" s="209">
        <f t="shared" si="113"/>
        <v>900</v>
      </c>
      <c r="N561" s="519"/>
    </row>
    <row r="562" spans="1:14" s="190" customFormat="1" ht="52.9" customHeight="1">
      <c r="A562" s="194"/>
      <c r="B562" s="207" t="s">
        <v>105</v>
      </c>
      <c r="C562" s="208" t="s">
        <v>353</v>
      </c>
      <c r="D562" s="193" t="s">
        <v>93</v>
      </c>
      <c r="E562" s="193" t="s">
        <v>63</v>
      </c>
      <c r="F562" s="735" t="s">
        <v>76</v>
      </c>
      <c r="G562" s="736" t="s">
        <v>55</v>
      </c>
      <c r="H562" s="736" t="s">
        <v>76</v>
      </c>
      <c r="I562" s="737" t="s">
        <v>104</v>
      </c>
      <c r="J562" s="193" t="s">
        <v>106</v>
      </c>
      <c r="K562" s="209"/>
      <c r="L562" s="209">
        <f t="shared" ref="L562" si="114">M562-K562</f>
        <v>900</v>
      </c>
      <c r="M562" s="209">
        <f>900</f>
        <v>900</v>
      </c>
      <c r="N562" s="519"/>
    </row>
    <row r="563" spans="1:14" s="190" customFormat="1" ht="37.5">
      <c r="A563" s="194"/>
      <c r="B563" s="213" t="s">
        <v>238</v>
      </c>
      <c r="C563" s="208" t="s">
        <v>353</v>
      </c>
      <c r="D563" s="193" t="s">
        <v>93</v>
      </c>
      <c r="E563" s="193" t="s">
        <v>91</v>
      </c>
      <c r="F563" s="661"/>
      <c r="G563" s="662"/>
      <c r="H563" s="662"/>
      <c r="I563" s="663"/>
      <c r="J563" s="193"/>
      <c r="K563" s="209">
        <v>2437.1</v>
      </c>
      <c r="L563" s="209">
        <f t="shared" ref="L563:M566" si="115">L564</f>
        <v>0</v>
      </c>
      <c r="M563" s="209">
        <f t="shared" si="115"/>
        <v>2437.1</v>
      </c>
      <c r="N563" s="519"/>
    </row>
    <row r="564" spans="1:14" s="190" customFormat="1" ht="61.5" customHeight="1">
      <c r="A564" s="194"/>
      <c r="B564" s="207" t="s">
        <v>256</v>
      </c>
      <c r="C564" s="208" t="s">
        <v>353</v>
      </c>
      <c r="D564" s="193" t="s">
        <v>93</v>
      </c>
      <c r="E564" s="193" t="s">
        <v>91</v>
      </c>
      <c r="F564" s="661" t="s">
        <v>76</v>
      </c>
      <c r="G564" s="662" t="s">
        <v>66</v>
      </c>
      <c r="H564" s="662" t="s">
        <v>67</v>
      </c>
      <c r="I564" s="663" t="s">
        <v>68</v>
      </c>
      <c r="J564" s="193"/>
      <c r="K564" s="209">
        <v>2437.1</v>
      </c>
      <c r="L564" s="209">
        <f t="shared" si="115"/>
        <v>0</v>
      </c>
      <c r="M564" s="209">
        <f t="shared" si="115"/>
        <v>2437.1</v>
      </c>
      <c r="N564" s="519"/>
    </row>
    <row r="565" spans="1:14" s="190" customFormat="1" ht="37.5">
      <c r="A565" s="194"/>
      <c r="B565" s="211" t="s">
        <v>259</v>
      </c>
      <c r="C565" s="208" t="s">
        <v>353</v>
      </c>
      <c r="D565" s="193" t="s">
        <v>93</v>
      </c>
      <c r="E565" s="193" t="s">
        <v>91</v>
      </c>
      <c r="F565" s="661" t="s">
        <v>76</v>
      </c>
      <c r="G565" s="662" t="s">
        <v>120</v>
      </c>
      <c r="H565" s="662" t="s">
        <v>67</v>
      </c>
      <c r="I565" s="663" t="s">
        <v>68</v>
      </c>
      <c r="J565" s="193"/>
      <c r="K565" s="209">
        <v>2437.1</v>
      </c>
      <c r="L565" s="209">
        <f t="shared" si="115"/>
        <v>0</v>
      </c>
      <c r="M565" s="209">
        <f t="shared" si="115"/>
        <v>2437.1</v>
      </c>
      <c r="N565" s="519"/>
    </row>
    <row r="566" spans="1:14" s="190" customFormat="1" ht="37.5">
      <c r="A566" s="194"/>
      <c r="B566" s="207" t="s">
        <v>344</v>
      </c>
      <c r="C566" s="208" t="s">
        <v>353</v>
      </c>
      <c r="D566" s="193" t="s">
        <v>93</v>
      </c>
      <c r="E566" s="193" t="s">
        <v>91</v>
      </c>
      <c r="F566" s="661" t="s">
        <v>76</v>
      </c>
      <c r="G566" s="662" t="s">
        <v>120</v>
      </c>
      <c r="H566" s="662" t="s">
        <v>61</v>
      </c>
      <c r="I566" s="663" t="s">
        <v>68</v>
      </c>
      <c r="J566" s="193"/>
      <c r="K566" s="209">
        <v>2437.1</v>
      </c>
      <c r="L566" s="209">
        <f t="shared" si="115"/>
        <v>0</v>
      </c>
      <c r="M566" s="209">
        <f t="shared" si="115"/>
        <v>2437.1</v>
      </c>
      <c r="N566" s="519"/>
    </row>
    <row r="567" spans="1:14" s="190" customFormat="1" ht="37.5">
      <c r="A567" s="194"/>
      <c r="B567" s="207" t="s">
        <v>71</v>
      </c>
      <c r="C567" s="208" t="s">
        <v>353</v>
      </c>
      <c r="D567" s="193" t="s">
        <v>93</v>
      </c>
      <c r="E567" s="193" t="s">
        <v>91</v>
      </c>
      <c r="F567" s="661" t="s">
        <v>76</v>
      </c>
      <c r="G567" s="662" t="s">
        <v>120</v>
      </c>
      <c r="H567" s="662" t="s">
        <v>61</v>
      </c>
      <c r="I567" s="663" t="s">
        <v>72</v>
      </c>
      <c r="J567" s="193"/>
      <c r="K567" s="209">
        <v>2437.1</v>
      </c>
      <c r="L567" s="209">
        <f>L568+L569+L570</f>
        <v>0</v>
      </c>
      <c r="M567" s="209">
        <f>M568+M569+M570</f>
        <v>2437.1</v>
      </c>
      <c r="N567" s="519"/>
    </row>
    <row r="568" spans="1:14" s="190" customFormat="1" ht="112.5">
      <c r="A568" s="194"/>
      <c r="B568" s="207" t="s">
        <v>73</v>
      </c>
      <c r="C568" s="208" t="s">
        <v>353</v>
      </c>
      <c r="D568" s="193" t="s">
        <v>93</v>
      </c>
      <c r="E568" s="193" t="s">
        <v>91</v>
      </c>
      <c r="F568" s="661" t="s">
        <v>76</v>
      </c>
      <c r="G568" s="662" t="s">
        <v>120</v>
      </c>
      <c r="H568" s="662" t="s">
        <v>61</v>
      </c>
      <c r="I568" s="663" t="s">
        <v>72</v>
      </c>
      <c r="J568" s="193" t="s">
        <v>74</v>
      </c>
      <c r="K568" s="209">
        <v>2348.3000000000002</v>
      </c>
      <c r="L568" s="209">
        <f t="shared" ref="L568:L570" si="116">M568-K568</f>
        <v>0</v>
      </c>
      <c r="M568" s="209">
        <v>2348.3000000000002</v>
      </c>
      <c r="N568" s="519"/>
    </row>
    <row r="569" spans="1:14" s="190" customFormat="1" ht="56.25">
      <c r="A569" s="194"/>
      <c r="B569" s="207" t="s">
        <v>79</v>
      </c>
      <c r="C569" s="208" t="s">
        <v>353</v>
      </c>
      <c r="D569" s="193" t="s">
        <v>93</v>
      </c>
      <c r="E569" s="193" t="s">
        <v>91</v>
      </c>
      <c r="F569" s="661" t="s">
        <v>76</v>
      </c>
      <c r="G569" s="662" t="s">
        <v>120</v>
      </c>
      <c r="H569" s="662" t="s">
        <v>61</v>
      </c>
      <c r="I569" s="663" t="s">
        <v>72</v>
      </c>
      <c r="J569" s="193" t="s">
        <v>80</v>
      </c>
      <c r="K569" s="209">
        <v>86.6</v>
      </c>
      <c r="L569" s="209">
        <f t="shared" si="116"/>
        <v>0</v>
      </c>
      <c r="M569" s="209">
        <v>86.6</v>
      </c>
      <c r="N569" s="519"/>
    </row>
    <row r="570" spans="1:14" s="190" customFormat="1" ht="18.75">
      <c r="A570" s="194"/>
      <c r="B570" s="207" t="s">
        <v>81</v>
      </c>
      <c r="C570" s="208" t="s">
        <v>353</v>
      </c>
      <c r="D570" s="193" t="s">
        <v>93</v>
      </c>
      <c r="E570" s="193" t="s">
        <v>91</v>
      </c>
      <c r="F570" s="661" t="s">
        <v>76</v>
      </c>
      <c r="G570" s="662" t="s">
        <v>120</v>
      </c>
      <c r="H570" s="662" t="s">
        <v>61</v>
      </c>
      <c r="I570" s="663" t="s">
        <v>72</v>
      </c>
      <c r="J570" s="193" t="s">
        <v>82</v>
      </c>
      <c r="K570" s="209">
        <v>2.2000000000000002</v>
      </c>
      <c r="L570" s="209">
        <f t="shared" si="116"/>
        <v>0</v>
      </c>
      <c r="M570" s="209">
        <v>2.2000000000000002</v>
      </c>
      <c r="N570" s="519"/>
    </row>
    <row r="571" spans="1:14" s="190" customFormat="1" ht="18.75">
      <c r="A571" s="194"/>
      <c r="B571" s="207"/>
      <c r="C571" s="208"/>
      <c r="D571" s="193"/>
      <c r="E571" s="193"/>
      <c r="F571" s="661"/>
      <c r="G571" s="662"/>
      <c r="H571" s="662"/>
      <c r="I571" s="663"/>
      <c r="J571" s="193"/>
      <c r="K571" s="209"/>
      <c r="L571" s="209"/>
      <c r="M571" s="209"/>
      <c r="N571" s="519"/>
    </row>
    <row r="572" spans="1:14" s="465" customFormat="1" ht="56.25">
      <c r="A572" s="464">
        <v>8</v>
      </c>
      <c r="B572" s="201" t="s">
        <v>31</v>
      </c>
      <c r="C572" s="202" t="s">
        <v>349</v>
      </c>
      <c r="D572" s="203"/>
      <c r="E572" s="203"/>
      <c r="F572" s="204"/>
      <c r="G572" s="205"/>
      <c r="H572" s="205"/>
      <c r="I572" s="206"/>
      <c r="J572" s="203"/>
      <c r="K572" s="235">
        <v>5764.9</v>
      </c>
      <c r="L572" s="235">
        <f>L573</f>
        <v>359.61966000000007</v>
      </c>
      <c r="M572" s="235">
        <f>M573</f>
        <v>6124.5196599999999</v>
      </c>
    </row>
    <row r="573" spans="1:14" s="190" customFormat="1" ht="18.75">
      <c r="A573" s="464"/>
      <c r="B573" s="207" t="s">
        <v>218</v>
      </c>
      <c r="C573" s="208" t="s">
        <v>349</v>
      </c>
      <c r="D573" s="193" t="s">
        <v>263</v>
      </c>
      <c r="E573" s="193"/>
      <c r="F573" s="661"/>
      <c r="G573" s="662"/>
      <c r="H573" s="662"/>
      <c r="I573" s="663"/>
      <c r="J573" s="193"/>
      <c r="K573" s="209">
        <v>5764.9</v>
      </c>
      <c r="L573" s="209">
        <f>L574+L584</f>
        <v>359.61966000000007</v>
      </c>
      <c r="M573" s="209">
        <f>M574+M584</f>
        <v>6124.5196599999999</v>
      </c>
    </row>
    <row r="574" spans="1:14" s="465" customFormat="1" ht="18.75">
      <c r="A574" s="464"/>
      <c r="B574" s="207" t="s">
        <v>449</v>
      </c>
      <c r="C574" s="208" t="s">
        <v>349</v>
      </c>
      <c r="D574" s="193" t="s">
        <v>263</v>
      </c>
      <c r="E574" s="193" t="s">
        <v>263</v>
      </c>
      <c r="F574" s="661"/>
      <c r="G574" s="662"/>
      <c r="H574" s="662"/>
      <c r="I574" s="663"/>
      <c r="J574" s="193"/>
      <c r="K574" s="209">
        <v>2787.1000000000004</v>
      </c>
      <c r="L574" s="209">
        <f t="shared" ref="L574:M576" si="117">L575</f>
        <v>359.61966000000007</v>
      </c>
      <c r="M574" s="209">
        <f t="shared" si="117"/>
        <v>3146.7196600000007</v>
      </c>
    </row>
    <row r="575" spans="1:14" s="465" customFormat="1" ht="56.25">
      <c r="A575" s="464"/>
      <c r="B575" s="207" t="s">
        <v>260</v>
      </c>
      <c r="C575" s="208" t="s">
        <v>349</v>
      </c>
      <c r="D575" s="193" t="s">
        <v>263</v>
      </c>
      <c r="E575" s="193" t="s">
        <v>263</v>
      </c>
      <c r="F575" s="661" t="s">
        <v>91</v>
      </c>
      <c r="G575" s="662" t="s">
        <v>66</v>
      </c>
      <c r="H575" s="662" t="s">
        <v>67</v>
      </c>
      <c r="I575" s="663" t="s">
        <v>68</v>
      </c>
      <c r="J575" s="193"/>
      <c r="K575" s="209">
        <v>2787.1000000000004</v>
      </c>
      <c r="L575" s="209">
        <f t="shared" si="117"/>
        <v>359.61966000000007</v>
      </c>
      <c r="M575" s="209">
        <f t="shared" si="117"/>
        <v>3146.7196600000007</v>
      </c>
    </row>
    <row r="576" spans="1:14" s="465" customFormat="1" ht="18.75">
      <c r="A576" s="464"/>
      <c r="B576" s="207" t="s">
        <v>261</v>
      </c>
      <c r="C576" s="208" t="s">
        <v>349</v>
      </c>
      <c r="D576" s="193" t="s">
        <v>263</v>
      </c>
      <c r="E576" s="193" t="s">
        <v>263</v>
      </c>
      <c r="F576" s="661" t="s">
        <v>91</v>
      </c>
      <c r="G576" s="662" t="s">
        <v>69</v>
      </c>
      <c r="H576" s="662" t="s">
        <v>67</v>
      </c>
      <c r="I576" s="663" t="s">
        <v>68</v>
      </c>
      <c r="J576" s="193"/>
      <c r="K576" s="209">
        <v>2787.1000000000004</v>
      </c>
      <c r="L576" s="209">
        <f t="shared" si="117"/>
        <v>359.61966000000007</v>
      </c>
      <c r="M576" s="209">
        <f t="shared" si="117"/>
        <v>3146.7196600000007</v>
      </c>
    </row>
    <row r="577" spans="1:14" s="465" customFormat="1" ht="80.25" customHeight="1">
      <c r="A577" s="464"/>
      <c r="B577" s="207" t="s">
        <v>350</v>
      </c>
      <c r="C577" s="208" t="s">
        <v>349</v>
      </c>
      <c r="D577" s="193" t="s">
        <v>263</v>
      </c>
      <c r="E577" s="193" t="s">
        <v>263</v>
      </c>
      <c r="F577" s="661" t="s">
        <v>91</v>
      </c>
      <c r="G577" s="662" t="s">
        <v>69</v>
      </c>
      <c r="H577" s="662" t="s">
        <v>61</v>
      </c>
      <c r="I577" s="663" t="s">
        <v>68</v>
      </c>
      <c r="J577" s="193"/>
      <c r="K577" s="209">
        <v>2787.1000000000004</v>
      </c>
      <c r="L577" s="209">
        <f>L578+L582</f>
        <v>359.61966000000007</v>
      </c>
      <c r="M577" s="209">
        <f>M578+M582</f>
        <v>3146.7196600000007</v>
      </c>
    </row>
    <row r="578" spans="1:14" s="465" customFormat="1" ht="93.75">
      <c r="A578" s="464"/>
      <c r="B578" s="207" t="s">
        <v>121</v>
      </c>
      <c r="C578" s="208" t="s">
        <v>349</v>
      </c>
      <c r="D578" s="193" t="s">
        <v>263</v>
      </c>
      <c r="E578" s="193" t="s">
        <v>263</v>
      </c>
      <c r="F578" s="661" t="s">
        <v>91</v>
      </c>
      <c r="G578" s="662" t="s">
        <v>69</v>
      </c>
      <c r="H578" s="662" t="s">
        <v>61</v>
      </c>
      <c r="I578" s="663" t="s">
        <v>123</v>
      </c>
      <c r="J578" s="193"/>
      <c r="K578" s="209">
        <v>2222.3000000000002</v>
      </c>
      <c r="L578" s="209">
        <f>L579+L580+L581</f>
        <v>521.61966000000007</v>
      </c>
      <c r="M578" s="209">
        <f>M579+M580+M581</f>
        <v>2743.9196600000005</v>
      </c>
    </row>
    <row r="579" spans="1:14" s="465" customFormat="1" ht="112.5">
      <c r="A579" s="194"/>
      <c r="B579" s="207" t="s">
        <v>73</v>
      </c>
      <c r="C579" s="208" t="s">
        <v>349</v>
      </c>
      <c r="D579" s="193" t="s">
        <v>263</v>
      </c>
      <c r="E579" s="193" t="s">
        <v>263</v>
      </c>
      <c r="F579" s="661" t="s">
        <v>91</v>
      </c>
      <c r="G579" s="662" t="s">
        <v>69</v>
      </c>
      <c r="H579" s="662" t="s">
        <v>61</v>
      </c>
      <c r="I579" s="663" t="s">
        <v>123</v>
      </c>
      <c r="J579" s="193" t="s">
        <v>74</v>
      </c>
      <c r="K579" s="209">
        <v>2195.5</v>
      </c>
      <c r="L579" s="209">
        <f t="shared" ref="L579:L581" si="118">M579-K579</f>
        <v>184.90000000000009</v>
      </c>
      <c r="M579" s="209">
        <f>2195.5+184.9</f>
        <v>2380.4</v>
      </c>
    </row>
    <row r="580" spans="1:14" s="190" customFormat="1" ht="56.25">
      <c r="A580" s="194"/>
      <c r="B580" s="207" t="s">
        <v>79</v>
      </c>
      <c r="C580" s="208" t="s">
        <v>349</v>
      </c>
      <c r="D580" s="193" t="s">
        <v>263</v>
      </c>
      <c r="E580" s="193" t="s">
        <v>263</v>
      </c>
      <c r="F580" s="661" t="s">
        <v>91</v>
      </c>
      <c r="G580" s="662" t="s">
        <v>69</v>
      </c>
      <c r="H580" s="662" t="s">
        <v>61</v>
      </c>
      <c r="I580" s="663" t="s">
        <v>123</v>
      </c>
      <c r="J580" s="193" t="s">
        <v>80</v>
      </c>
      <c r="K580" s="209">
        <v>26.8</v>
      </c>
      <c r="L580" s="209">
        <f t="shared" si="118"/>
        <v>334.91966000000008</v>
      </c>
      <c r="M580" s="209">
        <f>26.8+204+130.9+0.03966-0.02</f>
        <v>361.71966000000009</v>
      </c>
      <c r="N580" s="767">
        <v>0.01</v>
      </c>
    </row>
    <row r="581" spans="1:14" s="190" customFormat="1" ht="18.75">
      <c r="A581" s="194"/>
      <c r="B581" s="207" t="s">
        <v>81</v>
      </c>
      <c r="C581" s="208" t="s">
        <v>349</v>
      </c>
      <c r="D581" s="193" t="s">
        <v>263</v>
      </c>
      <c r="E581" s="193" t="s">
        <v>263</v>
      </c>
      <c r="F581" s="754" t="s">
        <v>91</v>
      </c>
      <c r="G581" s="755" t="s">
        <v>69</v>
      </c>
      <c r="H581" s="755" t="s">
        <v>61</v>
      </c>
      <c r="I581" s="756" t="s">
        <v>123</v>
      </c>
      <c r="J581" s="193" t="s">
        <v>82</v>
      </c>
      <c r="K581" s="209"/>
      <c r="L581" s="209">
        <f t="shared" si="118"/>
        <v>1.8</v>
      </c>
      <c r="M581" s="209">
        <f>1.8</f>
        <v>1.8</v>
      </c>
    </row>
    <row r="582" spans="1:14" s="190" customFormat="1" ht="41.25" customHeight="1">
      <c r="A582" s="194"/>
      <c r="B582" s="207" t="s">
        <v>351</v>
      </c>
      <c r="C582" s="208" t="s">
        <v>349</v>
      </c>
      <c r="D582" s="193" t="s">
        <v>263</v>
      </c>
      <c r="E582" s="193" t="s">
        <v>263</v>
      </c>
      <c r="F582" s="661" t="s">
        <v>91</v>
      </c>
      <c r="G582" s="662" t="s">
        <v>69</v>
      </c>
      <c r="H582" s="662" t="s">
        <v>61</v>
      </c>
      <c r="I582" s="663" t="s">
        <v>352</v>
      </c>
      <c r="J582" s="193"/>
      <c r="K582" s="209">
        <v>564.79999999999995</v>
      </c>
      <c r="L582" s="209">
        <f>L583</f>
        <v>-162</v>
      </c>
      <c r="M582" s="209">
        <f>M583</f>
        <v>402.79999999999995</v>
      </c>
    </row>
    <row r="583" spans="1:14" s="190" customFormat="1" ht="56.25">
      <c r="A583" s="194"/>
      <c r="B583" s="207" t="s">
        <v>79</v>
      </c>
      <c r="C583" s="208" t="s">
        <v>349</v>
      </c>
      <c r="D583" s="193" t="s">
        <v>263</v>
      </c>
      <c r="E583" s="193" t="s">
        <v>263</v>
      </c>
      <c r="F583" s="661" t="s">
        <v>91</v>
      </c>
      <c r="G583" s="662" t="s">
        <v>69</v>
      </c>
      <c r="H583" s="662" t="s">
        <v>61</v>
      </c>
      <c r="I583" s="663" t="s">
        <v>352</v>
      </c>
      <c r="J583" s="193" t="s">
        <v>80</v>
      </c>
      <c r="K583" s="209">
        <v>564.79999999999995</v>
      </c>
      <c r="L583" s="209">
        <f>M583-K583</f>
        <v>-162</v>
      </c>
      <c r="M583" s="209">
        <f>564.8+42-204</f>
        <v>402.79999999999995</v>
      </c>
    </row>
    <row r="584" spans="1:14" s="190" customFormat="1" ht="18.75">
      <c r="A584" s="194"/>
      <c r="B584" s="207" t="s">
        <v>225</v>
      </c>
      <c r="C584" s="505" t="s">
        <v>349</v>
      </c>
      <c r="D584" s="193" t="s">
        <v>263</v>
      </c>
      <c r="E584" s="193" t="s">
        <v>109</v>
      </c>
      <c r="F584" s="661"/>
      <c r="G584" s="662"/>
      <c r="H584" s="662"/>
      <c r="I584" s="663"/>
      <c r="J584" s="193"/>
      <c r="K584" s="209">
        <v>2977.7999999999997</v>
      </c>
      <c r="L584" s="209">
        <f t="shared" ref="L584:M587" si="119">L585</f>
        <v>0</v>
      </c>
      <c r="M584" s="209">
        <f t="shared" si="119"/>
        <v>2977.7999999999997</v>
      </c>
      <c r="N584" s="519"/>
    </row>
    <row r="585" spans="1:14" s="190" customFormat="1" ht="56.25">
      <c r="A585" s="194"/>
      <c r="B585" s="207" t="s">
        <v>260</v>
      </c>
      <c r="C585" s="505" t="s">
        <v>349</v>
      </c>
      <c r="D585" s="193" t="s">
        <v>263</v>
      </c>
      <c r="E585" s="193" t="s">
        <v>109</v>
      </c>
      <c r="F585" s="661" t="s">
        <v>91</v>
      </c>
      <c r="G585" s="662" t="s">
        <v>66</v>
      </c>
      <c r="H585" s="662" t="s">
        <v>67</v>
      </c>
      <c r="I585" s="663" t="s">
        <v>68</v>
      </c>
      <c r="J585" s="193"/>
      <c r="K585" s="209">
        <v>2977.7999999999997</v>
      </c>
      <c r="L585" s="209">
        <f t="shared" si="119"/>
        <v>0</v>
      </c>
      <c r="M585" s="209">
        <f t="shared" si="119"/>
        <v>2977.7999999999997</v>
      </c>
      <c r="N585" s="519"/>
    </row>
    <row r="586" spans="1:14" s="190" customFormat="1" ht="37.5">
      <c r="A586" s="194"/>
      <c r="B586" s="207" t="s">
        <v>259</v>
      </c>
      <c r="C586" s="208" t="s">
        <v>349</v>
      </c>
      <c r="D586" s="193" t="s">
        <v>263</v>
      </c>
      <c r="E586" s="193" t="s">
        <v>109</v>
      </c>
      <c r="F586" s="661" t="s">
        <v>91</v>
      </c>
      <c r="G586" s="662" t="s">
        <v>120</v>
      </c>
      <c r="H586" s="662" t="s">
        <v>67</v>
      </c>
      <c r="I586" s="663" t="s">
        <v>68</v>
      </c>
      <c r="J586" s="193"/>
      <c r="K586" s="209">
        <v>2977.7999999999997</v>
      </c>
      <c r="L586" s="209">
        <f t="shared" si="119"/>
        <v>0</v>
      </c>
      <c r="M586" s="209">
        <f t="shared" si="119"/>
        <v>2977.7999999999997</v>
      </c>
    </row>
    <row r="587" spans="1:14" s="465" customFormat="1" ht="37.5">
      <c r="A587" s="194"/>
      <c r="B587" s="207" t="s">
        <v>344</v>
      </c>
      <c r="C587" s="208" t="s">
        <v>349</v>
      </c>
      <c r="D587" s="193" t="s">
        <v>263</v>
      </c>
      <c r="E587" s="193" t="s">
        <v>109</v>
      </c>
      <c r="F587" s="661" t="s">
        <v>91</v>
      </c>
      <c r="G587" s="662" t="s">
        <v>120</v>
      </c>
      <c r="H587" s="662" t="s">
        <v>61</v>
      </c>
      <c r="I587" s="663" t="s">
        <v>68</v>
      </c>
      <c r="J587" s="193"/>
      <c r="K587" s="209">
        <v>2977.7999999999997</v>
      </c>
      <c r="L587" s="209">
        <f t="shared" si="119"/>
        <v>0</v>
      </c>
      <c r="M587" s="209">
        <f t="shared" si="119"/>
        <v>2977.7999999999997</v>
      </c>
    </row>
    <row r="588" spans="1:14" s="190" customFormat="1" ht="37.5">
      <c r="A588" s="194"/>
      <c r="B588" s="207" t="s">
        <v>71</v>
      </c>
      <c r="C588" s="208" t="s">
        <v>349</v>
      </c>
      <c r="D588" s="193" t="s">
        <v>263</v>
      </c>
      <c r="E588" s="193" t="s">
        <v>109</v>
      </c>
      <c r="F588" s="661" t="s">
        <v>91</v>
      </c>
      <c r="G588" s="662" t="s">
        <v>120</v>
      </c>
      <c r="H588" s="662" t="s">
        <v>61</v>
      </c>
      <c r="I588" s="663" t="s">
        <v>72</v>
      </c>
      <c r="J588" s="193"/>
      <c r="K588" s="209">
        <v>2977.7999999999997</v>
      </c>
      <c r="L588" s="209">
        <f>L589+L590+L591</f>
        <v>0</v>
      </c>
      <c r="M588" s="209">
        <f>M589+M590+M591</f>
        <v>2977.7999999999997</v>
      </c>
    </row>
    <row r="589" spans="1:14" s="190" customFormat="1" ht="112.5">
      <c r="A589" s="194"/>
      <c r="B589" s="207" t="s">
        <v>73</v>
      </c>
      <c r="C589" s="208" t="s">
        <v>349</v>
      </c>
      <c r="D589" s="193" t="s">
        <v>263</v>
      </c>
      <c r="E589" s="193" t="s">
        <v>109</v>
      </c>
      <c r="F589" s="661" t="s">
        <v>91</v>
      </c>
      <c r="G589" s="662" t="s">
        <v>120</v>
      </c>
      <c r="H589" s="662" t="s">
        <v>61</v>
      </c>
      <c r="I589" s="663" t="s">
        <v>72</v>
      </c>
      <c r="J589" s="193" t="s">
        <v>74</v>
      </c>
      <c r="K589" s="209">
        <v>2630.7</v>
      </c>
      <c r="L589" s="209">
        <f t="shared" ref="L589:L591" si="120">M589-K589</f>
        <v>0</v>
      </c>
      <c r="M589" s="209">
        <v>2630.7</v>
      </c>
      <c r="N589" s="519"/>
    </row>
    <row r="590" spans="1:14" s="190" customFormat="1" ht="56.25">
      <c r="A590" s="194"/>
      <c r="B590" s="207" t="s">
        <v>79</v>
      </c>
      <c r="C590" s="505" t="s">
        <v>349</v>
      </c>
      <c r="D590" s="387" t="s">
        <v>263</v>
      </c>
      <c r="E590" s="387" t="s">
        <v>109</v>
      </c>
      <c r="F590" s="661" t="s">
        <v>91</v>
      </c>
      <c r="G590" s="662" t="s">
        <v>120</v>
      </c>
      <c r="H590" s="662" t="s">
        <v>61</v>
      </c>
      <c r="I590" s="663" t="s">
        <v>72</v>
      </c>
      <c r="J590" s="193" t="s">
        <v>80</v>
      </c>
      <c r="K590" s="209">
        <v>343.5</v>
      </c>
      <c r="L590" s="209">
        <f t="shared" si="120"/>
        <v>0</v>
      </c>
      <c r="M590" s="209">
        <f>340.2+3.3</f>
        <v>343.5</v>
      </c>
    </row>
    <row r="591" spans="1:14" s="190" customFormat="1" ht="18.75">
      <c r="A591" s="194"/>
      <c r="B591" s="207" t="s">
        <v>81</v>
      </c>
      <c r="C591" s="505" t="s">
        <v>349</v>
      </c>
      <c r="D591" s="387" t="s">
        <v>263</v>
      </c>
      <c r="E591" s="387" t="s">
        <v>109</v>
      </c>
      <c r="F591" s="661" t="s">
        <v>91</v>
      </c>
      <c r="G591" s="662" t="s">
        <v>120</v>
      </c>
      <c r="H591" s="662" t="s">
        <v>61</v>
      </c>
      <c r="I591" s="663" t="s">
        <v>72</v>
      </c>
      <c r="J591" s="193" t="s">
        <v>82</v>
      </c>
      <c r="K591" s="209">
        <v>3.6</v>
      </c>
      <c r="L591" s="209">
        <f t="shared" si="120"/>
        <v>0</v>
      </c>
      <c r="M591" s="209">
        <v>3.6</v>
      </c>
      <c r="N591" s="519"/>
    </row>
    <row r="592" spans="1:14" s="190" customFormat="1" ht="18.75">
      <c r="A592" s="194"/>
      <c r="B592" s="207"/>
      <c r="C592" s="505"/>
      <c r="D592" s="387"/>
      <c r="E592" s="387"/>
      <c r="F592" s="661"/>
      <c r="G592" s="662"/>
      <c r="H592" s="662"/>
      <c r="I592" s="663"/>
      <c r="J592" s="193"/>
      <c r="K592" s="209"/>
      <c r="L592" s="209"/>
      <c r="M592" s="209"/>
      <c r="N592" s="519"/>
    </row>
    <row r="593" spans="1:13" s="465" customFormat="1" ht="56.25">
      <c r="A593" s="464">
        <v>9</v>
      </c>
      <c r="B593" s="201" t="s">
        <v>32</v>
      </c>
      <c r="C593" s="202" t="s">
        <v>360</v>
      </c>
      <c r="D593" s="203"/>
      <c r="E593" s="203"/>
      <c r="F593" s="204"/>
      <c r="G593" s="205"/>
      <c r="H593" s="205"/>
      <c r="I593" s="206"/>
      <c r="J593" s="203"/>
      <c r="K593" s="235">
        <v>70444.600000000006</v>
      </c>
      <c r="L593" s="235">
        <f>L594+L601</f>
        <v>5.2</v>
      </c>
      <c r="M593" s="235">
        <f>M594+M601</f>
        <v>70449.8</v>
      </c>
    </row>
    <row r="594" spans="1:13" s="190" customFormat="1" ht="18.75">
      <c r="A594" s="194"/>
      <c r="B594" s="213" t="s">
        <v>218</v>
      </c>
      <c r="C594" s="208" t="s">
        <v>360</v>
      </c>
      <c r="D594" s="193" t="s">
        <v>263</v>
      </c>
      <c r="E594" s="193"/>
      <c r="F594" s="661"/>
      <c r="G594" s="662"/>
      <c r="H594" s="662"/>
      <c r="I594" s="663"/>
      <c r="J594" s="193"/>
      <c r="K594" s="209">
        <v>16.3</v>
      </c>
      <c r="L594" s="209">
        <f t="shared" ref="L594:M599" si="121">L595</f>
        <v>0</v>
      </c>
      <c r="M594" s="209">
        <f t="shared" si="121"/>
        <v>16.3</v>
      </c>
    </row>
    <row r="595" spans="1:13" s="465" customFormat="1" ht="18.75">
      <c r="A595" s="194"/>
      <c r="B595" s="207" t="s">
        <v>449</v>
      </c>
      <c r="C595" s="208" t="s">
        <v>360</v>
      </c>
      <c r="D595" s="193" t="s">
        <v>263</v>
      </c>
      <c r="E595" s="193" t="s">
        <v>263</v>
      </c>
      <c r="F595" s="661"/>
      <c r="G595" s="662"/>
      <c r="H595" s="662"/>
      <c r="I595" s="663"/>
      <c r="J595" s="193"/>
      <c r="K595" s="209">
        <v>16.3</v>
      </c>
      <c r="L595" s="209">
        <f t="shared" si="121"/>
        <v>0</v>
      </c>
      <c r="M595" s="209">
        <f t="shared" si="121"/>
        <v>16.3</v>
      </c>
    </row>
    <row r="596" spans="1:13" s="465" customFormat="1" ht="56.25">
      <c r="A596" s="194"/>
      <c r="B596" s="207" t="s">
        <v>361</v>
      </c>
      <c r="C596" s="208" t="s">
        <v>360</v>
      </c>
      <c r="D596" s="193" t="s">
        <v>263</v>
      </c>
      <c r="E596" s="193" t="s">
        <v>263</v>
      </c>
      <c r="F596" s="661" t="s">
        <v>109</v>
      </c>
      <c r="G596" s="662" t="s">
        <v>66</v>
      </c>
      <c r="H596" s="662" t="s">
        <v>67</v>
      </c>
      <c r="I596" s="663" t="s">
        <v>68</v>
      </c>
      <c r="J596" s="193"/>
      <c r="K596" s="209">
        <v>16.3</v>
      </c>
      <c r="L596" s="209">
        <f t="shared" si="121"/>
        <v>0</v>
      </c>
      <c r="M596" s="209">
        <f t="shared" si="121"/>
        <v>16.3</v>
      </c>
    </row>
    <row r="597" spans="1:13" s="465" customFormat="1" ht="37.5">
      <c r="A597" s="194"/>
      <c r="B597" s="207" t="s">
        <v>428</v>
      </c>
      <c r="C597" s="208" t="s">
        <v>360</v>
      </c>
      <c r="D597" s="193" t="s">
        <v>263</v>
      </c>
      <c r="E597" s="193" t="s">
        <v>263</v>
      </c>
      <c r="F597" s="661" t="s">
        <v>109</v>
      </c>
      <c r="G597" s="662" t="s">
        <v>69</v>
      </c>
      <c r="H597" s="662" t="s">
        <v>67</v>
      </c>
      <c r="I597" s="663" t="s">
        <v>68</v>
      </c>
      <c r="J597" s="193"/>
      <c r="K597" s="209">
        <v>16.3</v>
      </c>
      <c r="L597" s="209">
        <f t="shared" si="121"/>
        <v>0</v>
      </c>
      <c r="M597" s="209">
        <f t="shared" si="121"/>
        <v>16.3</v>
      </c>
    </row>
    <row r="598" spans="1:13" s="465" customFormat="1" ht="37.5">
      <c r="A598" s="194"/>
      <c r="B598" s="207" t="s">
        <v>347</v>
      </c>
      <c r="C598" s="208" t="s">
        <v>360</v>
      </c>
      <c r="D598" s="193" t="s">
        <v>263</v>
      </c>
      <c r="E598" s="193" t="s">
        <v>263</v>
      </c>
      <c r="F598" s="661" t="s">
        <v>109</v>
      </c>
      <c r="G598" s="662" t="s">
        <v>69</v>
      </c>
      <c r="H598" s="662" t="s">
        <v>61</v>
      </c>
      <c r="I598" s="663" t="s">
        <v>68</v>
      </c>
      <c r="J598" s="193"/>
      <c r="K598" s="209">
        <v>16.3</v>
      </c>
      <c r="L598" s="209">
        <f t="shared" si="121"/>
        <v>0</v>
      </c>
      <c r="M598" s="209">
        <f t="shared" si="121"/>
        <v>16.3</v>
      </c>
    </row>
    <row r="599" spans="1:13" s="465" customFormat="1" ht="153.75" customHeight="1">
      <c r="A599" s="194"/>
      <c r="B599" s="506" t="s">
        <v>464</v>
      </c>
      <c r="C599" s="208" t="s">
        <v>360</v>
      </c>
      <c r="D599" s="193" t="s">
        <v>263</v>
      </c>
      <c r="E599" s="193" t="s">
        <v>263</v>
      </c>
      <c r="F599" s="661" t="s">
        <v>109</v>
      </c>
      <c r="G599" s="662" t="s">
        <v>69</v>
      </c>
      <c r="H599" s="662" t="s">
        <v>61</v>
      </c>
      <c r="I599" s="663" t="s">
        <v>362</v>
      </c>
      <c r="J599" s="193"/>
      <c r="K599" s="209">
        <v>16.3</v>
      </c>
      <c r="L599" s="209">
        <f t="shared" si="121"/>
        <v>0</v>
      </c>
      <c r="M599" s="209">
        <f t="shared" si="121"/>
        <v>16.3</v>
      </c>
    </row>
    <row r="600" spans="1:13" s="465" customFormat="1" ht="37.5">
      <c r="A600" s="194"/>
      <c r="B600" s="207" t="s">
        <v>152</v>
      </c>
      <c r="C600" s="208" t="s">
        <v>360</v>
      </c>
      <c r="D600" s="193" t="s">
        <v>263</v>
      </c>
      <c r="E600" s="193" t="s">
        <v>263</v>
      </c>
      <c r="F600" s="661" t="s">
        <v>109</v>
      </c>
      <c r="G600" s="662" t="s">
        <v>69</v>
      </c>
      <c r="H600" s="662" t="s">
        <v>61</v>
      </c>
      <c r="I600" s="663" t="s">
        <v>362</v>
      </c>
      <c r="J600" s="193" t="s">
        <v>153</v>
      </c>
      <c r="K600" s="209">
        <v>16.3</v>
      </c>
      <c r="L600" s="209">
        <f>M600-K600</f>
        <v>0</v>
      </c>
      <c r="M600" s="209">
        <v>16.3</v>
      </c>
    </row>
    <row r="601" spans="1:13" s="190" customFormat="1" ht="18.75">
      <c r="A601" s="194"/>
      <c r="B601" s="213" t="s">
        <v>151</v>
      </c>
      <c r="C601" s="208" t="s">
        <v>360</v>
      </c>
      <c r="D601" s="193" t="s">
        <v>136</v>
      </c>
      <c r="E601" s="193"/>
      <c r="F601" s="661"/>
      <c r="G601" s="662"/>
      <c r="H601" s="662"/>
      <c r="I601" s="663"/>
      <c r="J601" s="193"/>
      <c r="K601" s="209">
        <v>70428.3</v>
      </c>
      <c r="L601" s="209">
        <f>L602+L621</f>
        <v>5.2</v>
      </c>
      <c r="M601" s="209">
        <f>M602+M621</f>
        <v>70433.5</v>
      </c>
    </row>
    <row r="602" spans="1:13" s="190" customFormat="1" ht="18.75">
      <c r="A602" s="194"/>
      <c r="B602" s="207" t="s">
        <v>232</v>
      </c>
      <c r="C602" s="208" t="s">
        <v>360</v>
      </c>
      <c r="D602" s="193" t="s">
        <v>136</v>
      </c>
      <c r="E602" s="193" t="s">
        <v>76</v>
      </c>
      <c r="F602" s="661"/>
      <c r="G602" s="662"/>
      <c r="H602" s="662"/>
      <c r="I602" s="663"/>
      <c r="J602" s="193"/>
      <c r="K602" s="209">
        <v>62522.8</v>
      </c>
      <c r="L602" s="209">
        <f t="shared" ref="L602:M603" si="122">L603</f>
        <v>5.2</v>
      </c>
      <c r="M602" s="209">
        <f t="shared" si="122"/>
        <v>62528</v>
      </c>
    </row>
    <row r="603" spans="1:13" s="190" customFormat="1" ht="56.25">
      <c r="A603" s="194"/>
      <c r="B603" s="211" t="s">
        <v>269</v>
      </c>
      <c r="C603" s="208" t="s">
        <v>360</v>
      </c>
      <c r="D603" s="193" t="s">
        <v>136</v>
      </c>
      <c r="E603" s="193" t="s">
        <v>76</v>
      </c>
      <c r="F603" s="661" t="s">
        <v>109</v>
      </c>
      <c r="G603" s="662" t="s">
        <v>66</v>
      </c>
      <c r="H603" s="662" t="s">
        <v>67</v>
      </c>
      <c r="I603" s="663" t="s">
        <v>68</v>
      </c>
      <c r="J603" s="193"/>
      <c r="K603" s="209">
        <v>62522.8</v>
      </c>
      <c r="L603" s="209">
        <f t="shared" si="122"/>
        <v>5.2</v>
      </c>
      <c r="M603" s="209">
        <f t="shared" si="122"/>
        <v>62528</v>
      </c>
    </row>
    <row r="604" spans="1:13" s="190" customFormat="1" ht="37.5">
      <c r="A604" s="194"/>
      <c r="B604" s="207" t="s">
        <v>428</v>
      </c>
      <c r="C604" s="208" t="s">
        <v>360</v>
      </c>
      <c r="D604" s="193" t="s">
        <v>136</v>
      </c>
      <c r="E604" s="193" t="s">
        <v>76</v>
      </c>
      <c r="F604" s="661" t="s">
        <v>109</v>
      </c>
      <c r="G604" s="662" t="s">
        <v>69</v>
      </c>
      <c r="H604" s="662" t="s">
        <v>67</v>
      </c>
      <c r="I604" s="663" t="s">
        <v>68</v>
      </c>
      <c r="J604" s="193"/>
      <c r="K604" s="209">
        <v>62522.8</v>
      </c>
      <c r="L604" s="209">
        <f>L605+L618</f>
        <v>5.2</v>
      </c>
      <c r="M604" s="209">
        <f>M605+M618</f>
        <v>62528</v>
      </c>
    </row>
    <row r="605" spans="1:13" s="465" customFormat="1" ht="37.5">
      <c r="A605" s="194"/>
      <c r="B605" s="207" t="s">
        <v>347</v>
      </c>
      <c r="C605" s="208" t="s">
        <v>360</v>
      </c>
      <c r="D605" s="193" t="s">
        <v>136</v>
      </c>
      <c r="E605" s="193" t="s">
        <v>76</v>
      </c>
      <c r="F605" s="661" t="s">
        <v>109</v>
      </c>
      <c r="G605" s="662" t="s">
        <v>69</v>
      </c>
      <c r="H605" s="662" t="s">
        <v>61</v>
      </c>
      <c r="I605" s="663" t="s">
        <v>68</v>
      </c>
      <c r="J605" s="193"/>
      <c r="K605" s="209">
        <v>62522.8</v>
      </c>
      <c r="L605" s="209">
        <f>L606+L609+L612+L615</f>
        <v>0</v>
      </c>
      <c r="M605" s="209">
        <f>M606+M609+M612+M615</f>
        <v>62522.8</v>
      </c>
    </row>
    <row r="606" spans="1:13" s="465" customFormat="1" ht="150.75" customHeight="1">
      <c r="A606" s="194"/>
      <c r="B606" s="507" t="s">
        <v>465</v>
      </c>
      <c r="C606" s="208" t="s">
        <v>360</v>
      </c>
      <c r="D606" s="193" t="s">
        <v>136</v>
      </c>
      <c r="E606" s="193" t="s">
        <v>76</v>
      </c>
      <c r="F606" s="661" t="s">
        <v>109</v>
      </c>
      <c r="G606" s="662" t="s">
        <v>69</v>
      </c>
      <c r="H606" s="662" t="s">
        <v>61</v>
      </c>
      <c r="I606" s="663" t="s">
        <v>363</v>
      </c>
      <c r="J606" s="193"/>
      <c r="K606" s="209">
        <v>33951.5</v>
      </c>
      <c r="L606" s="209">
        <f>SUM(L607:L608)</f>
        <v>0</v>
      </c>
      <c r="M606" s="209">
        <f>SUM(M607:M608)</f>
        <v>33951.5</v>
      </c>
    </row>
    <row r="607" spans="1:13" s="465" customFormat="1" ht="56.25">
      <c r="A607" s="194"/>
      <c r="B607" s="207" t="s">
        <v>79</v>
      </c>
      <c r="C607" s="208" t="s">
        <v>360</v>
      </c>
      <c r="D607" s="193" t="s">
        <v>136</v>
      </c>
      <c r="E607" s="193" t="s">
        <v>76</v>
      </c>
      <c r="F607" s="661" t="s">
        <v>109</v>
      </c>
      <c r="G607" s="662" t="s">
        <v>69</v>
      </c>
      <c r="H607" s="662" t="s">
        <v>61</v>
      </c>
      <c r="I607" s="663" t="s">
        <v>363</v>
      </c>
      <c r="J607" s="193" t="s">
        <v>80</v>
      </c>
      <c r="K607" s="209">
        <v>169.5</v>
      </c>
      <c r="L607" s="209">
        <f t="shared" ref="L607:L608" si="123">M607-K607</f>
        <v>0</v>
      </c>
      <c r="M607" s="209">
        <v>169.5</v>
      </c>
    </row>
    <row r="608" spans="1:13" s="465" customFormat="1" ht="37.5">
      <c r="A608" s="194"/>
      <c r="B608" s="207" t="s">
        <v>152</v>
      </c>
      <c r="C608" s="208" t="s">
        <v>360</v>
      </c>
      <c r="D608" s="193" t="s">
        <v>136</v>
      </c>
      <c r="E608" s="193" t="s">
        <v>76</v>
      </c>
      <c r="F608" s="661" t="s">
        <v>109</v>
      </c>
      <c r="G608" s="662" t="s">
        <v>69</v>
      </c>
      <c r="H608" s="662" t="s">
        <v>61</v>
      </c>
      <c r="I608" s="663" t="s">
        <v>363</v>
      </c>
      <c r="J608" s="193" t="s">
        <v>153</v>
      </c>
      <c r="K608" s="209">
        <v>33782</v>
      </c>
      <c r="L608" s="209">
        <f t="shared" si="123"/>
        <v>0</v>
      </c>
      <c r="M608" s="209">
        <v>33782</v>
      </c>
    </row>
    <row r="609" spans="1:13" s="465" customFormat="1" ht="95.25" customHeight="1">
      <c r="A609" s="194"/>
      <c r="B609" s="207" t="s">
        <v>466</v>
      </c>
      <c r="C609" s="208" t="s">
        <v>360</v>
      </c>
      <c r="D609" s="193" t="s">
        <v>136</v>
      </c>
      <c r="E609" s="193" t="s">
        <v>76</v>
      </c>
      <c r="F609" s="661" t="s">
        <v>109</v>
      </c>
      <c r="G609" s="662" t="s">
        <v>69</v>
      </c>
      <c r="H609" s="662" t="s">
        <v>61</v>
      </c>
      <c r="I609" s="663" t="s">
        <v>364</v>
      </c>
      <c r="J609" s="193"/>
      <c r="K609" s="209">
        <v>27335.8</v>
      </c>
      <c r="L609" s="209">
        <f>SUM(L610:L611)</f>
        <v>0</v>
      </c>
      <c r="M609" s="209">
        <f>SUM(M610:M611)</f>
        <v>27335.8</v>
      </c>
    </row>
    <row r="610" spans="1:13" s="465" customFormat="1" ht="56.25">
      <c r="A610" s="194"/>
      <c r="B610" s="207" t="s">
        <v>79</v>
      </c>
      <c r="C610" s="208" t="s">
        <v>360</v>
      </c>
      <c r="D610" s="193" t="s">
        <v>136</v>
      </c>
      <c r="E610" s="193" t="s">
        <v>76</v>
      </c>
      <c r="F610" s="661" t="s">
        <v>109</v>
      </c>
      <c r="G610" s="662" t="s">
        <v>69</v>
      </c>
      <c r="H610" s="662" t="s">
        <v>61</v>
      </c>
      <c r="I610" s="663" t="s">
        <v>364</v>
      </c>
      <c r="J610" s="193" t="s">
        <v>80</v>
      </c>
      <c r="K610" s="209">
        <v>135.80000000000001</v>
      </c>
      <c r="L610" s="209">
        <f t="shared" ref="L610:L611" si="124">M610-K610</f>
        <v>0</v>
      </c>
      <c r="M610" s="209">
        <v>135.80000000000001</v>
      </c>
    </row>
    <row r="611" spans="1:13" s="465" customFormat="1" ht="37.5">
      <c r="A611" s="194"/>
      <c r="B611" s="207" t="s">
        <v>152</v>
      </c>
      <c r="C611" s="208" t="s">
        <v>360</v>
      </c>
      <c r="D611" s="193" t="s">
        <v>136</v>
      </c>
      <c r="E611" s="193" t="s">
        <v>76</v>
      </c>
      <c r="F611" s="661" t="s">
        <v>109</v>
      </c>
      <c r="G611" s="662" t="s">
        <v>69</v>
      </c>
      <c r="H611" s="662" t="s">
        <v>61</v>
      </c>
      <c r="I611" s="663" t="s">
        <v>364</v>
      </c>
      <c r="J611" s="193" t="s">
        <v>153</v>
      </c>
      <c r="K611" s="209">
        <v>27200</v>
      </c>
      <c r="L611" s="209">
        <f t="shared" si="124"/>
        <v>0</v>
      </c>
      <c r="M611" s="209">
        <v>27200</v>
      </c>
    </row>
    <row r="612" spans="1:13" s="465" customFormat="1" ht="95.25" customHeight="1">
      <c r="A612" s="194"/>
      <c r="B612" s="207" t="s">
        <v>467</v>
      </c>
      <c r="C612" s="208" t="s">
        <v>360</v>
      </c>
      <c r="D612" s="193" t="s">
        <v>136</v>
      </c>
      <c r="E612" s="193" t="s">
        <v>76</v>
      </c>
      <c r="F612" s="661" t="s">
        <v>109</v>
      </c>
      <c r="G612" s="662" t="s">
        <v>69</v>
      </c>
      <c r="H612" s="662" t="s">
        <v>61</v>
      </c>
      <c r="I612" s="663" t="s">
        <v>365</v>
      </c>
      <c r="J612" s="193"/>
      <c r="K612" s="209">
        <v>509.2</v>
      </c>
      <c r="L612" s="209">
        <f>SUM(L613:L614)</f>
        <v>0</v>
      </c>
      <c r="M612" s="209">
        <f>SUM(M613:M614)</f>
        <v>509.2</v>
      </c>
    </row>
    <row r="613" spans="1:13" s="465" customFormat="1" ht="56.25">
      <c r="A613" s="194"/>
      <c r="B613" s="207" t="s">
        <v>79</v>
      </c>
      <c r="C613" s="208" t="s">
        <v>360</v>
      </c>
      <c r="D613" s="193" t="s">
        <v>136</v>
      </c>
      <c r="E613" s="193" t="s">
        <v>76</v>
      </c>
      <c r="F613" s="661" t="s">
        <v>109</v>
      </c>
      <c r="G613" s="662" t="s">
        <v>69</v>
      </c>
      <c r="H613" s="662" t="s">
        <v>61</v>
      </c>
      <c r="I613" s="663" t="s">
        <v>365</v>
      </c>
      <c r="J613" s="193" t="s">
        <v>80</v>
      </c>
      <c r="K613" s="209">
        <v>2.5</v>
      </c>
      <c r="L613" s="209">
        <f t="shared" ref="L613:L614" si="125">M613-K613</f>
        <v>0</v>
      </c>
      <c r="M613" s="209">
        <v>2.5</v>
      </c>
    </row>
    <row r="614" spans="1:13" s="465" customFormat="1" ht="37.5">
      <c r="A614" s="194"/>
      <c r="B614" s="207" t="s">
        <v>152</v>
      </c>
      <c r="C614" s="208" t="s">
        <v>360</v>
      </c>
      <c r="D614" s="193" t="s">
        <v>136</v>
      </c>
      <c r="E614" s="193" t="s">
        <v>76</v>
      </c>
      <c r="F614" s="661" t="s">
        <v>109</v>
      </c>
      <c r="G614" s="662" t="s">
        <v>69</v>
      </c>
      <c r="H614" s="662" t="s">
        <v>61</v>
      </c>
      <c r="I614" s="663" t="s">
        <v>365</v>
      </c>
      <c r="J614" s="193" t="s">
        <v>153</v>
      </c>
      <c r="K614" s="209">
        <v>506.7</v>
      </c>
      <c r="L614" s="209">
        <f t="shared" si="125"/>
        <v>0</v>
      </c>
      <c r="M614" s="209">
        <v>506.7</v>
      </c>
    </row>
    <row r="615" spans="1:13" s="465" customFormat="1" ht="113.25" customHeight="1">
      <c r="A615" s="194"/>
      <c r="B615" s="207" t="s">
        <v>474</v>
      </c>
      <c r="C615" s="208" t="s">
        <v>360</v>
      </c>
      <c r="D615" s="193" t="s">
        <v>136</v>
      </c>
      <c r="E615" s="193" t="s">
        <v>76</v>
      </c>
      <c r="F615" s="661" t="s">
        <v>109</v>
      </c>
      <c r="G615" s="662" t="s">
        <v>69</v>
      </c>
      <c r="H615" s="662" t="s">
        <v>61</v>
      </c>
      <c r="I615" s="663" t="s">
        <v>366</v>
      </c>
      <c r="J615" s="193"/>
      <c r="K615" s="209">
        <v>726.3</v>
      </c>
      <c r="L615" s="209">
        <f>SUM(L616:L617)</f>
        <v>0</v>
      </c>
      <c r="M615" s="209">
        <f>SUM(M616:M617)</f>
        <v>726.3</v>
      </c>
    </row>
    <row r="616" spans="1:13" s="465" customFormat="1" ht="56.25">
      <c r="A616" s="194"/>
      <c r="B616" s="207" t="s">
        <v>79</v>
      </c>
      <c r="C616" s="208" t="s">
        <v>360</v>
      </c>
      <c r="D616" s="193" t="s">
        <v>136</v>
      </c>
      <c r="E616" s="193" t="s">
        <v>76</v>
      </c>
      <c r="F616" s="661" t="s">
        <v>109</v>
      </c>
      <c r="G616" s="662" t="s">
        <v>69</v>
      </c>
      <c r="H616" s="662" t="s">
        <v>61</v>
      </c>
      <c r="I616" s="663" t="s">
        <v>366</v>
      </c>
      <c r="J616" s="193" t="s">
        <v>80</v>
      </c>
      <c r="K616" s="209">
        <v>3.3</v>
      </c>
      <c r="L616" s="209">
        <f t="shared" ref="L616:L617" si="126">M616-K616</f>
        <v>0</v>
      </c>
      <c r="M616" s="209">
        <v>3.3</v>
      </c>
    </row>
    <row r="617" spans="1:13" s="465" customFormat="1" ht="37.5">
      <c r="A617" s="194"/>
      <c r="B617" s="207" t="s">
        <v>152</v>
      </c>
      <c r="C617" s="208" t="s">
        <v>360</v>
      </c>
      <c r="D617" s="193" t="s">
        <v>136</v>
      </c>
      <c r="E617" s="193" t="s">
        <v>76</v>
      </c>
      <c r="F617" s="661" t="s">
        <v>109</v>
      </c>
      <c r="G617" s="662" t="s">
        <v>69</v>
      </c>
      <c r="H617" s="662" t="s">
        <v>61</v>
      </c>
      <c r="I617" s="663" t="s">
        <v>366</v>
      </c>
      <c r="J617" s="193" t="s">
        <v>153</v>
      </c>
      <c r="K617" s="209">
        <v>723</v>
      </c>
      <c r="L617" s="209">
        <f t="shared" si="126"/>
        <v>0</v>
      </c>
      <c r="M617" s="209">
        <v>723</v>
      </c>
    </row>
    <row r="618" spans="1:13" s="465" customFormat="1" ht="78" customHeight="1">
      <c r="A618" s="194"/>
      <c r="B618" s="207" t="s">
        <v>374</v>
      </c>
      <c r="C618" s="208" t="s">
        <v>360</v>
      </c>
      <c r="D618" s="193" t="s">
        <v>136</v>
      </c>
      <c r="E618" s="193" t="s">
        <v>76</v>
      </c>
      <c r="F618" s="698" t="s">
        <v>109</v>
      </c>
      <c r="G618" s="699" t="s">
        <v>69</v>
      </c>
      <c r="H618" s="699" t="s">
        <v>63</v>
      </c>
      <c r="I618" s="700" t="s">
        <v>68</v>
      </c>
      <c r="J618" s="193"/>
      <c r="K618" s="209">
        <f>K619</f>
        <v>0</v>
      </c>
      <c r="L618" s="209">
        <f t="shared" ref="L618:M618" si="127">L619</f>
        <v>5.2</v>
      </c>
      <c r="M618" s="209">
        <f t="shared" si="127"/>
        <v>5.2</v>
      </c>
    </row>
    <row r="619" spans="1:13" s="465" customFormat="1" ht="18.75">
      <c r="A619" s="194"/>
      <c r="B619" s="207" t="s">
        <v>899</v>
      </c>
      <c r="C619" s="208" t="s">
        <v>360</v>
      </c>
      <c r="D619" s="193" t="s">
        <v>136</v>
      </c>
      <c r="E619" s="193" t="s">
        <v>76</v>
      </c>
      <c r="F619" s="698" t="s">
        <v>109</v>
      </c>
      <c r="G619" s="699" t="s">
        <v>69</v>
      </c>
      <c r="H619" s="699" t="s">
        <v>63</v>
      </c>
      <c r="I619" s="700" t="s">
        <v>898</v>
      </c>
      <c r="J619" s="193"/>
      <c r="K619" s="209">
        <f>K620</f>
        <v>0</v>
      </c>
      <c r="L619" s="209">
        <f t="shared" ref="L619:M619" si="128">L620</f>
        <v>5.2</v>
      </c>
      <c r="M619" s="209">
        <f t="shared" si="128"/>
        <v>5.2</v>
      </c>
    </row>
    <row r="620" spans="1:13" s="465" customFormat="1" ht="37.5">
      <c r="A620" s="194"/>
      <c r="B620" s="207" t="s">
        <v>152</v>
      </c>
      <c r="C620" s="208" t="s">
        <v>360</v>
      </c>
      <c r="D620" s="193" t="s">
        <v>136</v>
      </c>
      <c r="E620" s="193" t="s">
        <v>76</v>
      </c>
      <c r="F620" s="698" t="s">
        <v>109</v>
      </c>
      <c r="G620" s="699" t="s">
        <v>69</v>
      </c>
      <c r="H620" s="699" t="s">
        <v>63</v>
      </c>
      <c r="I620" s="700" t="s">
        <v>898</v>
      </c>
      <c r="J620" s="193" t="s">
        <v>153</v>
      </c>
      <c r="K620" s="209">
        <v>0</v>
      </c>
      <c r="L620" s="209">
        <f t="shared" ref="L620" si="129">M620-K620</f>
        <v>5.2</v>
      </c>
      <c r="M620" s="209">
        <f>5.2</f>
        <v>5.2</v>
      </c>
    </row>
    <row r="621" spans="1:13" s="190" customFormat="1" ht="27" customHeight="1">
      <c r="A621" s="194"/>
      <c r="B621" s="207" t="s">
        <v>367</v>
      </c>
      <c r="C621" s="208" t="s">
        <v>360</v>
      </c>
      <c r="D621" s="193" t="s">
        <v>136</v>
      </c>
      <c r="E621" s="193" t="s">
        <v>111</v>
      </c>
      <c r="F621" s="661"/>
      <c r="G621" s="662"/>
      <c r="H621" s="662"/>
      <c r="I621" s="663"/>
      <c r="J621" s="193"/>
      <c r="K621" s="209">
        <v>7905.5</v>
      </c>
      <c r="L621" s="209">
        <f t="shared" ref="L621:M623" si="130">L622</f>
        <v>0</v>
      </c>
      <c r="M621" s="209">
        <f t="shared" si="130"/>
        <v>7905.5</v>
      </c>
    </row>
    <row r="622" spans="1:13" s="190" customFormat="1" ht="56.25">
      <c r="A622" s="194"/>
      <c r="B622" s="211" t="s">
        <v>269</v>
      </c>
      <c r="C622" s="208" t="s">
        <v>360</v>
      </c>
      <c r="D622" s="193" t="s">
        <v>136</v>
      </c>
      <c r="E622" s="193" t="s">
        <v>111</v>
      </c>
      <c r="F622" s="661" t="s">
        <v>109</v>
      </c>
      <c r="G622" s="662" t="s">
        <v>66</v>
      </c>
      <c r="H622" s="662" t="s">
        <v>67</v>
      </c>
      <c r="I622" s="663" t="s">
        <v>68</v>
      </c>
      <c r="J622" s="193"/>
      <c r="K622" s="209">
        <v>7905.5</v>
      </c>
      <c r="L622" s="209">
        <f t="shared" si="130"/>
        <v>0</v>
      </c>
      <c r="M622" s="209">
        <f t="shared" si="130"/>
        <v>7905.5</v>
      </c>
    </row>
    <row r="623" spans="1:13" s="190" customFormat="1" ht="37.5">
      <c r="A623" s="194"/>
      <c r="B623" s="207" t="s">
        <v>428</v>
      </c>
      <c r="C623" s="208" t="s">
        <v>360</v>
      </c>
      <c r="D623" s="193" t="s">
        <v>136</v>
      </c>
      <c r="E623" s="193" t="s">
        <v>111</v>
      </c>
      <c r="F623" s="661" t="s">
        <v>109</v>
      </c>
      <c r="G623" s="662" t="s">
        <v>69</v>
      </c>
      <c r="H623" s="662" t="s">
        <v>67</v>
      </c>
      <c r="I623" s="663" t="s">
        <v>68</v>
      </c>
      <c r="J623" s="193"/>
      <c r="K623" s="209">
        <v>7905.5</v>
      </c>
      <c r="L623" s="209">
        <f t="shared" si="130"/>
        <v>0</v>
      </c>
      <c r="M623" s="209">
        <f t="shared" si="130"/>
        <v>7905.5</v>
      </c>
    </row>
    <row r="624" spans="1:13" s="465" customFormat="1" ht="37.5">
      <c r="A624" s="194"/>
      <c r="B624" s="207" t="s">
        <v>268</v>
      </c>
      <c r="C624" s="208" t="s">
        <v>360</v>
      </c>
      <c r="D624" s="193" t="s">
        <v>136</v>
      </c>
      <c r="E624" s="193" t="s">
        <v>111</v>
      </c>
      <c r="F624" s="661" t="s">
        <v>109</v>
      </c>
      <c r="G624" s="662" t="s">
        <v>69</v>
      </c>
      <c r="H624" s="662" t="s">
        <v>89</v>
      </c>
      <c r="I624" s="663" t="s">
        <v>68</v>
      </c>
      <c r="J624" s="193"/>
      <c r="K624" s="209">
        <v>7905.5</v>
      </c>
      <c r="L624" s="209">
        <f>L625+L628+L631</f>
        <v>0</v>
      </c>
      <c r="M624" s="209">
        <f>M625+M628+M631</f>
        <v>7905.5</v>
      </c>
    </row>
    <row r="625" spans="1:13" s="465" customFormat="1" ht="77.25" customHeight="1">
      <c r="A625" s="194"/>
      <c r="B625" s="207" t="s">
        <v>270</v>
      </c>
      <c r="C625" s="208" t="s">
        <v>360</v>
      </c>
      <c r="D625" s="193" t="s">
        <v>136</v>
      </c>
      <c r="E625" s="193" t="s">
        <v>111</v>
      </c>
      <c r="F625" s="661" t="s">
        <v>109</v>
      </c>
      <c r="G625" s="662" t="s">
        <v>69</v>
      </c>
      <c r="H625" s="662" t="s">
        <v>89</v>
      </c>
      <c r="I625" s="663" t="s">
        <v>368</v>
      </c>
      <c r="J625" s="193"/>
      <c r="K625" s="209">
        <v>6385.5</v>
      </c>
      <c r="L625" s="209">
        <f>L626+L627</f>
        <v>0</v>
      </c>
      <c r="M625" s="209">
        <f>M626+M627</f>
        <v>6385.5</v>
      </c>
    </row>
    <row r="626" spans="1:13" s="465" customFormat="1" ht="112.5">
      <c r="A626" s="194"/>
      <c r="B626" s="207" t="s">
        <v>73</v>
      </c>
      <c r="C626" s="208" t="s">
        <v>360</v>
      </c>
      <c r="D626" s="193" t="s">
        <v>136</v>
      </c>
      <c r="E626" s="193" t="s">
        <v>111</v>
      </c>
      <c r="F626" s="661" t="s">
        <v>109</v>
      </c>
      <c r="G626" s="662" t="s">
        <v>69</v>
      </c>
      <c r="H626" s="662" t="s">
        <v>89</v>
      </c>
      <c r="I626" s="663" t="s">
        <v>368</v>
      </c>
      <c r="J626" s="193" t="s">
        <v>74</v>
      </c>
      <c r="K626" s="209">
        <v>5725.5</v>
      </c>
      <c r="L626" s="209">
        <f t="shared" ref="L626:L627" si="131">M626-K626</f>
        <v>0</v>
      </c>
      <c r="M626" s="209">
        <v>5725.5</v>
      </c>
    </row>
    <row r="627" spans="1:13" s="465" customFormat="1" ht="56.25">
      <c r="A627" s="194"/>
      <c r="B627" s="207" t="s">
        <v>79</v>
      </c>
      <c r="C627" s="208" t="s">
        <v>360</v>
      </c>
      <c r="D627" s="193" t="s">
        <v>136</v>
      </c>
      <c r="E627" s="193" t="s">
        <v>111</v>
      </c>
      <c r="F627" s="430" t="s">
        <v>109</v>
      </c>
      <c r="G627" s="431" t="s">
        <v>69</v>
      </c>
      <c r="H627" s="431" t="s">
        <v>89</v>
      </c>
      <c r="I627" s="432" t="s">
        <v>368</v>
      </c>
      <c r="J627" s="193" t="s">
        <v>80</v>
      </c>
      <c r="K627" s="209">
        <v>660</v>
      </c>
      <c r="L627" s="209">
        <f t="shared" si="131"/>
        <v>0</v>
      </c>
      <c r="M627" s="209">
        <v>660</v>
      </c>
    </row>
    <row r="628" spans="1:13" s="465" customFormat="1" ht="57.75" customHeight="1">
      <c r="A628" s="194"/>
      <c r="B628" s="207" t="s">
        <v>504</v>
      </c>
      <c r="C628" s="208" t="s">
        <v>360</v>
      </c>
      <c r="D628" s="193" t="s">
        <v>136</v>
      </c>
      <c r="E628" s="193" t="s">
        <v>111</v>
      </c>
      <c r="F628" s="661" t="s">
        <v>109</v>
      </c>
      <c r="G628" s="662" t="s">
        <v>69</v>
      </c>
      <c r="H628" s="662" t="s">
        <v>89</v>
      </c>
      <c r="I628" s="663" t="s">
        <v>369</v>
      </c>
      <c r="J628" s="193"/>
      <c r="K628" s="209">
        <v>640.79999999999995</v>
      </c>
      <c r="L628" s="209">
        <f>L629+L630</f>
        <v>0</v>
      </c>
      <c r="M628" s="209">
        <f>M629+M630</f>
        <v>640.79999999999995</v>
      </c>
    </row>
    <row r="629" spans="1:13" s="465" customFormat="1" ht="112.5">
      <c r="A629" s="194"/>
      <c r="B629" s="207" t="s">
        <v>73</v>
      </c>
      <c r="C629" s="208" t="s">
        <v>360</v>
      </c>
      <c r="D629" s="193" t="s">
        <v>136</v>
      </c>
      <c r="E629" s="193" t="s">
        <v>111</v>
      </c>
      <c r="F629" s="661" t="s">
        <v>109</v>
      </c>
      <c r="G629" s="662" t="s">
        <v>69</v>
      </c>
      <c r="H629" s="662" t="s">
        <v>89</v>
      </c>
      <c r="I629" s="663" t="s">
        <v>369</v>
      </c>
      <c r="J629" s="193" t="s">
        <v>74</v>
      </c>
      <c r="K629" s="209">
        <v>580.79999999999995</v>
      </c>
      <c r="L629" s="209">
        <f t="shared" ref="L629:L630" si="132">M629-K629</f>
        <v>0</v>
      </c>
      <c r="M629" s="209">
        <v>580.79999999999995</v>
      </c>
    </row>
    <row r="630" spans="1:13" s="465" customFormat="1" ht="56.25">
      <c r="A630" s="194"/>
      <c r="B630" s="207" t="s">
        <v>79</v>
      </c>
      <c r="C630" s="208" t="s">
        <v>360</v>
      </c>
      <c r="D630" s="193" t="s">
        <v>136</v>
      </c>
      <c r="E630" s="193" t="s">
        <v>111</v>
      </c>
      <c r="F630" s="661" t="s">
        <v>109</v>
      </c>
      <c r="G630" s="662" t="s">
        <v>69</v>
      </c>
      <c r="H630" s="662" t="s">
        <v>89</v>
      </c>
      <c r="I630" s="663" t="s">
        <v>369</v>
      </c>
      <c r="J630" s="193" t="s">
        <v>80</v>
      </c>
      <c r="K630" s="209">
        <v>60</v>
      </c>
      <c r="L630" s="209">
        <f t="shared" si="132"/>
        <v>0</v>
      </c>
      <c r="M630" s="209">
        <v>60</v>
      </c>
    </row>
    <row r="631" spans="1:13" s="465" customFormat="1" ht="265.5" customHeight="1">
      <c r="A631" s="194"/>
      <c r="B631" s="555" t="s">
        <v>271</v>
      </c>
      <c r="C631" s="208" t="s">
        <v>360</v>
      </c>
      <c r="D631" s="193" t="s">
        <v>136</v>
      </c>
      <c r="E631" s="193" t="s">
        <v>111</v>
      </c>
      <c r="F631" s="661" t="s">
        <v>109</v>
      </c>
      <c r="G631" s="662" t="s">
        <v>69</v>
      </c>
      <c r="H631" s="662" t="s">
        <v>89</v>
      </c>
      <c r="I631" s="663" t="s">
        <v>370</v>
      </c>
      <c r="J631" s="193"/>
      <c r="K631" s="209">
        <v>879.2</v>
      </c>
      <c r="L631" s="209">
        <f>L632+L633</f>
        <v>0</v>
      </c>
      <c r="M631" s="209">
        <f>M632+M633</f>
        <v>879.2</v>
      </c>
    </row>
    <row r="632" spans="1:13" s="465" customFormat="1" ht="112.5">
      <c r="A632" s="194"/>
      <c r="B632" s="207" t="s">
        <v>73</v>
      </c>
      <c r="C632" s="208" t="s">
        <v>360</v>
      </c>
      <c r="D632" s="193" t="s">
        <v>136</v>
      </c>
      <c r="E632" s="193" t="s">
        <v>111</v>
      </c>
      <c r="F632" s="661" t="s">
        <v>109</v>
      </c>
      <c r="G632" s="662" t="s">
        <v>69</v>
      </c>
      <c r="H632" s="662" t="s">
        <v>89</v>
      </c>
      <c r="I632" s="663" t="s">
        <v>370</v>
      </c>
      <c r="J632" s="193" t="s">
        <v>74</v>
      </c>
      <c r="K632" s="209">
        <v>789.2</v>
      </c>
      <c r="L632" s="209">
        <f t="shared" ref="L632:L633" si="133">M632-K632</f>
        <v>0</v>
      </c>
      <c r="M632" s="209">
        <v>789.2</v>
      </c>
    </row>
    <row r="633" spans="1:13" s="465" customFormat="1" ht="56.25">
      <c r="A633" s="194"/>
      <c r="B633" s="207" t="s">
        <v>79</v>
      </c>
      <c r="C633" s="208" t="s">
        <v>360</v>
      </c>
      <c r="D633" s="193" t="s">
        <v>136</v>
      </c>
      <c r="E633" s="193" t="s">
        <v>111</v>
      </c>
      <c r="F633" s="661" t="s">
        <v>109</v>
      </c>
      <c r="G633" s="662" t="s">
        <v>69</v>
      </c>
      <c r="H633" s="662" t="s">
        <v>89</v>
      </c>
      <c r="I633" s="663" t="s">
        <v>370</v>
      </c>
      <c r="J633" s="193" t="s">
        <v>80</v>
      </c>
      <c r="K633" s="209">
        <v>90</v>
      </c>
      <c r="L633" s="209">
        <f t="shared" si="133"/>
        <v>0</v>
      </c>
      <c r="M633" s="209">
        <v>90</v>
      </c>
    </row>
    <row r="634" spans="1:13" s="465" customFormat="1" ht="18.75">
      <c r="A634" s="556"/>
      <c r="B634" s="436"/>
      <c r="C634" s="557"/>
      <c r="D634" s="437"/>
      <c r="E634" s="437"/>
      <c r="F634" s="437"/>
      <c r="G634" s="437"/>
      <c r="H634" s="437"/>
      <c r="I634" s="437"/>
      <c r="J634" s="437"/>
      <c r="K634" s="558"/>
      <c r="L634" s="558"/>
      <c r="M634" s="558"/>
    </row>
    <row r="635" spans="1:13" s="559" customFormat="1" ht="18.75">
      <c r="A635" s="556"/>
      <c r="B635" s="436"/>
      <c r="C635" s="557"/>
      <c r="D635" s="437"/>
      <c r="E635" s="437"/>
      <c r="F635" s="437"/>
      <c r="G635" s="437"/>
      <c r="H635" s="437"/>
      <c r="I635" s="437"/>
      <c r="J635" s="437"/>
      <c r="K635" s="558"/>
      <c r="L635" s="558"/>
      <c r="M635" s="558"/>
    </row>
    <row r="636" spans="1:13" s="342" customFormat="1" ht="18.75">
      <c r="A636" s="440" t="s">
        <v>497</v>
      </c>
      <c r="B636" s="345"/>
      <c r="C636" s="346"/>
      <c r="D636" s="346"/>
      <c r="E636" s="346"/>
      <c r="F636" s="262"/>
      <c r="G636" s="439"/>
      <c r="H636" s="510"/>
    </row>
    <row r="637" spans="1:13" s="342" customFormat="1" ht="18.75">
      <c r="A637" s="440" t="s">
        <v>498</v>
      </c>
      <c r="B637" s="345"/>
      <c r="C637" s="346"/>
      <c r="D637" s="346"/>
      <c r="E637" s="346"/>
      <c r="F637" s="262"/>
      <c r="G637" s="439"/>
      <c r="H637" s="510"/>
    </row>
    <row r="638" spans="1:13" s="342" customFormat="1" ht="18.75">
      <c r="A638" s="441" t="s">
        <v>499</v>
      </c>
      <c r="B638" s="345"/>
      <c r="E638" s="346"/>
      <c r="F638" s="262"/>
      <c r="K638" s="442" t="s">
        <v>534</v>
      </c>
      <c r="L638" s="442"/>
      <c r="M638" s="442" t="s">
        <v>534</v>
      </c>
    </row>
    <row r="639" spans="1:13" s="559" customFormat="1" ht="18.75">
      <c r="A639" s="556"/>
      <c r="B639" s="436"/>
      <c r="C639" s="557"/>
      <c r="D639" s="437"/>
      <c r="E639" s="437"/>
      <c r="F639" s="437"/>
      <c r="G639" s="437"/>
      <c r="H639" s="437"/>
      <c r="I639" s="437"/>
      <c r="J639" s="437"/>
      <c r="K639" s="558"/>
      <c r="L639" s="558"/>
      <c r="M639" s="558"/>
    </row>
    <row r="640" spans="1:13" s="559" customFormat="1" ht="18.75">
      <c r="A640" s="556"/>
      <c r="B640" s="436"/>
      <c r="C640" s="557"/>
      <c r="D640" s="437"/>
      <c r="E640" s="437"/>
      <c r="F640" s="437"/>
      <c r="G640" s="437"/>
      <c r="H640" s="437"/>
      <c r="I640" s="437"/>
      <c r="J640" s="437"/>
      <c r="K640" s="558"/>
      <c r="L640" s="558"/>
      <c r="M640" s="558"/>
    </row>
    <row r="641" spans="1:14" s="559" customFormat="1" ht="18.75">
      <c r="A641" s="556"/>
      <c r="B641" s="436"/>
      <c r="C641" s="557"/>
      <c r="D641" s="437"/>
      <c r="E641" s="437"/>
      <c r="F641" s="437"/>
      <c r="G641" s="437"/>
      <c r="H641" s="437"/>
      <c r="I641" s="437"/>
      <c r="J641" s="437"/>
      <c r="K641" s="558"/>
      <c r="L641" s="558"/>
      <c r="M641" s="558"/>
    </row>
    <row r="642" spans="1:14" s="559" customFormat="1" ht="18.75">
      <c r="A642" s="556"/>
      <c r="B642" s="436"/>
      <c r="C642" s="557"/>
      <c r="D642" s="224" t="s">
        <v>61</v>
      </c>
      <c r="E642" s="224" t="s">
        <v>63</v>
      </c>
      <c r="F642" s="225"/>
      <c r="G642" s="225"/>
      <c r="H642" s="225"/>
      <c r="I642" s="225"/>
      <c r="J642" s="225"/>
      <c r="K642" s="513">
        <f>K17</f>
        <v>2046.6</v>
      </c>
      <c r="L642" s="513">
        <f>L17</f>
        <v>0</v>
      </c>
      <c r="M642" s="513">
        <f>M17</f>
        <v>2046.6</v>
      </c>
      <c r="N642" s="560"/>
    </row>
    <row r="643" spans="1:14" s="559" customFormat="1" ht="18.75">
      <c r="A643" s="556"/>
      <c r="B643" s="436"/>
      <c r="C643" s="557"/>
      <c r="D643" s="224" t="s">
        <v>61</v>
      </c>
      <c r="E643" s="224" t="s">
        <v>76</v>
      </c>
      <c r="F643" s="225"/>
      <c r="G643" s="225"/>
      <c r="H643" s="225"/>
      <c r="I643" s="225"/>
      <c r="J643" s="225"/>
      <c r="K643" s="513">
        <f>K23</f>
        <v>70753.063000000009</v>
      </c>
      <c r="L643" s="513">
        <f>L23</f>
        <v>3.1974423109204508E-14</v>
      </c>
      <c r="M643" s="513">
        <f>M23</f>
        <v>70753.063000000009</v>
      </c>
      <c r="N643" s="560"/>
    </row>
    <row r="644" spans="1:14" s="559" customFormat="1" ht="18.75">
      <c r="A644" s="556"/>
      <c r="B644" s="436"/>
      <c r="C644" s="557"/>
      <c r="D644" s="224" t="s">
        <v>61</v>
      </c>
      <c r="E644" s="224" t="s">
        <v>91</v>
      </c>
      <c r="F644" s="225"/>
      <c r="G644" s="225"/>
      <c r="H644" s="225"/>
      <c r="I644" s="225"/>
      <c r="J644" s="225"/>
      <c r="K644" s="513">
        <f>K46</f>
        <v>12.4</v>
      </c>
      <c r="L644" s="513">
        <f>L46</f>
        <v>0</v>
      </c>
      <c r="M644" s="513">
        <f>M46</f>
        <v>12.4</v>
      </c>
      <c r="N644" s="560"/>
    </row>
    <row r="645" spans="1:14" s="559" customFormat="1" ht="18.75">
      <c r="A645" s="556"/>
      <c r="B645" s="436"/>
      <c r="C645" s="557"/>
      <c r="D645" s="224" t="s">
        <v>61</v>
      </c>
      <c r="E645" s="224" t="s">
        <v>111</v>
      </c>
      <c r="F645" s="225"/>
      <c r="G645" s="225"/>
      <c r="H645" s="225"/>
      <c r="I645" s="225"/>
      <c r="J645" s="225"/>
      <c r="K645" s="513">
        <f>K194+K221</f>
        <v>28707.200000000004</v>
      </c>
      <c r="L645" s="513">
        <f>L194+L221</f>
        <v>14.799999999999944</v>
      </c>
      <c r="M645" s="513">
        <f>M194+M221</f>
        <v>28722.000000000004</v>
      </c>
      <c r="N645" s="560"/>
    </row>
    <row r="646" spans="1:14" s="559" customFormat="1" ht="18.75">
      <c r="A646" s="556"/>
      <c r="B646" s="436"/>
      <c r="C646" s="557"/>
      <c r="D646" s="224" t="s">
        <v>61</v>
      </c>
      <c r="E646" s="224" t="s">
        <v>263</v>
      </c>
      <c r="F646" s="225"/>
      <c r="G646" s="225"/>
      <c r="H646" s="225"/>
      <c r="I646" s="225"/>
      <c r="J646" s="225"/>
      <c r="K646" s="513">
        <f t="shared" ref="K646:M647" si="134">K57</f>
        <v>2300</v>
      </c>
      <c r="L646" s="513">
        <f t="shared" si="134"/>
        <v>0</v>
      </c>
      <c r="M646" s="513">
        <f t="shared" si="134"/>
        <v>2300</v>
      </c>
      <c r="N646" s="560"/>
    </row>
    <row r="647" spans="1:14" s="559" customFormat="1" ht="18.75">
      <c r="A647" s="556"/>
      <c r="B647" s="436"/>
      <c r="C647" s="557"/>
      <c r="D647" s="224" t="s">
        <v>61</v>
      </c>
      <c r="E647" s="224" t="s">
        <v>93</v>
      </c>
      <c r="F647" s="225"/>
      <c r="G647" s="225"/>
      <c r="H647" s="225"/>
      <c r="I647" s="225"/>
      <c r="J647" s="225"/>
      <c r="K647" s="513">
        <f t="shared" si="134"/>
        <v>3000</v>
      </c>
      <c r="L647" s="513">
        <f t="shared" si="134"/>
        <v>-1848.4920000000002</v>
      </c>
      <c r="M647" s="513">
        <f t="shared" si="134"/>
        <v>1151.5079999999998</v>
      </c>
      <c r="N647" s="560"/>
    </row>
    <row r="648" spans="1:14" s="559" customFormat="1" ht="18.75">
      <c r="A648" s="556"/>
      <c r="B648" s="436"/>
      <c r="C648" s="557"/>
      <c r="D648" s="224" t="s">
        <v>61</v>
      </c>
      <c r="E648" s="224" t="s">
        <v>100</v>
      </c>
      <c r="F648" s="225"/>
      <c r="G648" s="225"/>
      <c r="H648" s="225"/>
      <c r="I648" s="225"/>
      <c r="J648" s="225"/>
      <c r="K648" s="513">
        <f>K64+K205+K238</f>
        <v>40295.175000000003</v>
      </c>
      <c r="L648" s="513">
        <f>L64+L205+L238</f>
        <v>3689.3</v>
      </c>
      <c r="M648" s="513">
        <f>M64+M205+M238</f>
        <v>43984.474999999999</v>
      </c>
      <c r="N648" s="560"/>
    </row>
    <row r="649" spans="1:14" ht="18.75">
      <c r="D649" s="514" t="s">
        <v>61</v>
      </c>
      <c r="E649" s="514" t="s">
        <v>67</v>
      </c>
      <c r="F649" s="225"/>
      <c r="G649" s="225"/>
      <c r="H649" s="225"/>
      <c r="I649" s="225"/>
      <c r="J649" s="225"/>
      <c r="K649" s="515">
        <f>SUBTOTAL(9,K642:K648)</f>
        <v>147114.43800000002</v>
      </c>
      <c r="L649" s="515">
        <f>SUBTOTAL(9,L642:L648)</f>
        <v>1855.6079999999999</v>
      </c>
      <c r="M649" s="515">
        <f>SUBTOTAL(9,M642:M648)</f>
        <v>148970.046</v>
      </c>
      <c r="N649" s="561"/>
    </row>
    <row r="650" spans="1:14" ht="18.75">
      <c r="D650" s="224"/>
      <c r="E650" s="224"/>
      <c r="F650" s="225"/>
      <c r="G650" s="225"/>
      <c r="H650" s="225"/>
      <c r="I650" s="225"/>
      <c r="J650" s="225"/>
      <c r="K650" s="513"/>
      <c r="L650" s="513"/>
      <c r="M650" s="513"/>
      <c r="N650" s="560"/>
    </row>
    <row r="651" spans="1:14" ht="18.75">
      <c r="D651" s="224" t="s">
        <v>89</v>
      </c>
      <c r="E651" s="224" t="s">
        <v>109</v>
      </c>
      <c r="F651" s="225"/>
      <c r="G651" s="225"/>
      <c r="H651" s="225"/>
      <c r="I651" s="225"/>
      <c r="J651" s="225"/>
      <c r="K651" s="513">
        <f>K89</f>
        <v>3447.8</v>
      </c>
      <c r="L651" s="513">
        <f>L89</f>
        <v>0</v>
      </c>
      <c r="M651" s="513">
        <f>M89</f>
        <v>3447.8</v>
      </c>
      <c r="N651" s="560"/>
    </row>
    <row r="652" spans="1:14" ht="18.75">
      <c r="D652" s="224" t="s">
        <v>89</v>
      </c>
      <c r="E652" s="224" t="s">
        <v>119</v>
      </c>
      <c r="F652" s="225"/>
      <c r="G652" s="225"/>
      <c r="H652" s="225"/>
      <c r="I652" s="225"/>
      <c r="J652" s="225"/>
      <c r="K652" s="513">
        <f>K101</f>
        <v>9386.8000000000011</v>
      </c>
      <c r="L652" s="513">
        <f>L101</f>
        <v>645.6</v>
      </c>
      <c r="M652" s="513">
        <f>M101</f>
        <v>10032.400000000001</v>
      </c>
      <c r="N652" s="560"/>
    </row>
    <row r="653" spans="1:14" ht="18.75">
      <c r="D653" s="514" t="s">
        <v>89</v>
      </c>
      <c r="E653" s="514" t="s">
        <v>67</v>
      </c>
      <c r="F653" s="225"/>
      <c r="G653" s="225"/>
      <c r="H653" s="225"/>
      <c r="I653" s="225"/>
      <c r="J653" s="225"/>
      <c r="K653" s="515">
        <f>SUBTOTAL(9,K651:K652)</f>
        <v>12834.600000000002</v>
      </c>
      <c r="L653" s="515">
        <f>SUBTOTAL(9,L651:L652)</f>
        <v>645.6</v>
      </c>
      <c r="M653" s="515">
        <f>SUBTOTAL(9,M651:M652)</f>
        <v>13480.2</v>
      </c>
      <c r="N653" s="561"/>
    </row>
    <row r="654" spans="1:14" ht="18.75">
      <c r="D654" s="224"/>
      <c r="E654" s="224"/>
      <c r="F654" s="225"/>
      <c r="G654" s="225"/>
      <c r="H654" s="225"/>
      <c r="I654" s="225"/>
      <c r="J654" s="225"/>
      <c r="K654" s="513"/>
      <c r="L654" s="513"/>
      <c r="M654" s="513"/>
      <c r="N654" s="560"/>
    </row>
    <row r="655" spans="1:14" ht="18.75">
      <c r="D655" s="224" t="s">
        <v>76</v>
      </c>
      <c r="E655" s="224" t="s">
        <v>91</v>
      </c>
      <c r="F655" s="225"/>
      <c r="G655" s="225"/>
      <c r="H655" s="225"/>
      <c r="I655" s="225"/>
      <c r="J655" s="225"/>
      <c r="K655" s="513">
        <f>K119</f>
        <v>17803.599999999999</v>
      </c>
      <c r="L655" s="513">
        <f>L119</f>
        <v>0</v>
      </c>
      <c r="M655" s="513">
        <f>M119</f>
        <v>17803.599999999999</v>
      </c>
      <c r="N655" s="560"/>
    </row>
    <row r="656" spans="1:14" ht="18.75">
      <c r="D656" s="224" t="s">
        <v>76</v>
      </c>
      <c r="E656" s="224" t="s">
        <v>109</v>
      </c>
      <c r="F656" s="225"/>
      <c r="G656" s="225"/>
      <c r="H656" s="225"/>
      <c r="I656" s="225"/>
      <c r="J656" s="225"/>
      <c r="K656" s="513">
        <f>K128</f>
        <v>6113</v>
      </c>
      <c r="L656" s="513">
        <f>L128</f>
        <v>3073.7875899999999</v>
      </c>
      <c r="M656" s="513">
        <f>M128</f>
        <v>9186.7875899999999</v>
      </c>
      <c r="N656" s="560"/>
    </row>
    <row r="657" spans="4:14" ht="18.75">
      <c r="D657" s="224" t="s">
        <v>76</v>
      </c>
      <c r="E657" s="224" t="s">
        <v>132</v>
      </c>
      <c r="F657" s="225"/>
      <c r="G657" s="225"/>
      <c r="H657" s="225"/>
      <c r="I657" s="225"/>
      <c r="J657" s="225"/>
      <c r="K657" s="513">
        <f>K134+K279</f>
        <v>7100.6000000000013</v>
      </c>
      <c r="L657" s="513">
        <f>L134+L279</f>
        <v>500</v>
      </c>
      <c r="M657" s="513">
        <f>M134+M279</f>
        <v>7600.6000000000013</v>
      </c>
      <c r="N657" s="560"/>
    </row>
    <row r="658" spans="4:14" ht="18.75">
      <c r="D658" s="514" t="s">
        <v>76</v>
      </c>
      <c r="E658" s="514" t="s">
        <v>67</v>
      </c>
      <c r="F658" s="225"/>
      <c r="G658" s="225"/>
      <c r="H658" s="225"/>
      <c r="I658" s="225"/>
      <c r="J658" s="225"/>
      <c r="K658" s="515">
        <f>SUBTOTAL(9,K655:K657)</f>
        <v>31017.200000000001</v>
      </c>
      <c r="L658" s="515">
        <f>SUBTOTAL(9,L655:L657)</f>
        <v>3573.7875899999999</v>
      </c>
      <c r="M658" s="515">
        <f>SUBTOTAL(9,M655:M657)</f>
        <v>34590.987589999997</v>
      </c>
      <c r="N658" s="561"/>
    </row>
    <row r="659" spans="4:14" ht="18.75">
      <c r="D659" s="224"/>
      <c r="E659" s="224"/>
      <c r="F659" s="225"/>
      <c r="G659" s="225"/>
      <c r="H659" s="225"/>
      <c r="I659" s="225"/>
      <c r="J659" s="225"/>
      <c r="K659" s="513"/>
      <c r="L659" s="513"/>
      <c r="M659" s="513"/>
      <c r="N659" s="560"/>
    </row>
    <row r="660" spans="4:14" ht="18.75">
      <c r="D660" s="224" t="s">
        <v>91</v>
      </c>
      <c r="E660" s="224" t="s">
        <v>61</v>
      </c>
      <c r="F660" s="225"/>
      <c r="G660" s="225"/>
      <c r="H660" s="225"/>
      <c r="I660" s="225"/>
      <c r="J660" s="225"/>
      <c r="K660" s="513"/>
      <c r="L660" s="513"/>
      <c r="M660" s="513"/>
      <c r="N660" s="560"/>
    </row>
    <row r="661" spans="4:14" ht="18.75">
      <c r="D661" s="224" t="s">
        <v>91</v>
      </c>
      <c r="E661" s="224" t="s">
        <v>63</v>
      </c>
      <c r="F661" s="225"/>
      <c r="G661" s="225"/>
      <c r="H661" s="225"/>
      <c r="I661" s="225"/>
      <c r="J661" s="225"/>
      <c r="K661" s="513">
        <f>K286</f>
        <v>23837.1</v>
      </c>
      <c r="L661" s="513">
        <f>L286</f>
        <v>0</v>
      </c>
      <c r="M661" s="513">
        <f>M286</f>
        <v>23837.1</v>
      </c>
      <c r="N661" s="560"/>
    </row>
    <row r="662" spans="4:14" ht="18.75">
      <c r="D662" s="224" t="s">
        <v>91</v>
      </c>
      <c r="E662" s="224" t="s">
        <v>91</v>
      </c>
      <c r="F662" s="225"/>
      <c r="G662" s="225"/>
      <c r="H662" s="225"/>
      <c r="I662" s="225"/>
      <c r="J662" s="225"/>
      <c r="K662" s="513"/>
      <c r="L662" s="513"/>
      <c r="M662" s="513"/>
      <c r="N662" s="560"/>
    </row>
    <row r="663" spans="4:14" ht="18.75">
      <c r="D663" s="514" t="s">
        <v>91</v>
      </c>
      <c r="E663" s="514" t="s">
        <v>67</v>
      </c>
      <c r="F663" s="225"/>
      <c r="G663" s="225"/>
      <c r="H663" s="225"/>
      <c r="I663" s="225"/>
      <c r="J663" s="225"/>
      <c r="K663" s="515">
        <f>SUBTOTAL(9,K660:K662)</f>
        <v>23837.1</v>
      </c>
      <c r="L663" s="515">
        <f>SUBTOTAL(9,L660:L662)</f>
        <v>0</v>
      </c>
      <c r="M663" s="515">
        <f>SUBTOTAL(9,M660:M662)</f>
        <v>23837.1</v>
      </c>
      <c r="N663" s="561"/>
    </row>
    <row r="664" spans="4:14" ht="18.75">
      <c r="D664" s="224"/>
      <c r="E664" s="224"/>
      <c r="F664" s="225"/>
      <c r="G664" s="225"/>
      <c r="H664" s="225"/>
      <c r="I664" s="225"/>
      <c r="J664" s="225"/>
      <c r="K664" s="513"/>
      <c r="L664" s="513"/>
      <c r="M664" s="513"/>
      <c r="N664" s="560"/>
    </row>
    <row r="665" spans="4:14" ht="18.75">
      <c r="D665" s="224" t="s">
        <v>263</v>
      </c>
      <c r="E665" s="224" t="s">
        <v>61</v>
      </c>
      <c r="F665" s="225"/>
      <c r="G665" s="225"/>
      <c r="H665" s="225"/>
      <c r="I665" s="225"/>
      <c r="J665" s="225"/>
      <c r="K665" s="513">
        <f>K333+K293</f>
        <v>448967.88818000001</v>
      </c>
      <c r="L665" s="513">
        <f>L333+L293</f>
        <v>-122609.247</v>
      </c>
      <c r="M665" s="513">
        <f>M333+M293</f>
        <v>326358.64117999998</v>
      </c>
      <c r="N665" s="560"/>
    </row>
    <row r="666" spans="4:14" ht="18.75">
      <c r="D666" s="224" t="s">
        <v>263</v>
      </c>
      <c r="E666" s="224" t="s">
        <v>63</v>
      </c>
      <c r="F666" s="225"/>
      <c r="G666" s="225"/>
      <c r="H666" s="225"/>
      <c r="I666" s="225"/>
      <c r="J666" s="225"/>
      <c r="K666" s="513">
        <f>K301+K356</f>
        <v>517772.61899000005</v>
      </c>
      <c r="L666" s="513">
        <f>L301+L356</f>
        <v>3880.2389999999996</v>
      </c>
      <c r="M666" s="513">
        <f>M301+M356</f>
        <v>521652.85799000005</v>
      </c>
      <c r="N666" s="560"/>
    </row>
    <row r="667" spans="4:14" ht="18.75">
      <c r="D667" s="224" t="s">
        <v>263</v>
      </c>
      <c r="E667" s="224" t="s">
        <v>89</v>
      </c>
      <c r="F667" s="225"/>
      <c r="G667" s="225"/>
      <c r="H667" s="225"/>
      <c r="I667" s="225"/>
      <c r="J667" s="225"/>
      <c r="K667" s="513">
        <f>K405+K463</f>
        <v>111009.1219</v>
      </c>
      <c r="L667" s="513">
        <f>L405+L463</f>
        <v>-56.04</v>
      </c>
      <c r="M667" s="513">
        <f>M405+M463</f>
        <v>110953.08189999999</v>
      </c>
      <c r="N667" s="560"/>
    </row>
    <row r="668" spans="4:14" ht="18.75">
      <c r="D668" s="224" t="s">
        <v>263</v>
      </c>
      <c r="E668" s="224" t="s">
        <v>91</v>
      </c>
      <c r="F668" s="225"/>
      <c r="G668" s="225"/>
      <c r="H668" s="225"/>
      <c r="I668" s="225"/>
      <c r="J668" s="225"/>
      <c r="K668" s="513"/>
      <c r="L668" s="513"/>
      <c r="M668" s="513"/>
      <c r="N668" s="560"/>
    </row>
    <row r="669" spans="4:14" ht="18.75">
      <c r="D669" s="224" t="s">
        <v>263</v>
      </c>
      <c r="E669" s="224" t="s">
        <v>263</v>
      </c>
      <c r="F669" s="225"/>
      <c r="G669" s="225"/>
      <c r="H669" s="225"/>
      <c r="I669" s="225"/>
      <c r="J669" s="225"/>
      <c r="K669" s="513">
        <f>K423+K474+K574+K595</f>
        <v>3941.1000000000004</v>
      </c>
      <c r="L669" s="513">
        <f>L423+L474+L574+L595</f>
        <v>7274.7196600000007</v>
      </c>
      <c r="M669" s="513">
        <f>M423+M474+M574+M595</f>
        <v>11215.819660000001</v>
      </c>
      <c r="N669" s="560"/>
    </row>
    <row r="670" spans="4:14" ht="18.75">
      <c r="D670" s="224" t="s">
        <v>263</v>
      </c>
      <c r="E670" s="224" t="s">
        <v>109</v>
      </c>
      <c r="F670" s="225"/>
      <c r="G670" s="225"/>
      <c r="H670" s="225"/>
      <c r="I670" s="225"/>
      <c r="J670" s="225"/>
      <c r="K670" s="513">
        <f>K432+K480+K584</f>
        <v>61863.102999999996</v>
      </c>
      <c r="L670" s="513">
        <f>L432+L480+L584</f>
        <v>56.039999999999715</v>
      </c>
      <c r="M670" s="513">
        <f>M432+M480+M584</f>
        <v>61919.142999999996</v>
      </c>
      <c r="N670" s="560"/>
    </row>
    <row r="671" spans="4:14" ht="18.75">
      <c r="D671" s="514" t="s">
        <v>263</v>
      </c>
      <c r="E671" s="514" t="s">
        <v>67</v>
      </c>
      <c r="F671" s="225"/>
      <c r="G671" s="225"/>
      <c r="H671" s="225"/>
      <c r="I671" s="225"/>
      <c r="J671" s="225"/>
      <c r="K671" s="515">
        <f>SUBTOTAL(9,K665:K670)</f>
        <v>1143553.83207</v>
      </c>
      <c r="L671" s="515">
        <f>SUBTOTAL(9,L665:L670)</f>
        <v>-111454.28834</v>
      </c>
      <c r="M671" s="515">
        <f>SUBTOTAL(9,M665:M670)</f>
        <v>1032099.54373</v>
      </c>
      <c r="N671" s="561"/>
    </row>
    <row r="672" spans="4:14" ht="18.75">
      <c r="D672" s="224"/>
      <c r="E672" s="224"/>
      <c r="F672" s="225"/>
      <c r="G672" s="225"/>
      <c r="H672" s="225"/>
      <c r="I672" s="225"/>
      <c r="J672" s="225"/>
      <c r="K672" s="513"/>
      <c r="L672" s="513"/>
      <c r="M672" s="513"/>
      <c r="N672" s="560"/>
    </row>
    <row r="673" spans="4:14" ht="18.75">
      <c r="D673" s="224" t="s">
        <v>265</v>
      </c>
      <c r="E673" s="224" t="s">
        <v>61</v>
      </c>
      <c r="F673" s="225"/>
      <c r="G673" s="225"/>
      <c r="H673" s="225"/>
      <c r="I673" s="225"/>
      <c r="J673" s="225"/>
      <c r="K673" s="513">
        <f>K487</f>
        <v>24360.7</v>
      </c>
      <c r="L673" s="513">
        <f>L487</f>
        <v>138.69999999999931</v>
      </c>
      <c r="M673" s="513">
        <f>M487</f>
        <v>24499.399999999998</v>
      </c>
      <c r="N673" s="560"/>
    </row>
    <row r="674" spans="4:14" ht="18.75">
      <c r="D674" s="224" t="s">
        <v>265</v>
      </c>
      <c r="E674" s="224" t="s">
        <v>76</v>
      </c>
      <c r="F674" s="225"/>
      <c r="G674" s="225"/>
      <c r="H674" s="225"/>
      <c r="I674" s="225"/>
      <c r="J674" s="225"/>
      <c r="K674" s="513">
        <f>K513</f>
        <v>9638.8999999999978</v>
      </c>
      <c r="L674" s="513">
        <f>L513</f>
        <v>92.300000000000182</v>
      </c>
      <c r="M674" s="513">
        <f>M513</f>
        <v>9731.1999999999989</v>
      </c>
      <c r="N674" s="560"/>
    </row>
    <row r="675" spans="4:14" ht="18.75">
      <c r="D675" s="514" t="s">
        <v>265</v>
      </c>
      <c r="E675" s="514" t="s">
        <v>67</v>
      </c>
      <c r="F675" s="225"/>
      <c r="G675" s="225"/>
      <c r="H675" s="225"/>
      <c r="I675" s="225"/>
      <c r="J675" s="225"/>
      <c r="K675" s="515">
        <f>SUBTOTAL(9,K673:K674)</f>
        <v>33999.599999999999</v>
      </c>
      <c r="L675" s="515">
        <f>SUBTOTAL(9,L673:L674)</f>
        <v>230.99999999999949</v>
      </c>
      <c r="M675" s="515">
        <f>SUBTOTAL(9,M673:M674)</f>
        <v>34230.6</v>
      </c>
      <c r="N675" s="561"/>
    </row>
    <row r="676" spans="4:14" ht="18.75">
      <c r="D676" s="224"/>
      <c r="E676" s="224"/>
      <c r="F676" s="225"/>
      <c r="G676" s="225"/>
      <c r="H676" s="225"/>
      <c r="I676" s="225"/>
      <c r="J676" s="225"/>
      <c r="K676" s="513"/>
      <c r="L676" s="513"/>
      <c r="M676" s="513"/>
      <c r="N676" s="560"/>
    </row>
    <row r="677" spans="4:14" ht="18.75">
      <c r="D677" s="224" t="s">
        <v>109</v>
      </c>
      <c r="E677" s="224" t="s">
        <v>63</v>
      </c>
      <c r="F677" s="225"/>
      <c r="G677" s="225"/>
      <c r="H677" s="225"/>
      <c r="I677" s="225"/>
      <c r="J677" s="225"/>
      <c r="K677" s="513">
        <f>K308</f>
        <v>0</v>
      </c>
      <c r="L677" s="513">
        <f>L308</f>
        <v>2642.6</v>
      </c>
      <c r="M677" s="513">
        <f>M308</f>
        <v>2642.6</v>
      </c>
      <c r="N677" s="560"/>
    </row>
    <row r="678" spans="4:14" ht="18.75">
      <c r="D678" s="514" t="s">
        <v>109</v>
      </c>
      <c r="E678" s="514" t="s">
        <v>67</v>
      </c>
      <c r="F678" s="225"/>
      <c r="G678" s="225"/>
      <c r="H678" s="225"/>
      <c r="I678" s="225"/>
      <c r="J678" s="225"/>
      <c r="K678" s="515">
        <f>K677</f>
        <v>0</v>
      </c>
      <c r="L678" s="515">
        <f t="shared" ref="L678:M678" si="135">L677</f>
        <v>2642.6</v>
      </c>
      <c r="M678" s="515">
        <f t="shared" si="135"/>
        <v>2642.6</v>
      </c>
      <c r="N678" s="560"/>
    </row>
    <row r="679" spans="4:14" ht="18.75">
      <c r="D679" s="224"/>
      <c r="E679" s="224"/>
      <c r="F679" s="225"/>
      <c r="G679" s="225"/>
      <c r="H679" s="225"/>
      <c r="I679" s="225"/>
      <c r="J679" s="225"/>
      <c r="K679" s="513"/>
      <c r="L679" s="513"/>
      <c r="M679" s="513"/>
      <c r="N679" s="560"/>
    </row>
    <row r="680" spans="4:14" ht="18.75">
      <c r="D680" s="224" t="s">
        <v>136</v>
      </c>
      <c r="E680" s="224" t="s">
        <v>61</v>
      </c>
      <c r="F680" s="225"/>
      <c r="G680" s="225"/>
      <c r="H680" s="225"/>
      <c r="I680" s="225"/>
      <c r="J680" s="225"/>
      <c r="K680" s="513">
        <f>K158</f>
        <v>552</v>
      </c>
      <c r="L680" s="513">
        <f>L158</f>
        <v>0</v>
      </c>
      <c r="M680" s="513">
        <f>M158</f>
        <v>552</v>
      </c>
      <c r="N680" s="560"/>
    </row>
    <row r="681" spans="4:14" ht="18.75">
      <c r="D681" s="224" t="s">
        <v>136</v>
      </c>
      <c r="E681" s="224" t="s">
        <v>89</v>
      </c>
      <c r="F681" s="225"/>
      <c r="G681" s="225"/>
      <c r="H681" s="225"/>
      <c r="I681" s="225"/>
      <c r="J681" s="225"/>
      <c r="K681" s="513">
        <f>K164</f>
        <v>0</v>
      </c>
      <c r="L681" s="513">
        <f>L164</f>
        <v>1680</v>
      </c>
      <c r="M681" s="513">
        <f>M164</f>
        <v>1680</v>
      </c>
      <c r="N681" s="560"/>
    </row>
    <row r="682" spans="4:14" ht="18.75">
      <c r="D682" s="224" t="s">
        <v>136</v>
      </c>
      <c r="E682" s="224" t="s">
        <v>76</v>
      </c>
      <c r="F682" s="225"/>
      <c r="G682" s="225"/>
      <c r="H682" s="225"/>
      <c r="I682" s="225"/>
      <c r="J682" s="225"/>
      <c r="K682" s="513">
        <f>K315+K453+K602</f>
        <v>126093</v>
      </c>
      <c r="L682" s="513">
        <f>L315+L453+L602</f>
        <v>5.2</v>
      </c>
      <c r="M682" s="513">
        <f>M315+M453+M602</f>
        <v>126098.2</v>
      </c>
      <c r="N682" s="560"/>
    </row>
    <row r="683" spans="4:14" ht="18.75">
      <c r="D683" s="224" t="s">
        <v>136</v>
      </c>
      <c r="E683" s="224" t="s">
        <v>111</v>
      </c>
      <c r="F683" s="225"/>
      <c r="G683" s="225"/>
      <c r="H683" s="225"/>
      <c r="I683" s="225"/>
      <c r="J683" s="225"/>
      <c r="K683" s="513">
        <f>K173+K621</f>
        <v>10281.700000000001</v>
      </c>
      <c r="L683" s="513">
        <f>L173+L621</f>
        <v>-1089</v>
      </c>
      <c r="M683" s="513">
        <f>M173+M621</f>
        <v>9192.7000000000007</v>
      </c>
      <c r="N683" s="560"/>
    </row>
    <row r="684" spans="4:14" ht="18.75">
      <c r="D684" s="514" t="s">
        <v>136</v>
      </c>
      <c r="E684" s="514" t="s">
        <v>67</v>
      </c>
      <c r="F684" s="225"/>
      <c r="G684" s="225"/>
      <c r="H684" s="225"/>
      <c r="I684" s="225"/>
      <c r="J684" s="225"/>
      <c r="K684" s="515">
        <f>SUBTOTAL(9,K680:K683)</f>
        <v>136926.70000000001</v>
      </c>
      <c r="L684" s="515">
        <f>SUBTOTAL(9,L680:L683)</f>
        <v>596.20000000000005</v>
      </c>
      <c r="M684" s="515">
        <f>SUBTOTAL(9,M680:M683)</f>
        <v>137522.9</v>
      </c>
      <c r="N684" s="561"/>
    </row>
    <row r="685" spans="4:14" ht="18.75">
      <c r="D685" s="224"/>
      <c r="E685" s="224"/>
      <c r="F685" s="225"/>
      <c r="G685" s="225"/>
      <c r="H685" s="225"/>
      <c r="I685" s="225"/>
      <c r="J685" s="225"/>
      <c r="K685" s="513"/>
      <c r="L685" s="513"/>
      <c r="M685" s="513"/>
      <c r="N685" s="560"/>
    </row>
    <row r="686" spans="4:14" ht="18.75">
      <c r="D686" s="224" t="s">
        <v>93</v>
      </c>
      <c r="E686" s="224" t="s">
        <v>61</v>
      </c>
      <c r="F686" s="225"/>
      <c r="G686" s="225"/>
      <c r="H686" s="225"/>
      <c r="I686" s="225"/>
      <c r="J686" s="225"/>
      <c r="K686" s="513">
        <f>K532+K324</f>
        <v>38251.961369999997</v>
      </c>
      <c r="L686" s="513">
        <f>L532+L324</f>
        <v>-3885</v>
      </c>
      <c r="M686" s="513">
        <f>M532+M324</f>
        <v>34366.961369999997</v>
      </c>
      <c r="N686" s="560"/>
    </row>
    <row r="687" spans="4:14" ht="18.75">
      <c r="D687" s="224" t="s">
        <v>93</v>
      </c>
      <c r="E687" s="224" t="s">
        <v>63</v>
      </c>
      <c r="F687" s="225"/>
      <c r="G687" s="225"/>
      <c r="H687" s="225"/>
      <c r="I687" s="225"/>
      <c r="J687" s="225"/>
      <c r="K687" s="513">
        <f>K552</f>
        <v>597.09999999999991</v>
      </c>
      <c r="L687" s="513">
        <f>L552</f>
        <v>900</v>
      </c>
      <c r="M687" s="513">
        <f>M552</f>
        <v>1497.1</v>
      </c>
      <c r="N687" s="560"/>
    </row>
    <row r="688" spans="4:14" ht="18.75">
      <c r="D688" s="224" t="s">
        <v>93</v>
      </c>
      <c r="E688" s="224" t="s">
        <v>91</v>
      </c>
      <c r="F688" s="225"/>
      <c r="G688" s="225"/>
      <c r="H688" s="225"/>
      <c r="I688" s="225"/>
      <c r="J688" s="225"/>
      <c r="K688" s="513">
        <f>K563</f>
        <v>2437.1</v>
      </c>
      <c r="L688" s="513">
        <f>L563</f>
        <v>0</v>
      </c>
      <c r="M688" s="513">
        <f>M563</f>
        <v>2437.1</v>
      </c>
      <c r="N688" s="560"/>
    </row>
    <row r="689" spans="2:14" ht="18.75">
      <c r="D689" s="514" t="s">
        <v>93</v>
      </c>
      <c r="E689" s="514" t="s">
        <v>67</v>
      </c>
      <c r="F689" s="225"/>
      <c r="G689" s="225"/>
      <c r="H689" s="225"/>
      <c r="I689" s="225"/>
      <c r="J689" s="225"/>
      <c r="K689" s="515">
        <f>SUBTOTAL(9,K686:K688)</f>
        <v>41286.161369999994</v>
      </c>
      <c r="L689" s="515">
        <f>SUBTOTAL(9,L686:L688)</f>
        <v>-2985</v>
      </c>
      <c r="M689" s="515">
        <f>SUBTOTAL(9,M686:M688)</f>
        <v>38301.161369999994</v>
      </c>
      <c r="N689" s="561"/>
    </row>
    <row r="690" spans="2:14" ht="18.75">
      <c r="D690" s="224"/>
      <c r="E690" s="224"/>
      <c r="F690" s="225"/>
      <c r="G690" s="225"/>
      <c r="H690" s="225"/>
      <c r="I690" s="225"/>
      <c r="J690" s="225"/>
      <c r="K690" s="513"/>
      <c r="L690" s="513"/>
      <c r="M690" s="513"/>
      <c r="N690" s="560"/>
    </row>
    <row r="691" spans="2:14" ht="18.75">
      <c r="D691" s="224" t="s">
        <v>100</v>
      </c>
      <c r="E691" s="224" t="s">
        <v>61</v>
      </c>
      <c r="F691" s="225"/>
      <c r="G691" s="225"/>
      <c r="H691" s="225"/>
      <c r="I691" s="225"/>
      <c r="J691" s="225"/>
      <c r="K691" s="513">
        <f>K185</f>
        <v>17.100000000000001</v>
      </c>
      <c r="L691" s="513">
        <f>L185</f>
        <v>0</v>
      </c>
      <c r="M691" s="513">
        <f>M185</f>
        <v>17.100000000000001</v>
      </c>
      <c r="N691" s="560"/>
    </row>
    <row r="692" spans="2:14" ht="18.75">
      <c r="D692" s="514" t="s">
        <v>100</v>
      </c>
      <c r="E692" s="514" t="s">
        <v>67</v>
      </c>
      <c r="F692" s="225"/>
      <c r="G692" s="225"/>
      <c r="H692" s="225"/>
      <c r="I692" s="225"/>
      <c r="J692" s="225"/>
      <c r="K692" s="515">
        <f>K691</f>
        <v>17.100000000000001</v>
      </c>
      <c r="L692" s="515">
        <f>L691</f>
        <v>0</v>
      </c>
      <c r="M692" s="515">
        <f>M691</f>
        <v>17.100000000000001</v>
      </c>
      <c r="N692" s="561"/>
    </row>
    <row r="693" spans="2:14" ht="18.75">
      <c r="D693" s="224"/>
      <c r="E693" s="224"/>
      <c r="F693" s="225"/>
      <c r="G693" s="225"/>
      <c r="H693" s="225"/>
      <c r="I693" s="225"/>
      <c r="J693" s="225"/>
      <c r="K693" s="513"/>
      <c r="L693" s="513"/>
      <c r="M693" s="513"/>
      <c r="N693" s="560"/>
    </row>
    <row r="694" spans="2:14" ht="18.75">
      <c r="D694" s="224" t="s">
        <v>119</v>
      </c>
      <c r="E694" s="224" t="s">
        <v>61</v>
      </c>
      <c r="F694" s="225"/>
      <c r="G694" s="225"/>
      <c r="H694" s="225"/>
      <c r="I694" s="225"/>
      <c r="J694" s="225"/>
      <c r="K694" s="513">
        <f>K212</f>
        <v>5250</v>
      </c>
      <c r="L694" s="513">
        <f>L212</f>
        <v>0</v>
      </c>
      <c r="M694" s="513">
        <f>M212</f>
        <v>5250</v>
      </c>
      <c r="N694" s="560"/>
    </row>
    <row r="695" spans="2:14" ht="18.75">
      <c r="D695" s="514" t="s">
        <v>119</v>
      </c>
      <c r="E695" s="514" t="s">
        <v>67</v>
      </c>
      <c r="F695" s="225"/>
      <c r="G695" s="225"/>
      <c r="H695" s="225"/>
      <c r="I695" s="225"/>
      <c r="J695" s="225"/>
      <c r="K695" s="515">
        <f>SUBTOTAL(9,K694:K694)</f>
        <v>5250</v>
      </c>
      <c r="L695" s="515">
        <f>SUBTOTAL(9,L694:L694)</f>
        <v>0</v>
      </c>
      <c r="M695" s="515">
        <f>SUBTOTAL(9,M694:M694)</f>
        <v>5250</v>
      </c>
      <c r="N695" s="561"/>
    </row>
    <row r="696" spans="2:14" ht="18.75">
      <c r="D696" s="331"/>
      <c r="E696" s="224"/>
      <c r="F696" s="225"/>
      <c r="G696" s="225"/>
      <c r="H696" s="225"/>
      <c r="I696" s="225"/>
      <c r="J696" s="225"/>
      <c r="K696" s="228">
        <f>K649+K653+K658+K663+K671+K675+K684+K689+K692+K695+K678</f>
        <v>1575836.7314400002</v>
      </c>
      <c r="L696" s="228">
        <f t="shared" ref="L696:M696" si="136">L649+L653+L658+L663+L671+L675+L684+L689+L692+L695+L678</f>
        <v>-104894.49274999999</v>
      </c>
      <c r="M696" s="228">
        <f t="shared" si="136"/>
        <v>1470942.2386900003</v>
      </c>
      <c r="N696" s="334"/>
    </row>
    <row r="697" spans="2:14" ht="18.75">
      <c r="D697" s="332"/>
      <c r="E697" s="332"/>
      <c r="F697" s="242"/>
      <c r="G697" s="242"/>
      <c r="H697" s="242"/>
      <c r="I697" s="242"/>
      <c r="J697" s="242"/>
      <c r="K697" s="242"/>
      <c r="L697" s="242"/>
      <c r="M697" s="333"/>
      <c r="N697" s="334"/>
    </row>
    <row r="698" spans="2:14" ht="18.75">
      <c r="B698" s="184" t="s">
        <v>480</v>
      </c>
      <c r="D698" s="332"/>
      <c r="E698" s="332"/>
      <c r="F698" s="242"/>
      <c r="G698" s="242"/>
      <c r="H698" s="242"/>
      <c r="I698" s="242"/>
      <c r="J698" s="242"/>
      <c r="K698" s="242"/>
      <c r="L698" s="242"/>
      <c r="M698" s="333"/>
      <c r="N698" s="334"/>
    </row>
    <row r="699" spans="2:14" ht="18.75">
      <c r="B699" s="184" t="s">
        <v>479</v>
      </c>
      <c r="D699" s="332"/>
      <c r="E699" s="332"/>
      <c r="F699" s="242"/>
      <c r="G699" s="242"/>
      <c r="H699" s="242"/>
      <c r="I699" s="242"/>
      <c r="J699" s="242"/>
      <c r="K699" s="242"/>
      <c r="L699" s="242"/>
      <c r="M699" s="333"/>
      <c r="N699" s="334"/>
    </row>
    <row r="700" spans="2:14" ht="18.75">
      <c r="D700" s="332"/>
      <c r="E700" s="332"/>
      <c r="F700" s="242"/>
      <c r="G700" s="242"/>
      <c r="H700" s="242"/>
      <c r="I700" s="242"/>
      <c r="J700" s="242"/>
      <c r="K700" s="242"/>
      <c r="L700" s="242"/>
      <c r="M700" s="335"/>
      <c r="N700" s="334"/>
    </row>
    <row r="701" spans="2:14" ht="18.75">
      <c r="D701" s="332"/>
      <c r="E701" s="332"/>
      <c r="F701" s="242"/>
      <c r="G701" s="242"/>
      <c r="H701" s="242"/>
      <c r="I701" s="242"/>
      <c r="J701" s="242"/>
      <c r="K701" s="242"/>
      <c r="L701" s="242"/>
      <c r="M701" s="336"/>
      <c r="N701" s="334"/>
    </row>
    <row r="702" spans="2:14">
      <c r="D702" s="334"/>
      <c r="E702" s="334"/>
      <c r="F702" s="334"/>
      <c r="G702" s="334"/>
      <c r="H702" s="334"/>
      <c r="I702" s="334"/>
      <c r="J702" s="334"/>
      <c r="K702" s="334"/>
      <c r="L702" s="334"/>
      <c r="M702" s="336"/>
      <c r="N702" s="334"/>
    </row>
    <row r="703" spans="2:14">
      <c r="D703" s="334"/>
      <c r="E703" s="334"/>
      <c r="F703" s="334"/>
      <c r="G703" s="334"/>
      <c r="H703" s="334"/>
      <c r="I703" s="334"/>
      <c r="J703" s="334"/>
      <c r="K703" s="334"/>
      <c r="L703" s="334"/>
      <c r="M703" s="336"/>
      <c r="N703" s="334"/>
    </row>
    <row r="704" spans="2:14">
      <c r="D704" s="334"/>
      <c r="E704" s="334"/>
      <c r="F704" s="334"/>
      <c r="G704" s="334"/>
      <c r="H704" s="334"/>
      <c r="I704" s="334"/>
      <c r="J704" s="334"/>
      <c r="K704" s="334"/>
      <c r="L704" s="334"/>
      <c r="M704" s="336"/>
      <c r="N704" s="334"/>
    </row>
    <row r="705" spans="4:14">
      <c r="D705" s="334"/>
      <c r="E705" s="334"/>
      <c r="F705" s="334"/>
      <c r="G705" s="334"/>
      <c r="H705" s="334"/>
      <c r="I705" s="334"/>
      <c r="J705" s="334"/>
      <c r="K705" s="334"/>
      <c r="L705" s="334"/>
      <c r="M705" s="336"/>
      <c r="N705" s="334"/>
    </row>
    <row r="706" spans="4:14">
      <c r="D706" s="334"/>
      <c r="E706" s="334"/>
      <c r="F706" s="334"/>
      <c r="G706" s="334"/>
      <c r="H706" s="334"/>
      <c r="I706" s="334"/>
      <c r="J706" s="334"/>
      <c r="K706" s="334"/>
      <c r="L706" s="334"/>
      <c r="M706" s="336"/>
      <c r="N706" s="334"/>
    </row>
    <row r="707" spans="4:14">
      <c r="D707" s="334"/>
      <c r="E707" s="334"/>
      <c r="F707" s="334"/>
      <c r="G707" s="334"/>
      <c r="H707" s="334"/>
      <c r="I707" s="334"/>
      <c r="J707" s="334"/>
      <c r="K707" s="334"/>
      <c r="L707" s="334"/>
      <c r="M707" s="336"/>
      <c r="N707" s="334"/>
    </row>
    <row r="708" spans="4:14">
      <c r="D708" s="334"/>
      <c r="E708" s="334"/>
      <c r="F708" s="334"/>
      <c r="G708" s="334"/>
      <c r="H708" s="334"/>
      <c r="I708" s="334"/>
      <c r="J708" s="334"/>
      <c r="K708" s="334"/>
      <c r="L708" s="334"/>
      <c r="M708" s="336"/>
      <c r="N708" s="334"/>
    </row>
    <row r="709" spans="4:14">
      <c r="D709" s="334"/>
      <c r="E709" s="334"/>
      <c r="F709" s="334"/>
      <c r="G709" s="334"/>
      <c r="H709" s="334"/>
      <c r="I709" s="334"/>
      <c r="J709" s="334"/>
      <c r="K709" s="334"/>
      <c r="L709" s="334"/>
      <c r="M709" s="336"/>
      <c r="N709" s="334"/>
    </row>
    <row r="710" spans="4:14">
      <c r="D710" s="334"/>
      <c r="E710" s="334"/>
      <c r="F710" s="334"/>
      <c r="G710" s="334"/>
      <c r="H710" s="334"/>
      <c r="I710" s="334"/>
      <c r="J710" s="334"/>
      <c r="K710" s="334"/>
      <c r="L710" s="334"/>
      <c r="M710" s="336"/>
      <c r="N710" s="334"/>
    </row>
    <row r="711" spans="4:14">
      <c r="D711" s="334"/>
      <c r="E711" s="334"/>
      <c r="F711" s="334"/>
      <c r="G711" s="334"/>
      <c r="H711" s="334"/>
      <c r="I711" s="334"/>
      <c r="J711" s="334"/>
      <c r="K711" s="334"/>
      <c r="L711" s="334"/>
      <c r="M711" s="336"/>
      <c r="N711" s="334"/>
    </row>
    <row r="712" spans="4:14">
      <c r="D712" s="334"/>
      <c r="E712" s="334"/>
      <c r="F712" s="334"/>
      <c r="G712" s="334"/>
      <c r="H712" s="334"/>
      <c r="I712" s="334"/>
      <c r="J712" s="334"/>
      <c r="K712" s="334"/>
      <c r="L712" s="334"/>
      <c r="M712" s="336"/>
      <c r="N712" s="334"/>
    </row>
    <row r="713" spans="4:14">
      <c r="D713" s="334"/>
      <c r="E713" s="334"/>
      <c r="F713" s="334"/>
      <c r="G713" s="334"/>
      <c r="H713" s="334"/>
      <c r="I713" s="334"/>
      <c r="J713" s="334"/>
      <c r="K713" s="334"/>
      <c r="L713" s="334"/>
      <c r="M713" s="336"/>
      <c r="N713" s="334"/>
    </row>
    <row r="714" spans="4:14">
      <c r="D714" s="334"/>
      <c r="E714" s="334"/>
      <c r="F714" s="334"/>
      <c r="G714" s="334"/>
      <c r="H714" s="334"/>
      <c r="I714" s="334"/>
      <c r="J714" s="334"/>
      <c r="K714" s="334"/>
      <c r="L714" s="334"/>
      <c r="M714" s="336"/>
      <c r="N714" s="334"/>
    </row>
    <row r="715" spans="4:14">
      <c r="D715" s="334"/>
      <c r="E715" s="334"/>
      <c r="F715" s="334"/>
      <c r="G715" s="334"/>
      <c r="H715" s="334"/>
      <c r="I715" s="334"/>
      <c r="J715" s="334"/>
      <c r="K715" s="334"/>
      <c r="L715" s="334"/>
      <c r="M715" s="336"/>
      <c r="N715" s="334"/>
    </row>
    <row r="716" spans="4:14">
      <c r="D716" s="334"/>
      <c r="E716" s="334"/>
      <c r="F716" s="334"/>
      <c r="G716" s="334"/>
      <c r="H716" s="334"/>
      <c r="I716" s="334"/>
      <c r="J716" s="334"/>
      <c r="K716" s="334"/>
      <c r="L716" s="334"/>
      <c r="M716" s="336"/>
      <c r="N716" s="334"/>
    </row>
    <row r="717" spans="4:14">
      <c r="D717" s="334"/>
      <c r="E717" s="334"/>
      <c r="F717" s="334"/>
      <c r="G717" s="334"/>
      <c r="H717" s="334"/>
      <c r="I717" s="334"/>
      <c r="J717" s="334"/>
      <c r="K717" s="334"/>
      <c r="L717" s="334"/>
      <c r="M717" s="336"/>
      <c r="N717" s="334"/>
    </row>
    <row r="718" spans="4:14">
      <c r="D718" s="334"/>
      <c r="E718" s="334"/>
      <c r="F718" s="334"/>
      <c r="G718" s="334"/>
      <c r="H718" s="334"/>
      <c r="I718" s="334"/>
      <c r="J718" s="334"/>
      <c r="K718" s="334"/>
      <c r="L718" s="334"/>
      <c r="M718" s="336"/>
      <c r="N718" s="334"/>
    </row>
    <row r="719" spans="4:14">
      <c r="D719" s="334"/>
      <c r="E719" s="334"/>
      <c r="F719" s="334"/>
      <c r="G719" s="334"/>
      <c r="H719" s="334"/>
      <c r="I719" s="334"/>
      <c r="J719" s="334"/>
      <c r="K719" s="334"/>
      <c r="L719" s="334"/>
      <c r="M719" s="336"/>
      <c r="N719" s="334"/>
    </row>
    <row r="720" spans="4:14">
      <c r="D720" s="334"/>
      <c r="E720" s="334"/>
      <c r="F720" s="334"/>
      <c r="G720" s="334"/>
      <c r="H720" s="334"/>
      <c r="I720" s="334"/>
      <c r="J720" s="334"/>
      <c r="K720" s="334"/>
      <c r="L720" s="334"/>
      <c r="M720" s="336"/>
      <c r="N720" s="334"/>
    </row>
    <row r="721" spans="4:14">
      <c r="D721" s="334"/>
      <c r="E721" s="334"/>
      <c r="F721" s="334"/>
      <c r="G721" s="334"/>
      <c r="H721" s="334"/>
      <c r="I721" s="334"/>
      <c r="J721" s="334"/>
      <c r="K721" s="334"/>
      <c r="L721" s="334"/>
      <c r="M721" s="336"/>
      <c r="N721" s="334"/>
    </row>
    <row r="722" spans="4:14">
      <c r="D722" s="334"/>
      <c r="E722" s="334"/>
      <c r="F722" s="334"/>
      <c r="G722" s="334"/>
      <c r="H722" s="334"/>
      <c r="I722" s="334"/>
      <c r="J722" s="334"/>
      <c r="K722" s="334"/>
      <c r="L722" s="334"/>
      <c r="M722" s="336"/>
      <c r="N722" s="334"/>
    </row>
    <row r="723" spans="4:14">
      <c r="D723" s="334"/>
      <c r="E723" s="334"/>
      <c r="F723" s="334"/>
      <c r="G723" s="334"/>
      <c r="H723" s="334"/>
      <c r="I723" s="334"/>
      <c r="J723" s="334"/>
      <c r="K723" s="334"/>
      <c r="L723" s="334"/>
      <c r="M723" s="336"/>
      <c r="N723" s="334"/>
    </row>
    <row r="724" spans="4:14">
      <c r="D724" s="334"/>
      <c r="E724" s="334"/>
      <c r="F724" s="334"/>
      <c r="G724" s="334"/>
      <c r="H724" s="334"/>
      <c r="I724" s="334"/>
      <c r="J724" s="334"/>
      <c r="K724" s="334"/>
      <c r="L724" s="334"/>
      <c r="M724" s="336"/>
      <c r="N724" s="334"/>
    </row>
    <row r="725" spans="4:14">
      <c r="D725" s="334"/>
      <c r="E725" s="334"/>
      <c r="F725" s="334"/>
      <c r="G725" s="334"/>
      <c r="H725" s="334"/>
      <c r="I725" s="334"/>
      <c r="J725" s="334"/>
      <c r="K725" s="334"/>
      <c r="L725" s="334"/>
      <c r="M725" s="336"/>
      <c r="N725" s="334"/>
    </row>
    <row r="726" spans="4:14">
      <c r="D726" s="334"/>
      <c r="E726" s="334"/>
      <c r="F726" s="334"/>
      <c r="G726" s="334"/>
      <c r="H726" s="334"/>
      <c r="I726" s="334"/>
      <c r="J726" s="334"/>
      <c r="K726" s="334"/>
      <c r="L726" s="334"/>
      <c r="M726" s="336"/>
      <c r="N726" s="334"/>
    </row>
    <row r="727" spans="4:14">
      <c r="D727" s="334"/>
      <c r="E727" s="334"/>
      <c r="F727" s="334"/>
      <c r="G727" s="334"/>
      <c r="H727" s="334"/>
      <c r="I727" s="334"/>
      <c r="J727" s="334"/>
      <c r="K727" s="334"/>
      <c r="L727" s="334"/>
      <c r="M727" s="336"/>
      <c r="N727" s="334"/>
    </row>
    <row r="728" spans="4:14">
      <c r="D728" s="334"/>
      <c r="E728" s="334"/>
      <c r="F728" s="334"/>
      <c r="G728" s="334"/>
      <c r="H728" s="334"/>
      <c r="I728" s="334"/>
      <c r="J728" s="334"/>
      <c r="K728" s="334"/>
      <c r="L728" s="334"/>
      <c r="M728" s="336"/>
      <c r="N728" s="334"/>
    </row>
    <row r="729" spans="4:14">
      <c r="D729" s="334"/>
      <c r="E729" s="334"/>
      <c r="F729" s="334"/>
      <c r="G729" s="334"/>
      <c r="H729" s="334"/>
      <c r="I729" s="334"/>
      <c r="J729" s="334"/>
      <c r="K729" s="334"/>
      <c r="L729" s="334"/>
      <c r="M729" s="336"/>
      <c r="N729" s="334"/>
    </row>
    <row r="730" spans="4:14">
      <c r="D730" s="334"/>
      <c r="E730" s="334"/>
      <c r="F730" s="334"/>
      <c r="G730" s="334"/>
      <c r="H730" s="334"/>
      <c r="I730" s="334"/>
      <c r="J730" s="334"/>
      <c r="K730" s="334"/>
      <c r="L730" s="334"/>
      <c r="M730" s="336"/>
      <c r="N730" s="334"/>
    </row>
    <row r="731" spans="4:14">
      <c r="D731" s="334"/>
      <c r="E731" s="334"/>
      <c r="F731" s="334"/>
      <c r="G731" s="334"/>
      <c r="H731" s="334"/>
      <c r="I731" s="334"/>
      <c r="J731" s="334"/>
      <c r="K731" s="334"/>
      <c r="L731" s="334"/>
      <c r="M731" s="336"/>
      <c r="N731" s="334"/>
    </row>
    <row r="732" spans="4:14">
      <c r="D732" s="334"/>
      <c r="E732" s="334"/>
      <c r="F732" s="334"/>
      <c r="G732" s="334"/>
      <c r="H732" s="334"/>
      <c r="I732" s="334"/>
      <c r="J732" s="334"/>
      <c r="K732" s="334"/>
      <c r="L732" s="334"/>
      <c r="M732" s="336"/>
      <c r="N732" s="334"/>
    </row>
    <row r="733" spans="4:14">
      <c r="D733" s="334"/>
      <c r="E733" s="334"/>
      <c r="F733" s="334"/>
      <c r="G733" s="334"/>
      <c r="H733" s="334"/>
      <c r="I733" s="334"/>
      <c r="J733" s="334"/>
      <c r="K733" s="334"/>
      <c r="L733" s="334"/>
      <c r="M733" s="336"/>
      <c r="N733" s="334"/>
    </row>
    <row r="734" spans="4:14">
      <c r="D734" s="334"/>
      <c r="E734" s="334"/>
      <c r="F734" s="334"/>
      <c r="G734" s="334"/>
      <c r="H734" s="334"/>
      <c r="I734" s="334"/>
      <c r="J734" s="334"/>
      <c r="K734" s="334"/>
      <c r="L734" s="334"/>
      <c r="M734" s="336"/>
      <c r="N734" s="334"/>
    </row>
    <row r="735" spans="4:14">
      <c r="D735" s="334"/>
      <c r="E735" s="334"/>
      <c r="F735" s="334"/>
      <c r="G735" s="334"/>
      <c r="H735" s="334"/>
      <c r="I735" s="334"/>
      <c r="J735" s="334"/>
      <c r="K735" s="334"/>
      <c r="L735" s="334"/>
      <c r="M735" s="336"/>
      <c r="N735" s="334"/>
    </row>
    <row r="736" spans="4:14">
      <c r="D736" s="334"/>
      <c r="E736" s="334"/>
      <c r="F736" s="334"/>
      <c r="G736" s="334"/>
      <c r="H736" s="334"/>
      <c r="I736" s="334"/>
      <c r="J736" s="334"/>
      <c r="K736" s="334"/>
      <c r="L736" s="334"/>
      <c r="M736" s="336"/>
      <c r="N736" s="334"/>
    </row>
    <row r="737" spans="4:14">
      <c r="D737" s="334"/>
      <c r="E737" s="334"/>
      <c r="F737" s="334"/>
      <c r="G737" s="334"/>
      <c r="H737" s="334"/>
      <c r="I737" s="334"/>
      <c r="J737" s="334"/>
      <c r="K737" s="334"/>
      <c r="L737" s="334"/>
      <c r="M737" s="336"/>
      <c r="N737" s="334"/>
    </row>
    <row r="738" spans="4:14">
      <c r="D738" s="334"/>
      <c r="E738" s="334"/>
      <c r="F738" s="334"/>
      <c r="G738" s="334"/>
      <c r="H738" s="334"/>
      <c r="I738" s="334"/>
      <c r="J738" s="334"/>
      <c r="K738" s="334"/>
      <c r="L738" s="334"/>
      <c r="M738" s="336"/>
      <c r="N738" s="334"/>
    </row>
    <row r="739" spans="4:14">
      <c r="D739" s="334"/>
      <c r="E739" s="334"/>
      <c r="F739" s="334"/>
      <c r="G739" s="334"/>
      <c r="H739" s="334"/>
      <c r="I739" s="334"/>
      <c r="J739" s="334"/>
      <c r="K739" s="334"/>
      <c r="L739" s="334"/>
      <c r="M739" s="336"/>
      <c r="N739" s="334"/>
    </row>
    <row r="740" spans="4:14">
      <c r="D740" s="334"/>
      <c r="E740" s="334"/>
      <c r="F740" s="334"/>
      <c r="G740" s="334"/>
      <c r="H740" s="334"/>
      <c r="I740" s="334"/>
      <c r="J740" s="334"/>
      <c r="K740" s="334"/>
      <c r="L740" s="334"/>
      <c r="M740" s="336"/>
      <c r="N740" s="334"/>
    </row>
    <row r="741" spans="4:14">
      <c r="D741" s="334"/>
      <c r="E741" s="334"/>
      <c r="F741" s="334"/>
      <c r="G741" s="334"/>
      <c r="H741" s="334"/>
      <c r="I741" s="334"/>
      <c r="J741" s="334"/>
      <c r="K741" s="334"/>
      <c r="L741" s="334"/>
      <c r="M741" s="336"/>
      <c r="N741" s="334"/>
    </row>
    <row r="742" spans="4:14">
      <c r="D742" s="334"/>
      <c r="E742" s="334"/>
      <c r="F742" s="334"/>
      <c r="G742" s="334"/>
      <c r="H742" s="334"/>
      <c r="I742" s="334"/>
      <c r="J742" s="334"/>
      <c r="K742" s="334"/>
      <c r="L742" s="334"/>
      <c r="M742" s="336"/>
      <c r="N742" s="334"/>
    </row>
    <row r="743" spans="4:14">
      <c r="D743" s="334"/>
      <c r="E743" s="334"/>
      <c r="F743" s="334"/>
      <c r="G743" s="334"/>
      <c r="H743" s="334"/>
      <c r="I743" s="334"/>
      <c r="J743" s="334"/>
      <c r="K743" s="334"/>
      <c r="L743" s="334"/>
      <c r="M743" s="336"/>
      <c r="N743" s="334"/>
    </row>
    <row r="744" spans="4:14">
      <c r="D744" s="334"/>
      <c r="E744" s="334"/>
      <c r="F744" s="334"/>
      <c r="G744" s="334"/>
      <c r="H744" s="334"/>
      <c r="I744" s="334"/>
      <c r="J744" s="334"/>
      <c r="K744" s="334"/>
      <c r="L744" s="334"/>
      <c r="M744" s="336"/>
      <c r="N744" s="334"/>
    </row>
    <row r="745" spans="4:14">
      <c r="D745" s="334"/>
      <c r="E745" s="334"/>
      <c r="F745" s="334"/>
      <c r="G745" s="334"/>
      <c r="H745" s="334"/>
      <c r="I745" s="334"/>
      <c r="J745" s="334"/>
      <c r="K745" s="334"/>
      <c r="L745" s="334"/>
      <c r="M745" s="336"/>
      <c r="N745" s="334"/>
    </row>
    <row r="746" spans="4:14">
      <c r="D746" s="334"/>
      <c r="E746" s="334"/>
      <c r="F746" s="334"/>
      <c r="G746" s="334"/>
      <c r="H746" s="334"/>
      <c r="I746" s="334"/>
      <c r="J746" s="334"/>
      <c r="K746" s="334"/>
      <c r="L746" s="334"/>
      <c r="M746" s="336"/>
      <c r="N746" s="334"/>
    </row>
    <row r="747" spans="4:14">
      <c r="D747" s="334"/>
      <c r="E747" s="334"/>
      <c r="F747" s="334"/>
      <c r="G747" s="334"/>
      <c r="H747" s="334"/>
      <c r="I747" s="334"/>
      <c r="J747" s="334"/>
      <c r="K747" s="334"/>
      <c r="L747" s="334"/>
      <c r="M747" s="336"/>
      <c r="N747" s="334"/>
    </row>
    <row r="748" spans="4:14">
      <c r="D748" s="334"/>
      <c r="E748" s="334"/>
      <c r="F748" s="334"/>
      <c r="G748" s="334"/>
      <c r="H748" s="334"/>
      <c r="I748" s="334"/>
      <c r="J748" s="334"/>
      <c r="K748" s="334"/>
      <c r="L748" s="334"/>
      <c r="M748" s="336"/>
      <c r="N748" s="334"/>
    </row>
    <row r="749" spans="4:14">
      <c r="D749" s="334"/>
      <c r="E749" s="334"/>
      <c r="F749" s="334"/>
      <c r="G749" s="334"/>
      <c r="H749" s="334"/>
      <c r="I749" s="334"/>
      <c r="J749" s="334"/>
      <c r="K749" s="334"/>
      <c r="L749" s="334"/>
      <c r="M749" s="336"/>
      <c r="N749" s="334"/>
    </row>
    <row r="750" spans="4:14">
      <c r="D750" s="334"/>
      <c r="E750" s="334"/>
      <c r="F750" s="334"/>
      <c r="G750" s="334"/>
      <c r="H750" s="334"/>
      <c r="I750" s="334"/>
      <c r="J750" s="334"/>
      <c r="K750" s="334"/>
      <c r="L750" s="334"/>
      <c r="M750" s="336"/>
      <c r="N750" s="334"/>
    </row>
  </sheetData>
  <autoFilter ref="A1:O750"/>
  <mergeCells count="11">
    <mergeCell ref="A8:M8"/>
    <mergeCell ref="F13:I13"/>
    <mergeCell ref="A11:A12"/>
    <mergeCell ref="B11:B12"/>
    <mergeCell ref="J11:J12"/>
    <mergeCell ref="F11:I12"/>
    <mergeCell ref="E11:E12"/>
    <mergeCell ref="D11:D12"/>
    <mergeCell ref="C11:C12"/>
    <mergeCell ref="K11:K12"/>
    <mergeCell ref="L11:M11"/>
  </mergeCells>
  <printOptions horizontalCentered="1"/>
  <pageMargins left="1.1811023622047245" right="0.39370078740157483" top="0.78740157480314965" bottom="0.6692913385826772" header="0.31496062992125984" footer="0.31496062992125984"/>
  <pageSetup paperSize="9" scale="65" fitToHeight="0" orientation="portrait" blackAndWhite="1" r:id="rId1"/>
  <rowBreaks count="1" manualBreakCount="1">
    <brk id="628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O509"/>
  <sheetViews>
    <sheetView zoomScale="80" zoomScaleNormal="80" workbookViewId="0">
      <pane ySplit="4" topLeftCell="A447" activePane="bottomLeft" state="frozen"/>
      <selection activeCell="B44" sqref="B44"/>
      <selection pane="bottomLeft" activeCell="N2" sqref="N2"/>
    </sheetView>
  </sheetViews>
  <sheetFormatPr defaultColWidth="8.85546875" defaultRowHeight="15"/>
  <cols>
    <col min="1" max="1" width="4.7109375" style="184" customWidth="1"/>
    <col min="2" max="2" width="54.42578125" style="184" customWidth="1"/>
    <col min="3" max="3" width="5.5703125" style="184" customWidth="1"/>
    <col min="4" max="4" width="3.7109375" style="184" customWidth="1"/>
    <col min="5" max="5" width="4" style="184" customWidth="1"/>
    <col min="6" max="6" width="3.28515625" style="184" customWidth="1"/>
    <col min="7" max="7" width="2.42578125" style="184" customWidth="1"/>
    <col min="8" max="8" width="2.7109375" style="184" customWidth="1"/>
    <col min="9" max="9" width="7.7109375" style="184" customWidth="1"/>
    <col min="10" max="10" width="5" style="184" customWidth="1"/>
    <col min="11" max="11" width="16.28515625" style="184" hidden="1" customWidth="1"/>
    <col min="12" max="12" width="15.140625" style="184" customWidth="1"/>
    <col min="13" max="13" width="16.42578125" style="468" customWidth="1"/>
    <col min="14" max="14" width="16" style="468" customWidth="1"/>
    <col min="15" max="16" width="8.85546875" style="184" customWidth="1"/>
    <col min="17" max="16384" width="8.85546875" style="184"/>
  </cols>
  <sheetData>
    <row r="1" spans="1:14" ht="18.75">
      <c r="H1" s="103"/>
      <c r="I1" s="1"/>
      <c r="J1" s="103"/>
      <c r="K1" s="103"/>
      <c r="L1" s="103"/>
      <c r="M1" s="103"/>
      <c r="N1" s="1" t="s">
        <v>611</v>
      </c>
    </row>
    <row r="2" spans="1:14" ht="18.75" customHeight="1">
      <c r="H2" s="103"/>
      <c r="I2" s="1"/>
      <c r="J2" s="103"/>
      <c r="K2" s="103"/>
      <c r="L2" s="103"/>
      <c r="M2" s="103"/>
      <c r="N2" s="1" t="s">
        <v>936</v>
      </c>
    </row>
    <row r="4" spans="1:14" ht="18.75">
      <c r="N4" s="255" t="s">
        <v>533</v>
      </c>
    </row>
    <row r="5" spans="1:14" ht="18.75">
      <c r="N5" s="1" t="s">
        <v>884</v>
      </c>
    </row>
    <row r="8" spans="1:14" ht="17.45" customHeight="1">
      <c r="A8" s="794" t="s">
        <v>799</v>
      </c>
      <c r="B8" s="794"/>
      <c r="C8" s="794"/>
      <c r="D8" s="794"/>
      <c r="E8" s="794"/>
      <c r="F8" s="794"/>
      <c r="G8" s="794"/>
      <c r="H8" s="794"/>
      <c r="I8" s="794"/>
      <c r="J8" s="794"/>
      <c r="K8" s="794"/>
      <c r="L8" s="794"/>
      <c r="M8" s="794"/>
      <c r="N8" s="794"/>
    </row>
    <row r="9" spans="1:14" ht="17.45" customHeight="1">
      <c r="A9" s="457"/>
      <c r="B9" s="457"/>
      <c r="C9" s="457"/>
      <c r="D9" s="457"/>
      <c r="E9" s="457"/>
      <c r="F9" s="457"/>
      <c r="G9" s="457"/>
      <c r="H9" s="457"/>
      <c r="I9" s="457"/>
      <c r="J9" s="457"/>
      <c r="K9" s="648"/>
      <c r="L9" s="648"/>
      <c r="M9" s="457"/>
      <c r="N9" s="457"/>
    </row>
    <row r="10" spans="1:14" ht="17.45" customHeight="1">
      <c r="A10" s="457"/>
      <c r="B10" s="457"/>
      <c r="C10" s="457"/>
      <c r="D10" s="457"/>
      <c r="E10" s="457"/>
      <c r="F10" s="457"/>
      <c r="G10" s="457"/>
      <c r="H10" s="457"/>
      <c r="I10" s="457"/>
      <c r="J10" s="457"/>
      <c r="K10" s="648"/>
      <c r="L10" s="648"/>
      <c r="M10" s="457"/>
      <c r="N10" s="457"/>
    </row>
    <row r="11" spans="1:14" ht="18.75">
      <c r="A11" s="185"/>
      <c r="B11" s="186"/>
      <c r="C11" s="187"/>
      <c r="D11" s="187"/>
      <c r="E11" s="187"/>
      <c r="F11" s="187"/>
      <c r="G11" s="185"/>
      <c r="H11" s="188"/>
      <c r="I11" s="189"/>
      <c r="J11" s="190"/>
      <c r="K11" s="190"/>
      <c r="L11" s="190"/>
      <c r="N11" s="469" t="s">
        <v>46</v>
      </c>
    </row>
    <row r="12" spans="1:14" ht="18" customHeight="1">
      <c r="A12" s="823" t="s">
        <v>47</v>
      </c>
      <c r="B12" s="824" t="s">
        <v>48</v>
      </c>
      <c r="C12" s="825" t="s">
        <v>49</v>
      </c>
      <c r="D12" s="825" t="s">
        <v>50</v>
      </c>
      <c r="E12" s="825" t="s">
        <v>51</v>
      </c>
      <c r="F12" s="826" t="s">
        <v>52</v>
      </c>
      <c r="G12" s="825"/>
      <c r="H12" s="825"/>
      <c r="I12" s="825"/>
      <c r="J12" s="825" t="s">
        <v>53</v>
      </c>
      <c r="K12" s="829" t="s">
        <v>879</v>
      </c>
      <c r="L12" s="831" t="s">
        <v>594</v>
      </c>
      <c r="M12" s="832"/>
      <c r="N12" s="827" t="s">
        <v>622</v>
      </c>
    </row>
    <row r="13" spans="1:14" ht="34.9" customHeight="1">
      <c r="A13" s="823"/>
      <c r="B13" s="824"/>
      <c r="C13" s="825"/>
      <c r="D13" s="825"/>
      <c r="E13" s="825"/>
      <c r="F13" s="826"/>
      <c r="G13" s="825"/>
      <c r="H13" s="825"/>
      <c r="I13" s="825"/>
      <c r="J13" s="825"/>
      <c r="K13" s="830"/>
      <c r="L13" s="649" t="s">
        <v>880</v>
      </c>
      <c r="M13" s="650" t="s">
        <v>881</v>
      </c>
      <c r="N13" s="828"/>
    </row>
    <row r="14" spans="1:14" ht="18.75">
      <c r="A14" s="191">
        <v>1</v>
      </c>
      <c r="B14" s="192">
        <v>2</v>
      </c>
      <c r="C14" s="193" t="s">
        <v>54</v>
      </c>
      <c r="D14" s="193" t="s">
        <v>55</v>
      </c>
      <c r="E14" s="193" t="s">
        <v>56</v>
      </c>
      <c r="F14" s="805" t="s">
        <v>57</v>
      </c>
      <c r="G14" s="805"/>
      <c r="H14" s="805"/>
      <c r="I14" s="806"/>
      <c r="J14" s="193" t="s">
        <v>58</v>
      </c>
      <c r="K14" s="193"/>
      <c r="L14" s="193" t="s">
        <v>883</v>
      </c>
      <c r="M14" s="229">
        <v>9</v>
      </c>
      <c r="N14" s="229">
        <v>10</v>
      </c>
    </row>
    <row r="15" spans="1:14" ht="25.15" customHeight="1">
      <c r="A15" s="194">
        <v>1</v>
      </c>
      <c r="B15" s="470" t="s">
        <v>241</v>
      </c>
      <c r="C15" s="196"/>
      <c r="D15" s="197"/>
      <c r="E15" s="197"/>
      <c r="F15" s="199"/>
      <c r="G15" s="199"/>
      <c r="H15" s="199"/>
      <c r="I15" s="200"/>
      <c r="J15" s="197"/>
      <c r="K15" s="443">
        <v>1323973.6000000001</v>
      </c>
      <c r="L15" s="443">
        <f>L17+L126+L144+L158+L307+L346+L383+L402+L440+L199</f>
        <v>19090.399999999998</v>
      </c>
      <c r="M15" s="443">
        <f>M17+M126+M144+M158+M307+M346+M383+M402+M440+M199</f>
        <v>1343064</v>
      </c>
      <c r="N15" s="443">
        <f>N17+N126+N144+N158+N307+N346+N383+N402+N440+N199</f>
        <v>1375418.3</v>
      </c>
    </row>
    <row r="16" spans="1:14" ht="25.15" customHeight="1">
      <c r="A16" s="194"/>
      <c r="B16" s="195"/>
      <c r="C16" s="196"/>
      <c r="D16" s="197"/>
      <c r="E16" s="197"/>
      <c r="F16" s="199"/>
      <c r="G16" s="199"/>
      <c r="H16" s="199"/>
      <c r="I16" s="200"/>
      <c r="J16" s="197"/>
      <c r="K16" s="443"/>
      <c r="L16" s="443"/>
      <c r="M16" s="443"/>
      <c r="N16" s="443"/>
    </row>
    <row r="17" spans="1:14" s="471" customFormat="1" ht="37.5">
      <c r="A17" s="464">
        <v>1</v>
      </c>
      <c r="B17" s="201" t="s">
        <v>2</v>
      </c>
      <c r="C17" s="202" t="s">
        <v>4</v>
      </c>
      <c r="D17" s="203"/>
      <c r="E17" s="203"/>
      <c r="F17" s="204"/>
      <c r="G17" s="205"/>
      <c r="H17" s="205"/>
      <c r="I17" s="206"/>
      <c r="J17" s="203"/>
      <c r="K17" s="235">
        <v>112053.1</v>
      </c>
      <c r="L17" s="235">
        <f>L18+L59+L78+L111+L118</f>
        <v>0</v>
      </c>
      <c r="M17" s="235">
        <f>M18+M59+M78+M111+M118</f>
        <v>112053.1</v>
      </c>
      <c r="N17" s="235">
        <f>N18+N59+N78+N111+N118</f>
        <v>108011.1</v>
      </c>
    </row>
    <row r="18" spans="1:14" s="472" customFormat="1" ht="18.75">
      <c r="A18" s="194"/>
      <c r="B18" s="207" t="s">
        <v>60</v>
      </c>
      <c r="C18" s="208" t="s">
        <v>4</v>
      </c>
      <c r="D18" s="193" t="s">
        <v>61</v>
      </c>
      <c r="E18" s="193"/>
      <c r="F18" s="461"/>
      <c r="G18" s="462"/>
      <c r="H18" s="462"/>
      <c r="I18" s="463"/>
      <c r="J18" s="193"/>
      <c r="K18" s="209">
        <v>76817.399999999994</v>
      </c>
      <c r="L18" s="209">
        <f>L19+L25+L53+L47</f>
        <v>0</v>
      </c>
      <c r="M18" s="209">
        <f>M19+M25+M53+M47</f>
        <v>76817.399999999994</v>
      </c>
      <c r="N18" s="209">
        <f>N19+N25+N53+N47</f>
        <v>76720.800000000003</v>
      </c>
    </row>
    <row r="19" spans="1:14" s="465" customFormat="1" ht="56.25">
      <c r="A19" s="194"/>
      <c r="B19" s="207" t="s">
        <v>62</v>
      </c>
      <c r="C19" s="208" t="s">
        <v>4</v>
      </c>
      <c r="D19" s="193" t="s">
        <v>61</v>
      </c>
      <c r="E19" s="193" t="s">
        <v>63</v>
      </c>
      <c r="F19" s="461"/>
      <c r="G19" s="462"/>
      <c r="H19" s="462"/>
      <c r="I19" s="463"/>
      <c r="J19" s="193"/>
      <c r="K19" s="209">
        <v>2046.6</v>
      </c>
      <c r="L19" s="209">
        <f>L20</f>
        <v>0</v>
      </c>
      <c r="M19" s="209">
        <f t="shared" ref="L19:N23" si="0">M20</f>
        <v>2046.6</v>
      </c>
      <c r="N19" s="209">
        <f t="shared" si="0"/>
        <v>2046.6</v>
      </c>
    </row>
    <row r="20" spans="1:14" s="465" customFormat="1" ht="59.25" customHeight="1">
      <c r="A20" s="194"/>
      <c r="B20" s="207" t="s">
        <v>64</v>
      </c>
      <c r="C20" s="208" t="s">
        <v>4</v>
      </c>
      <c r="D20" s="193" t="s">
        <v>61</v>
      </c>
      <c r="E20" s="193" t="s">
        <v>63</v>
      </c>
      <c r="F20" s="461" t="s">
        <v>65</v>
      </c>
      <c r="G20" s="462" t="s">
        <v>66</v>
      </c>
      <c r="H20" s="462" t="s">
        <v>67</v>
      </c>
      <c r="I20" s="463" t="s">
        <v>68</v>
      </c>
      <c r="J20" s="193"/>
      <c r="K20" s="209">
        <v>2046.6</v>
      </c>
      <c r="L20" s="209">
        <f t="shared" si="0"/>
        <v>0</v>
      </c>
      <c r="M20" s="209">
        <f t="shared" si="0"/>
        <v>2046.6</v>
      </c>
      <c r="N20" s="209">
        <f t="shared" si="0"/>
        <v>2046.6</v>
      </c>
    </row>
    <row r="21" spans="1:14" s="465" customFormat="1" ht="37.5">
      <c r="A21" s="194"/>
      <c r="B21" s="207" t="s">
        <v>428</v>
      </c>
      <c r="C21" s="208" t="s">
        <v>4</v>
      </c>
      <c r="D21" s="193" t="s">
        <v>61</v>
      </c>
      <c r="E21" s="193" t="s">
        <v>63</v>
      </c>
      <c r="F21" s="461" t="s">
        <v>65</v>
      </c>
      <c r="G21" s="462" t="s">
        <v>69</v>
      </c>
      <c r="H21" s="462" t="s">
        <v>67</v>
      </c>
      <c r="I21" s="463" t="s">
        <v>68</v>
      </c>
      <c r="J21" s="193"/>
      <c r="K21" s="209">
        <v>2046.6</v>
      </c>
      <c r="L21" s="209">
        <f t="shared" si="0"/>
        <v>0</v>
      </c>
      <c r="M21" s="209">
        <f t="shared" si="0"/>
        <v>2046.6</v>
      </c>
      <c r="N21" s="209">
        <f t="shared" si="0"/>
        <v>2046.6</v>
      </c>
    </row>
    <row r="22" spans="1:14" s="465" customFormat="1" ht="56.25">
      <c r="A22" s="194"/>
      <c r="B22" s="207" t="s">
        <v>70</v>
      </c>
      <c r="C22" s="208" t="s">
        <v>4</v>
      </c>
      <c r="D22" s="193" t="s">
        <v>61</v>
      </c>
      <c r="E22" s="193" t="s">
        <v>63</v>
      </c>
      <c r="F22" s="461" t="s">
        <v>65</v>
      </c>
      <c r="G22" s="462" t="s">
        <v>69</v>
      </c>
      <c r="H22" s="462" t="s">
        <v>61</v>
      </c>
      <c r="I22" s="463" t="s">
        <v>68</v>
      </c>
      <c r="J22" s="193"/>
      <c r="K22" s="209">
        <v>2046.6</v>
      </c>
      <c r="L22" s="209">
        <f t="shared" si="0"/>
        <v>0</v>
      </c>
      <c r="M22" s="209">
        <f t="shared" si="0"/>
        <v>2046.6</v>
      </c>
      <c r="N22" s="209">
        <f t="shared" si="0"/>
        <v>2046.6</v>
      </c>
    </row>
    <row r="23" spans="1:14" s="465" customFormat="1" ht="37.5">
      <c r="A23" s="194"/>
      <c r="B23" s="207" t="s">
        <v>71</v>
      </c>
      <c r="C23" s="208" t="s">
        <v>4</v>
      </c>
      <c r="D23" s="193" t="s">
        <v>61</v>
      </c>
      <c r="E23" s="193" t="s">
        <v>63</v>
      </c>
      <c r="F23" s="461" t="s">
        <v>65</v>
      </c>
      <c r="G23" s="462" t="s">
        <v>69</v>
      </c>
      <c r="H23" s="462" t="s">
        <v>61</v>
      </c>
      <c r="I23" s="463" t="s">
        <v>72</v>
      </c>
      <c r="J23" s="193"/>
      <c r="K23" s="209">
        <v>2046.6</v>
      </c>
      <c r="L23" s="209">
        <f t="shared" si="0"/>
        <v>0</v>
      </c>
      <c r="M23" s="209">
        <f t="shared" si="0"/>
        <v>2046.6</v>
      </c>
      <c r="N23" s="209">
        <f t="shared" si="0"/>
        <v>2046.6</v>
      </c>
    </row>
    <row r="24" spans="1:14" s="465" customFormat="1" ht="112.5">
      <c r="A24" s="194"/>
      <c r="B24" s="207" t="s">
        <v>73</v>
      </c>
      <c r="C24" s="208" t="s">
        <v>4</v>
      </c>
      <c r="D24" s="193" t="s">
        <v>61</v>
      </c>
      <c r="E24" s="193" t="s">
        <v>63</v>
      </c>
      <c r="F24" s="461" t="s">
        <v>65</v>
      </c>
      <c r="G24" s="462" t="s">
        <v>69</v>
      </c>
      <c r="H24" s="462" t="s">
        <v>61</v>
      </c>
      <c r="I24" s="463" t="s">
        <v>72</v>
      </c>
      <c r="J24" s="193" t="s">
        <v>74</v>
      </c>
      <c r="K24" s="209">
        <v>2046.6</v>
      </c>
      <c r="L24" s="651">
        <f>M24-K24</f>
        <v>0</v>
      </c>
      <c r="M24" s="209">
        <v>2046.6</v>
      </c>
      <c r="N24" s="209">
        <v>2046.6</v>
      </c>
    </row>
    <row r="25" spans="1:14" s="472" customFormat="1" ht="77.25" customHeight="1">
      <c r="A25" s="194"/>
      <c r="B25" s="207" t="s">
        <v>75</v>
      </c>
      <c r="C25" s="208" t="s">
        <v>4</v>
      </c>
      <c r="D25" s="193" t="s">
        <v>61</v>
      </c>
      <c r="E25" s="193" t="s">
        <v>76</v>
      </c>
      <c r="F25" s="461"/>
      <c r="G25" s="462"/>
      <c r="H25" s="462"/>
      <c r="I25" s="463"/>
      <c r="J25" s="193"/>
      <c r="K25" s="209">
        <v>69757.599999999991</v>
      </c>
      <c r="L25" s="209">
        <f t="shared" ref="L25:N26" si="1">L26</f>
        <v>0</v>
      </c>
      <c r="M25" s="209">
        <f t="shared" si="1"/>
        <v>69757.599999999991</v>
      </c>
      <c r="N25" s="209">
        <f t="shared" si="1"/>
        <v>69578.099999999991</v>
      </c>
    </row>
    <row r="26" spans="1:14" s="472" customFormat="1" ht="60.75" customHeight="1">
      <c r="A26" s="194"/>
      <c r="B26" s="207" t="s">
        <v>77</v>
      </c>
      <c r="C26" s="208" t="s">
        <v>4</v>
      </c>
      <c r="D26" s="193" t="s">
        <v>61</v>
      </c>
      <c r="E26" s="193" t="s">
        <v>76</v>
      </c>
      <c r="F26" s="461" t="s">
        <v>65</v>
      </c>
      <c r="G26" s="462" t="s">
        <v>66</v>
      </c>
      <c r="H26" s="462" t="s">
        <v>67</v>
      </c>
      <c r="I26" s="463" t="s">
        <v>68</v>
      </c>
      <c r="J26" s="193"/>
      <c r="K26" s="209">
        <v>69757.599999999991</v>
      </c>
      <c r="L26" s="209">
        <f t="shared" si="1"/>
        <v>0</v>
      </c>
      <c r="M26" s="209">
        <f t="shared" si="1"/>
        <v>69757.599999999991</v>
      </c>
      <c r="N26" s="209">
        <f t="shared" si="1"/>
        <v>69578.099999999991</v>
      </c>
    </row>
    <row r="27" spans="1:14" s="190" customFormat="1" ht="37.5">
      <c r="A27" s="194"/>
      <c r="B27" s="207" t="s">
        <v>428</v>
      </c>
      <c r="C27" s="208" t="s">
        <v>4</v>
      </c>
      <c r="D27" s="193" t="s">
        <v>61</v>
      </c>
      <c r="E27" s="193" t="s">
        <v>76</v>
      </c>
      <c r="F27" s="461" t="s">
        <v>65</v>
      </c>
      <c r="G27" s="462" t="s">
        <v>69</v>
      </c>
      <c r="H27" s="462" t="s">
        <v>67</v>
      </c>
      <c r="I27" s="463" t="s">
        <v>68</v>
      </c>
      <c r="J27" s="193"/>
      <c r="K27" s="209">
        <v>69757.599999999991</v>
      </c>
      <c r="L27" s="209">
        <f>L28+L44</f>
        <v>0</v>
      </c>
      <c r="M27" s="209">
        <f>M28+M44</f>
        <v>69757.599999999991</v>
      </c>
      <c r="N27" s="209">
        <f>N28+N44</f>
        <v>69578.099999999991</v>
      </c>
    </row>
    <row r="28" spans="1:14" s="190" customFormat="1" ht="37.5">
      <c r="A28" s="194"/>
      <c r="B28" s="207" t="s">
        <v>78</v>
      </c>
      <c r="C28" s="208" t="s">
        <v>4</v>
      </c>
      <c r="D28" s="193" t="s">
        <v>61</v>
      </c>
      <c r="E28" s="193" t="s">
        <v>76</v>
      </c>
      <c r="F28" s="461" t="s">
        <v>65</v>
      </c>
      <c r="G28" s="462" t="s">
        <v>69</v>
      </c>
      <c r="H28" s="462" t="s">
        <v>63</v>
      </c>
      <c r="I28" s="463" t="s">
        <v>68</v>
      </c>
      <c r="J28" s="193"/>
      <c r="K28" s="209">
        <v>69619.199999999997</v>
      </c>
      <c r="L28" s="209">
        <f>L29+L35+L37+L40+L33+L42</f>
        <v>0</v>
      </c>
      <c r="M28" s="209">
        <f>M29+M35+M37+M40+M33+M42</f>
        <v>69619.199999999997</v>
      </c>
      <c r="N28" s="209">
        <f>N29+N35+N37+N40+N33+N42</f>
        <v>69439.7</v>
      </c>
    </row>
    <row r="29" spans="1:14" s="465" customFormat="1" ht="37.5">
      <c r="A29" s="194"/>
      <c r="B29" s="207" t="s">
        <v>71</v>
      </c>
      <c r="C29" s="208" t="s">
        <v>4</v>
      </c>
      <c r="D29" s="193" t="s">
        <v>61</v>
      </c>
      <c r="E29" s="193" t="s">
        <v>76</v>
      </c>
      <c r="F29" s="461" t="s">
        <v>65</v>
      </c>
      <c r="G29" s="462" t="s">
        <v>69</v>
      </c>
      <c r="H29" s="462" t="s">
        <v>63</v>
      </c>
      <c r="I29" s="463" t="s">
        <v>72</v>
      </c>
      <c r="J29" s="193"/>
      <c r="K29" s="209">
        <v>64747.8</v>
      </c>
      <c r="L29" s="209">
        <f>L30+L31+L32</f>
        <v>0</v>
      </c>
      <c r="M29" s="209">
        <f>M30+M31+M32</f>
        <v>64747.8</v>
      </c>
      <c r="N29" s="209">
        <f>N30+N31+N32</f>
        <v>64568.3</v>
      </c>
    </row>
    <row r="30" spans="1:14" s="465" customFormat="1" ht="112.5">
      <c r="A30" s="194"/>
      <c r="B30" s="207" t="s">
        <v>73</v>
      </c>
      <c r="C30" s="208" t="s">
        <v>4</v>
      </c>
      <c r="D30" s="193" t="s">
        <v>61</v>
      </c>
      <c r="E30" s="193" t="s">
        <v>76</v>
      </c>
      <c r="F30" s="461" t="s">
        <v>65</v>
      </c>
      <c r="G30" s="462" t="s">
        <v>69</v>
      </c>
      <c r="H30" s="462" t="s">
        <v>63</v>
      </c>
      <c r="I30" s="463" t="s">
        <v>72</v>
      </c>
      <c r="J30" s="193" t="s">
        <v>74</v>
      </c>
      <c r="K30" s="209">
        <v>58076.7</v>
      </c>
      <c r="L30" s="651">
        <f t="shared" ref="L30:L32" si="2">M30-K30</f>
        <v>0</v>
      </c>
      <c r="M30" s="209">
        <v>58076.7</v>
      </c>
      <c r="N30" s="209">
        <v>58076.7</v>
      </c>
    </row>
    <row r="31" spans="1:14" s="190" customFormat="1" ht="56.25">
      <c r="A31" s="194"/>
      <c r="B31" s="207" t="s">
        <v>79</v>
      </c>
      <c r="C31" s="208" t="s">
        <v>4</v>
      </c>
      <c r="D31" s="193" t="s">
        <v>61</v>
      </c>
      <c r="E31" s="193" t="s">
        <v>76</v>
      </c>
      <c r="F31" s="461" t="s">
        <v>65</v>
      </c>
      <c r="G31" s="462" t="s">
        <v>69</v>
      </c>
      <c r="H31" s="462" t="s">
        <v>63</v>
      </c>
      <c r="I31" s="463" t="s">
        <v>72</v>
      </c>
      <c r="J31" s="193" t="s">
        <v>80</v>
      </c>
      <c r="K31" s="209">
        <v>6158.8</v>
      </c>
      <c r="L31" s="651">
        <f t="shared" si="2"/>
        <v>0</v>
      </c>
      <c r="M31" s="209">
        <v>6158.8</v>
      </c>
      <c r="N31" s="209">
        <v>5979.3</v>
      </c>
    </row>
    <row r="32" spans="1:14" s="465" customFormat="1" ht="18.75">
      <c r="A32" s="194"/>
      <c r="B32" s="207" t="s">
        <v>81</v>
      </c>
      <c r="C32" s="208" t="s">
        <v>4</v>
      </c>
      <c r="D32" s="193" t="s">
        <v>61</v>
      </c>
      <c r="E32" s="193" t="s">
        <v>76</v>
      </c>
      <c r="F32" s="461" t="s">
        <v>65</v>
      </c>
      <c r="G32" s="462" t="s">
        <v>69</v>
      </c>
      <c r="H32" s="462" t="s">
        <v>63</v>
      </c>
      <c r="I32" s="463" t="s">
        <v>72</v>
      </c>
      <c r="J32" s="193" t="s">
        <v>82</v>
      </c>
      <c r="K32" s="209">
        <v>512.29999999999995</v>
      </c>
      <c r="L32" s="651">
        <f t="shared" si="2"/>
        <v>0</v>
      </c>
      <c r="M32" s="209">
        <v>512.29999999999995</v>
      </c>
      <c r="N32" s="209">
        <v>512.29999999999995</v>
      </c>
    </row>
    <row r="33" spans="1:14" s="472" customFormat="1" ht="94.5" customHeight="1">
      <c r="A33" s="194"/>
      <c r="B33" s="207" t="s">
        <v>87</v>
      </c>
      <c r="C33" s="208" t="s">
        <v>4</v>
      </c>
      <c r="D33" s="193" t="s">
        <v>61</v>
      </c>
      <c r="E33" s="193" t="s">
        <v>76</v>
      </c>
      <c r="F33" s="461" t="s">
        <v>65</v>
      </c>
      <c r="G33" s="462" t="s">
        <v>69</v>
      </c>
      <c r="H33" s="462" t="s">
        <v>63</v>
      </c>
      <c r="I33" s="463" t="s">
        <v>327</v>
      </c>
      <c r="J33" s="193"/>
      <c r="K33" s="209">
        <v>66</v>
      </c>
      <c r="L33" s="209">
        <f>L34</f>
        <v>0</v>
      </c>
      <c r="M33" s="209">
        <f>M34</f>
        <v>66</v>
      </c>
      <c r="N33" s="209">
        <f>N34</f>
        <v>66</v>
      </c>
    </row>
    <row r="34" spans="1:14" s="472" customFormat="1" ht="56.25">
      <c r="A34" s="194"/>
      <c r="B34" s="207" t="s">
        <v>79</v>
      </c>
      <c r="C34" s="208" t="s">
        <v>4</v>
      </c>
      <c r="D34" s="193" t="s">
        <v>61</v>
      </c>
      <c r="E34" s="193" t="s">
        <v>76</v>
      </c>
      <c r="F34" s="461" t="s">
        <v>65</v>
      </c>
      <c r="G34" s="462" t="s">
        <v>69</v>
      </c>
      <c r="H34" s="462" t="s">
        <v>63</v>
      </c>
      <c r="I34" s="463" t="s">
        <v>327</v>
      </c>
      <c r="J34" s="193" t="s">
        <v>80</v>
      </c>
      <c r="K34" s="209">
        <v>66</v>
      </c>
      <c r="L34" s="651">
        <f>M34-K34</f>
        <v>0</v>
      </c>
      <c r="M34" s="209">
        <v>66</v>
      </c>
      <c r="N34" s="209">
        <v>66</v>
      </c>
    </row>
    <row r="35" spans="1:14" s="472" customFormat="1" ht="204.75" customHeight="1">
      <c r="A35" s="194"/>
      <c r="B35" s="250" t="s">
        <v>631</v>
      </c>
      <c r="C35" s="208" t="s">
        <v>4</v>
      </c>
      <c r="D35" s="193" t="s">
        <v>61</v>
      </c>
      <c r="E35" s="193" t="s">
        <v>76</v>
      </c>
      <c r="F35" s="461" t="s">
        <v>65</v>
      </c>
      <c r="G35" s="462" t="s">
        <v>69</v>
      </c>
      <c r="H35" s="462" t="s">
        <v>63</v>
      </c>
      <c r="I35" s="463" t="s">
        <v>83</v>
      </c>
      <c r="J35" s="193"/>
      <c r="K35" s="209">
        <v>640.6</v>
      </c>
      <c r="L35" s="209">
        <f>L36</f>
        <v>0</v>
      </c>
      <c r="M35" s="209">
        <f>M36</f>
        <v>640.6</v>
      </c>
      <c r="N35" s="209">
        <f>N36</f>
        <v>640.6</v>
      </c>
    </row>
    <row r="36" spans="1:14" s="472" customFormat="1" ht="112.5">
      <c r="A36" s="194"/>
      <c r="B36" s="207" t="s">
        <v>73</v>
      </c>
      <c r="C36" s="208" t="s">
        <v>4</v>
      </c>
      <c r="D36" s="193" t="s">
        <v>61</v>
      </c>
      <c r="E36" s="193" t="s">
        <v>76</v>
      </c>
      <c r="F36" s="461" t="s">
        <v>65</v>
      </c>
      <c r="G36" s="462" t="s">
        <v>69</v>
      </c>
      <c r="H36" s="462" t="s">
        <v>63</v>
      </c>
      <c r="I36" s="463" t="s">
        <v>83</v>
      </c>
      <c r="J36" s="193" t="s">
        <v>74</v>
      </c>
      <c r="K36" s="209">
        <v>640.6</v>
      </c>
      <c r="L36" s="651">
        <f>M36-K36</f>
        <v>0</v>
      </c>
      <c r="M36" s="209">
        <v>640.6</v>
      </c>
      <c r="N36" s="209">
        <v>640.6</v>
      </c>
    </row>
    <row r="37" spans="1:14" s="472" customFormat="1" ht="78.75" customHeight="1">
      <c r="A37" s="194"/>
      <c r="B37" s="207" t="s">
        <v>84</v>
      </c>
      <c r="C37" s="208" t="s">
        <v>4</v>
      </c>
      <c r="D37" s="193" t="s">
        <v>61</v>
      </c>
      <c r="E37" s="193" t="s">
        <v>76</v>
      </c>
      <c r="F37" s="461" t="s">
        <v>65</v>
      </c>
      <c r="G37" s="462" t="s">
        <v>69</v>
      </c>
      <c r="H37" s="462" t="s">
        <v>63</v>
      </c>
      <c r="I37" s="463" t="s">
        <v>85</v>
      </c>
      <c r="J37" s="193"/>
      <c r="K37" s="209">
        <v>3458</v>
      </c>
      <c r="L37" s="209">
        <f>SUM(L38:L39)</f>
        <v>0</v>
      </c>
      <c r="M37" s="209">
        <f>SUM(M38:M39)</f>
        <v>3458</v>
      </c>
      <c r="N37" s="209">
        <f>SUM(N38:N39)</f>
        <v>3458</v>
      </c>
    </row>
    <row r="38" spans="1:14" s="472" customFormat="1" ht="112.5">
      <c r="A38" s="194"/>
      <c r="B38" s="207" t="s">
        <v>73</v>
      </c>
      <c r="C38" s="208" t="s">
        <v>4</v>
      </c>
      <c r="D38" s="193" t="s">
        <v>61</v>
      </c>
      <c r="E38" s="193" t="s">
        <v>76</v>
      </c>
      <c r="F38" s="461" t="s">
        <v>65</v>
      </c>
      <c r="G38" s="462" t="s">
        <v>69</v>
      </c>
      <c r="H38" s="462" t="s">
        <v>63</v>
      </c>
      <c r="I38" s="463" t="s">
        <v>85</v>
      </c>
      <c r="J38" s="193" t="s">
        <v>74</v>
      </c>
      <c r="K38" s="209">
        <v>3296</v>
      </c>
      <c r="L38" s="651">
        <f t="shared" ref="L38:L39" si="3">M38-K38</f>
        <v>0</v>
      </c>
      <c r="M38" s="209">
        <v>3296</v>
      </c>
      <c r="N38" s="209">
        <v>3296</v>
      </c>
    </row>
    <row r="39" spans="1:14" s="472" customFormat="1" ht="56.25">
      <c r="A39" s="194"/>
      <c r="B39" s="207" t="s">
        <v>79</v>
      </c>
      <c r="C39" s="208" t="s">
        <v>4</v>
      </c>
      <c r="D39" s="193" t="s">
        <v>61</v>
      </c>
      <c r="E39" s="193" t="s">
        <v>76</v>
      </c>
      <c r="F39" s="461" t="s">
        <v>65</v>
      </c>
      <c r="G39" s="462" t="s">
        <v>69</v>
      </c>
      <c r="H39" s="462" t="s">
        <v>63</v>
      </c>
      <c r="I39" s="463" t="s">
        <v>85</v>
      </c>
      <c r="J39" s="193" t="s">
        <v>80</v>
      </c>
      <c r="K39" s="209">
        <v>162</v>
      </c>
      <c r="L39" s="651">
        <f t="shared" si="3"/>
        <v>0</v>
      </c>
      <c r="M39" s="209">
        <v>162</v>
      </c>
      <c r="N39" s="209">
        <v>162</v>
      </c>
    </row>
    <row r="40" spans="1:14" s="472" customFormat="1" ht="75">
      <c r="A40" s="194"/>
      <c r="B40" s="207" t="s">
        <v>638</v>
      </c>
      <c r="C40" s="208" t="s">
        <v>4</v>
      </c>
      <c r="D40" s="193" t="s">
        <v>61</v>
      </c>
      <c r="E40" s="193" t="s">
        <v>76</v>
      </c>
      <c r="F40" s="461" t="s">
        <v>65</v>
      </c>
      <c r="G40" s="462" t="s">
        <v>69</v>
      </c>
      <c r="H40" s="462" t="s">
        <v>63</v>
      </c>
      <c r="I40" s="463" t="s">
        <v>86</v>
      </c>
      <c r="J40" s="193"/>
      <c r="K40" s="209">
        <v>640.79999999999995</v>
      </c>
      <c r="L40" s="209">
        <f>L41</f>
        <v>0</v>
      </c>
      <c r="M40" s="209">
        <f>M41</f>
        <v>640.79999999999995</v>
      </c>
      <c r="N40" s="209">
        <f>N41</f>
        <v>640.79999999999995</v>
      </c>
    </row>
    <row r="41" spans="1:14" s="472" customFormat="1" ht="112.5">
      <c r="A41" s="194"/>
      <c r="B41" s="207" t="s">
        <v>73</v>
      </c>
      <c r="C41" s="208" t="s">
        <v>4</v>
      </c>
      <c r="D41" s="193" t="s">
        <v>61</v>
      </c>
      <c r="E41" s="193" t="s">
        <v>76</v>
      </c>
      <c r="F41" s="461" t="s">
        <v>65</v>
      </c>
      <c r="G41" s="462" t="s">
        <v>69</v>
      </c>
      <c r="H41" s="462" t="s">
        <v>63</v>
      </c>
      <c r="I41" s="463" t="s">
        <v>86</v>
      </c>
      <c r="J41" s="193" t="s">
        <v>74</v>
      </c>
      <c r="K41" s="209">
        <v>640.79999999999995</v>
      </c>
      <c r="L41" s="651">
        <f>M41-K41</f>
        <v>0</v>
      </c>
      <c r="M41" s="209">
        <v>640.79999999999995</v>
      </c>
      <c r="N41" s="209">
        <v>640.79999999999995</v>
      </c>
    </row>
    <row r="42" spans="1:14" s="472" customFormat="1" ht="187.5" customHeight="1">
      <c r="A42" s="194"/>
      <c r="B42" s="250" t="s">
        <v>496</v>
      </c>
      <c r="C42" s="208" t="s">
        <v>4</v>
      </c>
      <c r="D42" s="193" t="s">
        <v>61</v>
      </c>
      <c r="E42" s="193" t="s">
        <v>76</v>
      </c>
      <c r="F42" s="461" t="s">
        <v>65</v>
      </c>
      <c r="G42" s="462" t="s">
        <v>69</v>
      </c>
      <c r="H42" s="462" t="s">
        <v>63</v>
      </c>
      <c r="I42" s="463" t="s">
        <v>495</v>
      </c>
      <c r="J42" s="193"/>
      <c r="K42" s="209">
        <v>66</v>
      </c>
      <c r="L42" s="209">
        <f>L43</f>
        <v>0</v>
      </c>
      <c r="M42" s="209">
        <f>M43</f>
        <v>66</v>
      </c>
      <c r="N42" s="209">
        <f>N43</f>
        <v>66</v>
      </c>
    </row>
    <row r="43" spans="1:14" s="472" customFormat="1" ht="56.25">
      <c r="A43" s="194"/>
      <c r="B43" s="207" t="s">
        <v>79</v>
      </c>
      <c r="C43" s="208" t="s">
        <v>4</v>
      </c>
      <c r="D43" s="193" t="s">
        <v>61</v>
      </c>
      <c r="E43" s="193" t="s">
        <v>76</v>
      </c>
      <c r="F43" s="461" t="s">
        <v>65</v>
      </c>
      <c r="G43" s="462" t="s">
        <v>69</v>
      </c>
      <c r="H43" s="462" t="s">
        <v>63</v>
      </c>
      <c r="I43" s="463" t="s">
        <v>495</v>
      </c>
      <c r="J43" s="193" t="s">
        <v>80</v>
      </c>
      <c r="K43" s="209">
        <v>66</v>
      </c>
      <c r="L43" s="651">
        <f>M43-K43</f>
        <v>0</v>
      </c>
      <c r="M43" s="209">
        <v>66</v>
      </c>
      <c r="N43" s="209">
        <v>66</v>
      </c>
    </row>
    <row r="44" spans="1:14" s="190" customFormat="1" ht="18.75">
      <c r="A44" s="194"/>
      <c r="B44" s="207" t="s">
        <v>88</v>
      </c>
      <c r="C44" s="208" t="s">
        <v>4</v>
      </c>
      <c r="D44" s="193" t="s">
        <v>61</v>
      </c>
      <c r="E44" s="193" t="s">
        <v>76</v>
      </c>
      <c r="F44" s="461" t="s">
        <v>65</v>
      </c>
      <c r="G44" s="462" t="s">
        <v>69</v>
      </c>
      <c r="H44" s="462" t="s">
        <v>89</v>
      </c>
      <c r="I44" s="463" t="s">
        <v>68</v>
      </c>
      <c r="J44" s="193"/>
      <c r="K44" s="209">
        <v>138.4</v>
      </c>
      <c r="L44" s="209">
        <f t="shared" ref="L44:N45" si="4">L45</f>
        <v>0</v>
      </c>
      <c r="M44" s="209">
        <f t="shared" si="4"/>
        <v>138.4</v>
      </c>
      <c r="N44" s="209">
        <f t="shared" si="4"/>
        <v>138.4</v>
      </c>
    </row>
    <row r="45" spans="1:14" s="465" customFormat="1" ht="37.5">
      <c r="A45" s="194"/>
      <c r="B45" s="207" t="s">
        <v>71</v>
      </c>
      <c r="C45" s="208" t="s">
        <v>4</v>
      </c>
      <c r="D45" s="193" t="s">
        <v>61</v>
      </c>
      <c r="E45" s="193" t="s">
        <v>76</v>
      </c>
      <c r="F45" s="461" t="s">
        <v>65</v>
      </c>
      <c r="G45" s="462" t="s">
        <v>69</v>
      </c>
      <c r="H45" s="462" t="s">
        <v>89</v>
      </c>
      <c r="I45" s="463" t="s">
        <v>72</v>
      </c>
      <c r="J45" s="193"/>
      <c r="K45" s="209">
        <v>138.4</v>
      </c>
      <c r="L45" s="209">
        <f t="shared" si="4"/>
        <v>0</v>
      </c>
      <c r="M45" s="209">
        <f t="shared" si="4"/>
        <v>138.4</v>
      </c>
      <c r="N45" s="209">
        <f t="shared" si="4"/>
        <v>138.4</v>
      </c>
    </row>
    <row r="46" spans="1:14" s="190" customFormat="1" ht="56.25">
      <c r="A46" s="194"/>
      <c r="B46" s="207" t="s">
        <v>79</v>
      </c>
      <c r="C46" s="208" t="s">
        <v>4</v>
      </c>
      <c r="D46" s="193" t="s">
        <v>61</v>
      </c>
      <c r="E46" s="193" t="s">
        <v>76</v>
      </c>
      <c r="F46" s="461" t="s">
        <v>65</v>
      </c>
      <c r="G46" s="462" t="s">
        <v>69</v>
      </c>
      <c r="H46" s="462" t="s">
        <v>89</v>
      </c>
      <c r="I46" s="463" t="s">
        <v>72</v>
      </c>
      <c r="J46" s="193" t="s">
        <v>80</v>
      </c>
      <c r="K46" s="209">
        <v>138.4</v>
      </c>
      <c r="L46" s="651">
        <f>M46-K46</f>
        <v>0</v>
      </c>
      <c r="M46" s="209">
        <v>138.4</v>
      </c>
      <c r="N46" s="209">
        <v>138.4</v>
      </c>
    </row>
    <row r="47" spans="1:14" s="190" customFormat="1" ht="18.75">
      <c r="A47" s="194"/>
      <c r="B47" s="207" t="s">
        <v>528</v>
      </c>
      <c r="C47" s="208" t="s">
        <v>4</v>
      </c>
      <c r="D47" s="193" t="s">
        <v>61</v>
      </c>
      <c r="E47" s="193" t="s">
        <v>91</v>
      </c>
      <c r="F47" s="461"/>
      <c r="G47" s="462"/>
      <c r="H47" s="462"/>
      <c r="I47" s="463"/>
      <c r="J47" s="193"/>
      <c r="K47" s="209">
        <v>13.2</v>
      </c>
      <c r="L47" s="209">
        <f t="shared" ref="L47:N51" si="5">L48</f>
        <v>0</v>
      </c>
      <c r="M47" s="209">
        <f t="shared" si="5"/>
        <v>13.2</v>
      </c>
      <c r="N47" s="209">
        <f t="shared" si="5"/>
        <v>96.1</v>
      </c>
    </row>
    <row r="48" spans="1:14" s="190" customFormat="1" ht="58.5" customHeight="1">
      <c r="A48" s="194"/>
      <c r="B48" s="207" t="s">
        <v>77</v>
      </c>
      <c r="C48" s="208" t="s">
        <v>4</v>
      </c>
      <c r="D48" s="193" t="s">
        <v>61</v>
      </c>
      <c r="E48" s="193" t="s">
        <v>91</v>
      </c>
      <c r="F48" s="461" t="s">
        <v>65</v>
      </c>
      <c r="G48" s="462" t="s">
        <v>66</v>
      </c>
      <c r="H48" s="462" t="s">
        <v>67</v>
      </c>
      <c r="I48" s="463" t="s">
        <v>68</v>
      </c>
      <c r="J48" s="193"/>
      <c r="K48" s="209">
        <v>13.2</v>
      </c>
      <c r="L48" s="209">
        <f t="shared" si="5"/>
        <v>0</v>
      </c>
      <c r="M48" s="209">
        <f t="shared" si="5"/>
        <v>13.2</v>
      </c>
      <c r="N48" s="209">
        <f t="shared" si="5"/>
        <v>96.1</v>
      </c>
    </row>
    <row r="49" spans="1:14" s="190" customFormat="1" ht="37.5">
      <c r="A49" s="194"/>
      <c r="B49" s="207" t="s">
        <v>428</v>
      </c>
      <c r="C49" s="208" t="s">
        <v>4</v>
      </c>
      <c r="D49" s="193" t="s">
        <v>61</v>
      </c>
      <c r="E49" s="193" t="s">
        <v>91</v>
      </c>
      <c r="F49" s="461" t="s">
        <v>65</v>
      </c>
      <c r="G49" s="462" t="s">
        <v>69</v>
      </c>
      <c r="H49" s="462" t="s">
        <v>67</v>
      </c>
      <c r="I49" s="463" t="s">
        <v>68</v>
      </c>
      <c r="J49" s="193"/>
      <c r="K49" s="209">
        <v>13.2</v>
      </c>
      <c r="L49" s="209">
        <f t="shared" si="5"/>
        <v>0</v>
      </c>
      <c r="M49" s="209">
        <f t="shared" si="5"/>
        <v>13.2</v>
      </c>
      <c r="N49" s="209">
        <f t="shared" si="5"/>
        <v>96.1</v>
      </c>
    </row>
    <row r="50" spans="1:14" s="190" customFormat="1" ht="37.5">
      <c r="A50" s="194"/>
      <c r="B50" s="207" t="s">
        <v>78</v>
      </c>
      <c r="C50" s="208" t="s">
        <v>4</v>
      </c>
      <c r="D50" s="193" t="s">
        <v>61</v>
      </c>
      <c r="E50" s="193" t="s">
        <v>91</v>
      </c>
      <c r="F50" s="461" t="s">
        <v>65</v>
      </c>
      <c r="G50" s="462" t="s">
        <v>69</v>
      </c>
      <c r="H50" s="462" t="s">
        <v>63</v>
      </c>
      <c r="I50" s="463" t="s">
        <v>68</v>
      </c>
      <c r="J50" s="193"/>
      <c r="K50" s="209">
        <v>13.2</v>
      </c>
      <c r="L50" s="209">
        <f t="shared" si="5"/>
        <v>0</v>
      </c>
      <c r="M50" s="209">
        <f t="shared" si="5"/>
        <v>13.2</v>
      </c>
      <c r="N50" s="209">
        <f t="shared" si="5"/>
        <v>96.1</v>
      </c>
    </row>
    <row r="51" spans="1:14" s="190" customFormat="1" ht="76.5" customHeight="1">
      <c r="A51" s="194"/>
      <c r="B51" s="207" t="s">
        <v>530</v>
      </c>
      <c r="C51" s="208" t="s">
        <v>4</v>
      </c>
      <c r="D51" s="193" t="s">
        <v>61</v>
      </c>
      <c r="E51" s="193" t="s">
        <v>91</v>
      </c>
      <c r="F51" s="461" t="s">
        <v>65</v>
      </c>
      <c r="G51" s="462" t="s">
        <v>69</v>
      </c>
      <c r="H51" s="462" t="s">
        <v>63</v>
      </c>
      <c r="I51" s="463" t="s">
        <v>529</v>
      </c>
      <c r="J51" s="193"/>
      <c r="K51" s="209">
        <v>13.2</v>
      </c>
      <c r="L51" s="209">
        <f t="shared" si="5"/>
        <v>0</v>
      </c>
      <c r="M51" s="209">
        <f t="shared" si="5"/>
        <v>13.2</v>
      </c>
      <c r="N51" s="209">
        <f t="shared" si="5"/>
        <v>96.1</v>
      </c>
    </row>
    <row r="52" spans="1:14" s="190" customFormat="1" ht="56.25">
      <c r="A52" s="194"/>
      <c r="B52" s="207" t="s">
        <v>79</v>
      </c>
      <c r="C52" s="208" t="s">
        <v>4</v>
      </c>
      <c r="D52" s="193" t="s">
        <v>61</v>
      </c>
      <c r="E52" s="193" t="s">
        <v>91</v>
      </c>
      <c r="F52" s="461" t="s">
        <v>65</v>
      </c>
      <c r="G52" s="462" t="s">
        <v>69</v>
      </c>
      <c r="H52" s="462" t="s">
        <v>63</v>
      </c>
      <c r="I52" s="463" t="s">
        <v>529</v>
      </c>
      <c r="J52" s="193" t="s">
        <v>80</v>
      </c>
      <c r="K52" s="573">
        <v>13.2</v>
      </c>
      <c r="L52" s="651">
        <f>M52-K52</f>
        <v>0</v>
      </c>
      <c r="M52" s="573">
        <v>13.2</v>
      </c>
      <c r="N52" s="573">
        <v>96.1</v>
      </c>
    </row>
    <row r="53" spans="1:14" s="465" customFormat="1" ht="18.75">
      <c r="A53" s="194"/>
      <c r="B53" s="207" t="s">
        <v>92</v>
      </c>
      <c r="C53" s="208" t="s">
        <v>4</v>
      </c>
      <c r="D53" s="193" t="s">
        <v>61</v>
      </c>
      <c r="E53" s="193" t="s">
        <v>93</v>
      </c>
      <c r="F53" s="461"/>
      <c r="G53" s="462"/>
      <c r="H53" s="462"/>
      <c r="I53" s="463"/>
      <c r="J53" s="193"/>
      <c r="K53" s="209">
        <v>5000</v>
      </c>
      <c r="L53" s="209">
        <f t="shared" ref="L53:N57" si="6">L54</f>
        <v>0</v>
      </c>
      <c r="M53" s="209">
        <f t="shared" si="6"/>
        <v>5000</v>
      </c>
      <c r="N53" s="209">
        <f t="shared" si="6"/>
        <v>5000</v>
      </c>
    </row>
    <row r="54" spans="1:14" s="465" customFormat="1" ht="37.5">
      <c r="A54" s="194"/>
      <c r="B54" s="207" t="s">
        <v>94</v>
      </c>
      <c r="C54" s="208" t="s">
        <v>4</v>
      </c>
      <c r="D54" s="193" t="s">
        <v>61</v>
      </c>
      <c r="E54" s="193" t="s">
        <v>93</v>
      </c>
      <c r="F54" s="461" t="s">
        <v>95</v>
      </c>
      <c r="G54" s="462" t="s">
        <v>66</v>
      </c>
      <c r="H54" s="462" t="s">
        <v>67</v>
      </c>
      <c r="I54" s="463" t="s">
        <v>68</v>
      </c>
      <c r="J54" s="193"/>
      <c r="K54" s="209">
        <v>5000</v>
      </c>
      <c r="L54" s="209">
        <f t="shared" si="6"/>
        <v>0</v>
      </c>
      <c r="M54" s="209">
        <f t="shared" si="6"/>
        <v>5000</v>
      </c>
      <c r="N54" s="209">
        <f t="shared" si="6"/>
        <v>5000</v>
      </c>
    </row>
    <row r="55" spans="1:14" s="465" customFormat="1" ht="37.5">
      <c r="A55" s="194"/>
      <c r="B55" s="210" t="s">
        <v>96</v>
      </c>
      <c r="C55" s="208" t="s">
        <v>4</v>
      </c>
      <c r="D55" s="193" t="s">
        <v>61</v>
      </c>
      <c r="E55" s="193" t="s">
        <v>93</v>
      </c>
      <c r="F55" s="461" t="s">
        <v>95</v>
      </c>
      <c r="G55" s="462" t="s">
        <v>69</v>
      </c>
      <c r="H55" s="462" t="s">
        <v>67</v>
      </c>
      <c r="I55" s="463" t="s">
        <v>68</v>
      </c>
      <c r="J55" s="193"/>
      <c r="K55" s="209">
        <v>5000</v>
      </c>
      <c r="L55" s="209">
        <f t="shared" si="6"/>
        <v>0</v>
      </c>
      <c r="M55" s="209">
        <f t="shared" si="6"/>
        <v>5000</v>
      </c>
      <c r="N55" s="209">
        <f t="shared" si="6"/>
        <v>5000</v>
      </c>
    </row>
    <row r="56" spans="1:14" s="465" customFormat="1" ht="18.75">
      <c r="A56" s="194"/>
      <c r="B56" s="207" t="s">
        <v>92</v>
      </c>
      <c r="C56" s="208" t="s">
        <v>4</v>
      </c>
      <c r="D56" s="193" t="s">
        <v>61</v>
      </c>
      <c r="E56" s="193" t="s">
        <v>93</v>
      </c>
      <c r="F56" s="461" t="s">
        <v>95</v>
      </c>
      <c r="G56" s="462" t="s">
        <v>69</v>
      </c>
      <c r="H56" s="462" t="s">
        <v>61</v>
      </c>
      <c r="I56" s="463" t="s">
        <v>68</v>
      </c>
      <c r="J56" s="193"/>
      <c r="K56" s="209">
        <v>5000</v>
      </c>
      <c r="L56" s="209">
        <f t="shared" si="6"/>
        <v>0</v>
      </c>
      <c r="M56" s="209">
        <f t="shared" si="6"/>
        <v>5000</v>
      </c>
      <c r="N56" s="209">
        <f t="shared" si="6"/>
        <v>5000</v>
      </c>
    </row>
    <row r="57" spans="1:14" s="465" customFormat="1" ht="18.75">
      <c r="A57" s="194"/>
      <c r="B57" s="207" t="s">
        <v>97</v>
      </c>
      <c r="C57" s="208" t="s">
        <v>4</v>
      </c>
      <c r="D57" s="193" t="s">
        <v>61</v>
      </c>
      <c r="E57" s="193" t="s">
        <v>93</v>
      </c>
      <c r="F57" s="461" t="s">
        <v>95</v>
      </c>
      <c r="G57" s="462" t="s">
        <v>69</v>
      </c>
      <c r="H57" s="462" t="s">
        <v>61</v>
      </c>
      <c r="I57" s="463" t="s">
        <v>98</v>
      </c>
      <c r="J57" s="193"/>
      <c r="K57" s="209">
        <v>5000</v>
      </c>
      <c r="L57" s="209">
        <f t="shared" si="6"/>
        <v>0</v>
      </c>
      <c r="M57" s="209">
        <f t="shared" si="6"/>
        <v>5000</v>
      </c>
      <c r="N57" s="209">
        <f t="shared" si="6"/>
        <v>5000</v>
      </c>
    </row>
    <row r="58" spans="1:14" s="465" customFormat="1" ht="18.75">
      <c r="A58" s="194"/>
      <c r="B58" s="207" t="s">
        <v>81</v>
      </c>
      <c r="C58" s="208" t="s">
        <v>4</v>
      </c>
      <c r="D58" s="193" t="s">
        <v>61</v>
      </c>
      <c r="E58" s="193" t="s">
        <v>93</v>
      </c>
      <c r="F58" s="461" t="s">
        <v>95</v>
      </c>
      <c r="G58" s="462" t="s">
        <v>69</v>
      </c>
      <c r="H58" s="462" t="s">
        <v>61</v>
      </c>
      <c r="I58" s="463" t="s">
        <v>98</v>
      </c>
      <c r="J58" s="193" t="s">
        <v>82</v>
      </c>
      <c r="K58" s="209">
        <v>5000</v>
      </c>
      <c r="L58" s="651">
        <f>M58-K58</f>
        <v>0</v>
      </c>
      <c r="M58" s="209">
        <v>5000</v>
      </c>
      <c r="N58" s="209">
        <v>5000</v>
      </c>
    </row>
    <row r="59" spans="1:14" s="465" customFormat="1" ht="37.5">
      <c r="A59" s="194"/>
      <c r="B59" s="207" t="s">
        <v>107</v>
      </c>
      <c r="C59" s="208" t="s">
        <v>4</v>
      </c>
      <c r="D59" s="193" t="s">
        <v>89</v>
      </c>
      <c r="E59" s="193"/>
      <c r="F59" s="461"/>
      <c r="G59" s="462"/>
      <c r="H59" s="462"/>
      <c r="I59" s="463"/>
      <c r="J59" s="193"/>
      <c r="K59" s="209">
        <v>10885.800000000001</v>
      </c>
      <c r="L59" s="209">
        <f>L60+L70</f>
        <v>0</v>
      </c>
      <c r="M59" s="209">
        <f>M60+M70</f>
        <v>10885.800000000001</v>
      </c>
      <c r="N59" s="209">
        <f>N60+N70</f>
        <v>7359.8</v>
      </c>
    </row>
    <row r="60" spans="1:14" s="465" customFormat="1" ht="55.5" customHeight="1">
      <c r="A60" s="194"/>
      <c r="B60" s="207" t="s">
        <v>108</v>
      </c>
      <c r="C60" s="208" t="s">
        <v>4</v>
      </c>
      <c r="D60" s="193" t="s">
        <v>89</v>
      </c>
      <c r="E60" s="193" t="s">
        <v>109</v>
      </c>
      <c r="F60" s="461"/>
      <c r="G60" s="462"/>
      <c r="H60" s="462"/>
      <c r="I60" s="463"/>
      <c r="J60" s="193"/>
      <c r="K60" s="209">
        <v>3282.3</v>
      </c>
      <c r="L60" s="209">
        <f t="shared" ref="L60:N62" si="7">L61</f>
        <v>0</v>
      </c>
      <c r="M60" s="209">
        <f t="shared" si="7"/>
        <v>3282.3</v>
      </c>
      <c r="N60" s="209">
        <f t="shared" si="7"/>
        <v>0</v>
      </c>
    </row>
    <row r="61" spans="1:14" s="465" customFormat="1" ht="58.5" customHeight="1">
      <c r="A61" s="194"/>
      <c r="B61" s="207" t="s">
        <v>110</v>
      </c>
      <c r="C61" s="208" t="s">
        <v>4</v>
      </c>
      <c r="D61" s="193" t="s">
        <v>89</v>
      </c>
      <c r="E61" s="193" t="s">
        <v>109</v>
      </c>
      <c r="F61" s="461" t="s">
        <v>111</v>
      </c>
      <c r="G61" s="462" t="s">
        <v>66</v>
      </c>
      <c r="H61" s="462" t="s">
        <v>67</v>
      </c>
      <c r="I61" s="463" t="s">
        <v>68</v>
      </c>
      <c r="J61" s="193"/>
      <c r="K61" s="209">
        <v>3282.3</v>
      </c>
      <c r="L61" s="209">
        <f t="shared" si="7"/>
        <v>0</v>
      </c>
      <c r="M61" s="209">
        <f t="shared" si="7"/>
        <v>3282.3</v>
      </c>
      <c r="N61" s="209">
        <f t="shared" si="7"/>
        <v>0</v>
      </c>
    </row>
    <row r="62" spans="1:14" s="465" customFormat="1" ht="59.25" customHeight="1">
      <c r="A62" s="194"/>
      <c r="B62" s="213" t="s">
        <v>112</v>
      </c>
      <c r="C62" s="208" t="s">
        <v>4</v>
      </c>
      <c r="D62" s="193" t="s">
        <v>89</v>
      </c>
      <c r="E62" s="193" t="s">
        <v>109</v>
      </c>
      <c r="F62" s="461" t="s">
        <v>111</v>
      </c>
      <c r="G62" s="462" t="s">
        <v>69</v>
      </c>
      <c r="H62" s="462" t="s">
        <v>67</v>
      </c>
      <c r="I62" s="463" t="s">
        <v>68</v>
      </c>
      <c r="J62" s="193"/>
      <c r="K62" s="209">
        <v>3282.3</v>
      </c>
      <c r="L62" s="209">
        <f t="shared" si="7"/>
        <v>0</v>
      </c>
      <c r="M62" s="209">
        <f t="shared" si="7"/>
        <v>3282.3</v>
      </c>
      <c r="N62" s="209">
        <f t="shared" si="7"/>
        <v>0</v>
      </c>
    </row>
    <row r="63" spans="1:14" s="465" customFormat="1" ht="77.25" customHeight="1">
      <c r="A63" s="194"/>
      <c r="B63" s="207" t="s">
        <v>113</v>
      </c>
      <c r="C63" s="208" t="s">
        <v>4</v>
      </c>
      <c r="D63" s="193" t="s">
        <v>89</v>
      </c>
      <c r="E63" s="193" t="s">
        <v>109</v>
      </c>
      <c r="F63" s="461" t="s">
        <v>111</v>
      </c>
      <c r="G63" s="462" t="s">
        <v>69</v>
      </c>
      <c r="H63" s="462" t="s">
        <v>61</v>
      </c>
      <c r="I63" s="463" t="s">
        <v>68</v>
      </c>
      <c r="J63" s="193"/>
      <c r="K63" s="209">
        <v>3282.3</v>
      </c>
      <c r="L63" s="209">
        <f>L64+L66+L68</f>
        <v>0</v>
      </c>
      <c r="M63" s="209">
        <f>M64+M66+M68</f>
        <v>3282.3</v>
      </c>
      <c r="N63" s="209">
        <f>N64+N66+N68</f>
        <v>0</v>
      </c>
    </row>
    <row r="64" spans="1:14" s="465" customFormat="1" ht="76.5" customHeight="1">
      <c r="A64" s="194"/>
      <c r="B64" s="213" t="s">
        <v>114</v>
      </c>
      <c r="C64" s="208" t="s">
        <v>4</v>
      </c>
      <c r="D64" s="193" t="s">
        <v>89</v>
      </c>
      <c r="E64" s="193" t="s">
        <v>109</v>
      </c>
      <c r="F64" s="461" t="s">
        <v>111</v>
      </c>
      <c r="G64" s="462" t="s">
        <v>69</v>
      </c>
      <c r="H64" s="462" t="s">
        <v>61</v>
      </c>
      <c r="I64" s="463" t="s">
        <v>115</v>
      </c>
      <c r="J64" s="193"/>
      <c r="K64" s="209">
        <v>261.5</v>
      </c>
      <c r="L64" s="209">
        <f>L65</f>
        <v>0</v>
      </c>
      <c r="M64" s="209">
        <f>M65</f>
        <v>261.5</v>
      </c>
      <c r="N64" s="209">
        <f>N65</f>
        <v>0</v>
      </c>
    </row>
    <row r="65" spans="1:14" s="465" customFormat="1" ht="56.25">
      <c r="A65" s="194"/>
      <c r="B65" s="207" t="s">
        <v>79</v>
      </c>
      <c r="C65" s="208" t="s">
        <v>4</v>
      </c>
      <c r="D65" s="193" t="s">
        <v>89</v>
      </c>
      <c r="E65" s="193" t="s">
        <v>109</v>
      </c>
      <c r="F65" s="461" t="s">
        <v>111</v>
      </c>
      <c r="G65" s="462" t="s">
        <v>69</v>
      </c>
      <c r="H65" s="462" t="s">
        <v>61</v>
      </c>
      <c r="I65" s="463" t="s">
        <v>115</v>
      </c>
      <c r="J65" s="193" t="s">
        <v>80</v>
      </c>
      <c r="K65" s="209">
        <v>261.5</v>
      </c>
      <c r="L65" s="651">
        <f>M65-K65</f>
        <v>0</v>
      </c>
      <c r="M65" s="209">
        <v>261.5</v>
      </c>
      <c r="N65" s="209">
        <v>0</v>
      </c>
    </row>
    <row r="66" spans="1:14" s="465" customFormat="1" ht="56.25">
      <c r="A66" s="194"/>
      <c r="B66" s="207" t="s">
        <v>116</v>
      </c>
      <c r="C66" s="208" t="s">
        <v>4</v>
      </c>
      <c r="D66" s="193" t="s">
        <v>89</v>
      </c>
      <c r="E66" s="193" t="s">
        <v>109</v>
      </c>
      <c r="F66" s="461" t="s">
        <v>111</v>
      </c>
      <c r="G66" s="462" t="s">
        <v>69</v>
      </c>
      <c r="H66" s="462" t="s">
        <v>61</v>
      </c>
      <c r="I66" s="463" t="s">
        <v>117</v>
      </c>
      <c r="J66" s="193"/>
      <c r="K66" s="209">
        <v>63.9</v>
      </c>
      <c r="L66" s="209">
        <f>L67</f>
        <v>0</v>
      </c>
      <c r="M66" s="209">
        <f>M67</f>
        <v>63.9</v>
      </c>
      <c r="N66" s="209">
        <f>N67</f>
        <v>0</v>
      </c>
    </row>
    <row r="67" spans="1:14" s="465" customFormat="1" ht="56.25">
      <c r="A67" s="194"/>
      <c r="B67" s="207" t="s">
        <v>79</v>
      </c>
      <c r="C67" s="208" t="s">
        <v>4</v>
      </c>
      <c r="D67" s="193" t="s">
        <v>89</v>
      </c>
      <c r="E67" s="193" t="s">
        <v>109</v>
      </c>
      <c r="F67" s="461" t="s">
        <v>111</v>
      </c>
      <c r="G67" s="462" t="s">
        <v>69</v>
      </c>
      <c r="H67" s="462" t="s">
        <v>61</v>
      </c>
      <c r="I67" s="463" t="s">
        <v>117</v>
      </c>
      <c r="J67" s="193" t="s">
        <v>80</v>
      </c>
      <c r="K67" s="209">
        <v>63.9</v>
      </c>
      <c r="L67" s="651">
        <f>M67-K67</f>
        <v>0</v>
      </c>
      <c r="M67" s="209">
        <v>63.9</v>
      </c>
      <c r="N67" s="209">
        <v>0</v>
      </c>
    </row>
    <row r="68" spans="1:14" s="465" customFormat="1" ht="97.5" customHeight="1">
      <c r="A68" s="194"/>
      <c r="B68" s="207" t="s">
        <v>429</v>
      </c>
      <c r="C68" s="208" t="s">
        <v>4</v>
      </c>
      <c r="D68" s="193" t="s">
        <v>89</v>
      </c>
      <c r="E68" s="193" t="s">
        <v>109</v>
      </c>
      <c r="F68" s="461" t="s">
        <v>111</v>
      </c>
      <c r="G68" s="462" t="s">
        <v>69</v>
      </c>
      <c r="H68" s="462" t="s">
        <v>61</v>
      </c>
      <c r="I68" s="463" t="s">
        <v>417</v>
      </c>
      <c r="J68" s="193"/>
      <c r="K68" s="209">
        <v>2956.9</v>
      </c>
      <c r="L68" s="209">
        <f>L69</f>
        <v>0</v>
      </c>
      <c r="M68" s="209">
        <f>M69</f>
        <v>2956.9</v>
      </c>
      <c r="N68" s="209">
        <f>N69</f>
        <v>0</v>
      </c>
    </row>
    <row r="69" spans="1:14" s="465" customFormat="1" ht="18.75">
      <c r="A69" s="194"/>
      <c r="B69" s="207" t="s">
        <v>155</v>
      </c>
      <c r="C69" s="208" t="s">
        <v>4</v>
      </c>
      <c r="D69" s="193" t="s">
        <v>89</v>
      </c>
      <c r="E69" s="193" t="s">
        <v>109</v>
      </c>
      <c r="F69" s="461" t="s">
        <v>111</v>
      </c>
      <c r="G69" s="462" t="s">
        <v>69</v>
      </c>
      <c r="H69" s="462" t="s">
        <v>61</v>
      </c>
      <c r="I69" s="463" t="s">
        <v>417</v>
      </c>
      <c r="J69" s="193" t="s">
        <v>156</v>
      </c>
      <c r="K69" s="209">
        <v>2956.9</v>
      </c>
      <c r="L69" s="651">
        <f>M69-K69</f>
        <v>0</v>
      </c>
      <c r="M69" s="209">
        <v>2956.9</v>
      </c>
      <c r="N69" s="209">
        <v>0</v>
      </c>
    </row>
    <row r="70" spans="1:14" s="465" customFormat="1" ht="56.25">
      <c r="A70" s="194"/>
      <c r="B70" s="212" t="s">
        <v>118</v>
      </c>
      <c r="C70" s="208" t="s">
        <v>4</v>
      </c>
      <c r="D70" s="193" t="s">
        <v>89</v>
      </c>
      <c r="E70" s="193" t="s">
        <v>119</v>
      </c>
      <c r="F70" s="461"/>
      <c r="G70" s="462"/>
      <c r="H70" s="462"/>
      <c r="I70" s="463"/>
      <c r="J70" s="193"/>
      <c r="K70" s="209">
        <v>7603.5000000000009</v>
      </c>
      <c r="L70" s="209">
        <f t="shared" ref="L70:N71" si="8">L71</f>
        <v>0</v>
      </c>
      <c r="M70" s="209">
        <f t="shared" si="8"/>
        <v>7603.5000000000009</v>
      </c>
      <c r="N70" s="209">
        <f t="shared" si="8"/>
        <v>7359.8</v>
      </c>
    </row>
    <row r="71" spans="1:14" s="465" customFormat="1" ht="57.75" customHeight="1">
      <c r="A71" s="194"/>
      <c r="B71" s="207" t="s">
        <v>110</v>
      </c>
      <c r="C71" s="208" t="s">
        <v>4</v>
      </c>
      <c r="D71" s="193" t="s">
        <v>89</v>
      </c>
      <c r="E71" s="193" t="s">
        <v>119</v>
      </c>
      <c r="F71" s="461" t="s">
        <v>111</v>
      </c>
      <c r="G71" s="462" t="s">
        <v>66</v>
      </c>
      <c r="H71" s="462" t="s">
        <v>67</v>
      </c>
      <c r="I71" s="463" t="s">
        <v>68</v>
      </c>
      <c r="J71" s="193"/>
      <c r="K71" s="209">
        <v>7603.5000000000009</v>
      </c>
      <c r="L71" s="209">
        <f t="shared" si="8"/>
        <v>0</v>
      </c>
      <c r="M71" s="209">
        <f t="shared" si="8"/>
        <v>7603.5000000000009</v>
      </c>
      <c r="N71" s="209">
        <f t="shared" si="8"/>
        <v>7359.8</v>
      </c>
    </row>
    <row r="72" spans="1:14" s="465" customFormat="1" ht="75">
      <c r="A72" s="194"/>
      <c r="B72" s="212" t="s">
        <v>481</v>
      </c>
      <c r="C72" s="208" t="s">
        <v>4</v>
      </c>
      <c r="D72" s="193" t="s">
        <v>89</v>
      </c>
      <c r="E72" s="193" t="s">
        <v>119</v>
      </c>
      <c r="F72" s="461" t="s">
        <v>111</v>
      </c>
      <c r="G72" s="462" t="s">
        <v>54</v>
      </c>
      <c r="H72" s="462" t="s">
        <v>67</v>
      </c>
      <c r="I72" s="463" t="s">
        <v>68</v>
      </c>
      <c r="J72" s="193"/>
      <c r="K72" s="209">
        <v>7603.5000000000009</v>
      </c>
      <c r="L72" s="209">
        <f t="shared" ref="L72:N73" si="9">L73</f>
        <v>0</v>
      </c>
      <c r="M72" s="209">
        <f t="shared" si="9"/>
        <v>7603.5000000000009</v>
      </c>
      <c r="N72" s="209">
        <f t="shared" si="9"/>
        <v>7359.8</v>
      </c>
    </row>
    <row r="73" spans="1:14" s="465" customFormat="1" ht="78.75" customHeight="1">
      <c r="A73" s="194"/>
      <c r="B73" s="210" t="s">
        <v>410</v>
      </c>
      <c r="C73" s="208" t="s">
        <v>4</v>
      </c>
      <c r="D73" s="193" t="s">
        <v>89</v>
      </c>
      <c r="E73" s="193" t="s">
        <v>119</v>
      </c>
      <c r="F73" s="461" t="s">
        <v>111</v>
      </c>
      <c r="G73" s="462" t="s">
        <v>54</v>
      </c>
      <c r="H73" s="462" t="s">
        <v>61</v>
      </c>
      <c r="I73" s="463" t="s">
        <v>68</v>
      </c>
      <c r="J73" s="193"/>
      <c r="K73" s="209">
        <v>7603.5000000000009</v>
      </c>
      <c r="L73" s="209">
        <f t="shared" si="9"/>
        <v>0</v>
      </c>
      <c r="M73" s="209">
        <f t="shared" si="9"/>
        <v>7603.5000000000009</v>
      </c>
      <c r="N73" s="209">
        <f t="shared" si="9"/>
        <v>7359.8</v>
      </c>
    </row>
    <row r="74" spans="1:14" s="465" customFormat="1" ht="93.75">
      <c r="A74" s="194"/>
      <c r="B74" s="210" t="s">
        <v>121</v>
      </c>
      <c r="C74" s="208" t="s">
        <v>4</v>
      </c>
      <c r="D74" s="193" t="s">
        <v>89</v>
      </c>
      <c r="E74" s="193" t="s">
        <v>119</v>
      </c>
      <c r="F74" s="461" t="s">
        <v>111</v>
      </c>
      <c r="G74" s="462" t="s">
        <v>54</v>
      </c>
      <c r="H74" s="462" t="s">
        <v>61</v>
      </c>
      <c r="I74" s="463" t="s">
        <v>123</v>
      </c>
      <c r="J74" s="193"/>
      <c r="K74" s="209">
        <v>7603.5000000000009</v>
      </c>
      <c r="L74" s="209">
        <f>L75+L76+L77</f>
        <v>0</v>
      </c>
      <c r="M74" s="209">
        <f>M75+M76+M77</f>
        <v>7603.5000000000009</v>
      </c>
      <c r="N74" s="209">
        <f>N75+N76+N77</f>
        <v>7359.8</v>
      </c>
    </row>
    <row r="75" spans="1:14" s="465" customFormat="1" ht="112.5">
      <c r="A75" s="194"/>
      <c r="B75" s="207" t="s">
        <v>73</v>
      </c>
      <c r="C75" s="208" t="s">
        <v>4</v>
      </c>
      <c r="D75" s="193" t="s">
        <v>89</v>
      </c>
      <c r="E75" s="193" t="s">
        <v>119</v>
      </c>
      <c r="F75" s="461" t="s">
        <v>111</v>
      </c>
      <c r="G75" s="462" t="s">
        <v>54</v>
      </c>
      <c r="H75" s="462" t="s">
        <v>61</v>
      </c>
      <c r="I75" s="463" t="s">
        <v>123</v>
      </c>
      <c r="J75" s="193" t="s">
        <v>74</v>
      </c>
      <c r="K75" s="209">
        <v>6796.8</v>
      </c>
      <c r="L75" s="651">
        <f t="shared" ref="L75:L77" si="10">M75-K75</f>
        <v>0</v>
      </c>
      <c r="M75" s="209">
        <v>6796.8</v>
      </c>
      <c r="N75" s="209">
        <v>6796.8</v>
      </c>
    </row>
    <row r="76" spans="1:14" s="465" customFormat="1" ht="56.25">
      <c r="A76" s="194"/>
      <c r="B76" s="207" t="s">
        <v>79</v>
      </c>
      <c r="C76" s="208" t="s">
        <v>4</v>
      </c>
      <c r="D76" s="193" t="s">
        <v>89</v>
      </c>
      <c r="E76" s="193" t="s">
        <v>119</v>
      </c>
      <c r="F76" s="461" t="s">
        <v>111</v>
      </c>
      <c r="G76" s="462" t="s">
        <v>54</v>
      </c>
      <c r="H76" s="462" t="s">
        <v>61</v>
      </c>
      <c r="I76" s="463" t="s">
        <v>123</v>
      </c>
      <c r="J76" s="193" t="s">
        <v>80</v>
      </c>
      <c r="K76" s="209">
        <v>793.1</v>
      </c>
      <c r="L76" s="651">
        <f t="shared" si="10"/>
        <v>0</v>
      </c>
      <c r="M76" s="209">
        <f>809.1-16</f>
        <v>793.1</v>
      </c>
      <c r="N76" s="209">
        <f>559.4-10</f>
        <v>549.4</v>
      </c>
    </row>
    <row r="77" spans="1:14" s="465" customFormat="1" ht="18.75">
      <c r="A77" s="194"/>
      <c r="B77" s="207" t="s">
        <v>81</v>
      </c>
      <c r="C77" s="208" t="s">
        <v>4</v>
      </c>
      <c r="D77" s="193" t="s">
        <v>89</v>
      </c>
      <c r="E77" s="193" t="s">
        <v>119</v>
      </c>
      <c r="F77" s="461" t="s">
        <v>111</v>
      </c>
      <c r="G77" s="462" t="s">
        <v>54</v>
      </c>
      <c r="H77" s="462" t="s">
        <v>61</v>
      </c>
      <c r="I77" s="463" t="s">
        <v>123</v>
      </c>
      <c r="J77" s="193" t="s">
        <v>82</v>
      </c>
      <c r="K77" s="209">
        <v>13.6</v>
      </c>
      <c r="L77" s="651">
        <f t="shared" si="10"/>
        <v>0</v>
      </c>
      <c r="M77" s="209">
        <v>13.6</v>
      </c>
      <c r="N77" s="209">
        <v>13.6</v>
      </c>
    </row>
    <row r="78" spans="1:14" s="465" customFormat="1" ht="18.75">
      <c r="A78" s="194"/>
      <c r="B78" s="207" t="s">
        <v>124</v>
      </c>
      <c r="C78" s="208" t="s">
        <v>4</v>
      </c>
      <c r="D78" s="193" t="s">
        <v>76</v>
      </c>
      <c r="E78" s="193"/>
      <c r="F78" s="461"/>
      <c r="G78" s="462"/>
      <c r="H78" s="462"/>
      <c r="I78" s="463"/>
      <c r="J78" s="193"/>
      <c r="K78" s="209">
        <v>23781.4</v>
      </c>
      <c r="L78" s="209">
        <f>L79+L88+L94</f>
        <v>0</v>
      </c>
      <c r="M78" s="209">
        <f>M79+M88+M94</f>
        <v>23781.4</v>
      </c>
      <c r="N78" s="209">
        <f>N79+N88+N94</f>
        <v>23921.100000000002</v>
      </c>
    </row>
    <row r="79" spans="1:14" s="190" customFormat="1" ht="18.75">
      <c r="A79" s="194"/>
      <c r="B79" s="207" t="s">
        <v>125</v>
      </c>
      <c r="C79" s="208" t="s">
        <v>4</v>
      </c>
      <c r="D79" s="193" t="s">
        <v>76</v>
      </c>
      <c r="E79" s="193" t="s">
        <v>91</v>
      </c>
      <c r="F79" s="461"/>
      <c r="G79" s="462"/>
      <c r="H79" s="462"/>
      <c r="I79" s="463"/>
      <c r="J79" s="193"/>
      <c r="K79" s="209">
        <v>11254.2</v>
      </c>
      <c r="L79" s="209">
        <f t="shared" ref="L79:N80" si="11">L80</f>
        <v>0</v>
      </c>
      <c r="M79" s="209">
        <f t="shared" si="11"/>
        <v>11254.2</v>
      </c>
      <c r="N79" s="209">
        <f t="shared" si="11"/>
        <v>11254.2</v>
      </c>
    </row>
    <row r="80" spans="1:14" s="465" customFormat="1" ht="59.25" customHeight="1">
      <c r="A80" s="194"/>
      <c r="B80" s="207" t="s">
        <v>126</v>
      </c>
      <c r="C80" s="208" t="s">
        <v>4</v>
      </c>
      <c r="D80" s="193" t="s">
        <v>76</v>
      </c>
      <c r="E80" s="193" t="s">
        <v>91</v>
      </c>
      <c r="F80" s="461" t="s">
        <v>93</v>
      </c>
      <c r="G80" s="462" t="s">
        <v>66</v>
      </c>
      <c r="H80" s="462" t="s">
        <v>67</v>
      </c>
      <c r="I80" s="463" t="s">
        <v>68</v>
      </c>
      <c r="J80" s="193"/>
      <c r="K80" s="209">
        <v>11254.2</v>
      </c>
      <c r="L80" s="209">
        <f t="shared" si="11"/>
        <v>0</v>
      </c>
      <c r="M80" s="209">
        <f t="shared" si="11"/>
        <v>11254.2</v>
      </c>
      <c r="N80" s="209">
        <f t="shared" si="11"/>
        <v>11254.2</v>
      </c>
    </row>
    <row r="81" spans="1:14" s="190" customFormat="1" ht="37.5">
      <c r="A81" s="194"/>
      <c r="B81" s="207" t="s">
        <v>428</v>
      </c>
      <c r="C81" s="208" t="s">
        <v>4</v>
      </c>
      <c r="D81" s="193" t="s">
        <v>76</v>
      </c>
      <c r="E81" s="193" t="s">
        <v>91</v>
      </c>
      <c r="F81" s="461" t="s">
        <v>93</v>
      </c>
      <c r="G81" s="462" t="s">
        <v>69</v>
      </c>
      <c r="H81" s="462" t="s">
        <v>67</v>
      </c>
      <c r="I81" s="463" t="s">
        <v>68</v>
      </c>
      <c r="J81" s="193"/>
      <c r="K81" s="209">
        <v>11254.2</v>
      </c>
      <c r="L81" s="209">
        <f>L82+L85</f>
        <v>0</v>
      </c>
      <c r="M81" s="209">
        <f>M82+M85</f>
        <v>11254.2</v>
      </c>
      <c r="N81" s="209">
        <f>N82+N85</f>
        <v>11254.2</v>
      </c>
    </row>
    <row r="82" spans="1:14" s="190" customFormat="1" ht="56.25">
      <c r="A82" s="194"/>
      <c r="B82" s="207" t="s">
        <v>127</v>
      </c>
      <c r="C82" s="208" t="s">
        <v>4</v>
      </c>
      <c r="D82" s="193" t="s">
        <v>76</v>
      </c>
      <c r="E82" s="193" t="s">
        <v>91</v>
      </c>
      <c r="F82" s="461" t="s">
        <v>93</v>
      </c>
      <c r="G82" s="462" t="s">
        <v>69</v>
      </c>
      <c r="H82" s="462" t="s">
        <v>61</v>
      </c>
      <c r="I82" s="463" t="s">
        <v>68</v>
      </c>
      <c r="J82" s="193"/>
      <c r="K82" s="209">
        <v>11070.6</v>
      </c>
      <c r="L82" s="209">
        <f t="shared" ref="L82:N82" si="12">L83</f>
        <v>0</v>
      </c>
      <c r="M82" s="209">
        <f t="shared" si="12"/>
        <v>11070.6</v>
      </c>
      <c r="N82" s="209">
        <f t="shared" si="12"/>
        <v>11070.6</v>
      </c>
    </row>
    <row r="83" spans="1:14" s="190" customFormat="1" ht="75">
      <c r="A83" s="194"/>
      <c r="B83" s="250" t="s">
        <v>638</v>
      </c>
      <c r="C83" s="208" t="s">
        <v>4</v>
      </c>
      <c r="D83" s="193" t="s">
        <v>76</v>
      </c>
      <c r="E83" s="193" t="s">
        <v>91</v>
      </c>
      <c r="F83" s="461" t="s">
        <v>93</v>
      </c>
      <c r="G83" s="462" t="s">
        <v>69</v>
      </c>
      <c r="H83" s="462" t="s">
        <v>61</v>
      </c>
      <c r="I83" s="463" t="s">
        <v>86</v>
      </c>
      <c r="J83" s="193"/>
      <c r="K83" s="209">
        <v>11070.6</v>
      </c>
      <c r="L83" s="209">
        <f>L84</f>
        <v>0</v>
      </c>
      <c r="M83" s="209">
        <f>M84</f>
        <v>11070.6</v>
      </c>
      <c r="N83" s="209">
        <f>N84</f>
        <v>11070.6</v>
      </c>
    </row>
    <row r="84" spans="1:14" s="465" customFormat="1" ht="18.75">
      <c r="A84" s="194"/>
      <c r="B84" s="207" t="s">
        <v>81</v>
      </c>
      <c r="C84" s="208" t="s">
        <v>4</v>
      </c>
      <c r="D84" s="193" t="s">
        <v>76</v>
      </c>
      <c r="E84" s="193" t="s">
        <v>91</v>
      </c>
      <c r="F84" s="461" t="s">
        <v>93</v>
      </c>
      <c r="G84" s="462" t="s">
        <v>69</v>
      </c>
      <c r="H84" s="462" t="s">
        <v>61</v>
      </c>
      <c r="I84" s="463" t="s">
        <v>86</v>
      </c>
      <c r="J84" s="193" t="s">
        <v>82</v>
      </c>
      <c r="K84" s="209">
        <v>11070.6</v>
      </c>
      <c r="L84" s="651">
        <f>M84-K84</f>
        <v>0</v>
      </c>
      <c r="M84" s="209">
        <v>11070.6</v>
      </c>
      <c r="N84" s="209">
        <v>11070.6</v>
      </c>
    </row>
    <row r="85" spans="1:14" s="190" customFormat="1" ht="57" customHeight="1">
      <c r="A85" s="194"/>
      <c r="B85" s="207" t="s">
        <v>128</v>
      </c>
      <c r="C85" s="208" t="s">
        <v>4</v>
      </c>
      <c r="D85" s="193" t="s">
        <v>76</v>
      </c>
      <c r="E85" s="193" t="s">
        <v>91</v>
      </c>
      <c r="F85" s="461" t="s">
        <v>93</v>
      </c>
      <c r="G85" s="462" t="s">
        <v>69</v>
      </c>
      <c r="H85" s="462" t="s">
        <v>63</v>
      </c>
      <c r="I85" s="463" t="s">
        <v>68</v>
      </c>
      <c r="J85" s="193"/>
      <c r="K85" s="209">
        <v>183.6</v>
      </c>
      <c r="L85" s="209">
        <f t="shared" ref="L85:N86" si="13">L86</f>
        <v>0</v>
      </c>
      <c r="M85" s="209">
        <f t="shared" si="13"/>
        <v>183.6</v>
      </c>
      <c r="N85" s="209">
        <f t="shared" si="13"/>
        <v>183.6</v>
      </c>
    </row>
    <row r="86" spans="1:14" s="190" customFormat="1" ht="172.5" customHeight="1">
      <c r="A86" s="194"/>
      <c r="B86" s="207" t="s">
        <v>784</v>
      </c>
      <c r="C86" s="208" t="s">
        <v>4</v>
      </c>
      <c r="D86" s="193" t="s">
        <v>76</v>
      </c>
      <c r="E86" s="193" t="s">
        <v>91</v>
      </c>
      <c r="F86" s="461" t="s">
        <v>93</v>
      </c>
      <c r="G86" s="462" t="s">
        <v>69</v>
      </c>
      <c r="H86" s="462" t="s">
        <v>63</v>
      </c>
      <c r="I86" s="463" t="s">
        <v>129</v>
      </c>
      <c r="J86" s="193"/>
      <c r="K86" s="209">
        <v>183.6</v>
      </c>
      <c r="L86" s="209">
        <f t="shared" si="13"/>
        <v>0</v>
      </c>
      <c r="M86" s="209">
        <f t="shared" si="13"/>
        <v>183.6</v>
      </c>
      <c r="N86" s="209">
        <f t="shared" si="13"/>
        <v>183.6</v>
      </c>
    </row>
    <row r="87" spans="1:14" s="465" customFormat="1" ht="56.25">
      <c r="A87" s="194"/>
      <c r="B87" s="207" t="s">
        <v>79</v>
      </c>
      <c r="C87" s="208" t="s">
        <v>4</v>
      </c>
      <c r="D87" s="193" t="s">
        <v>76</v>
      </c>
      <c r="E87" s="193" t="s">
        <v>91</v>
      </c>
      <c r="F87" s="461" t="s">
        <v>93</v>
      </c>
      <c r="G87" s="462" t="s">
        <v>69</v>
      </c>
      <c r="H87" s="462" t="s">
        <v>63</v>
      </c>
      <c r="I87" s="463" t="s">
        <v>129</v>
      </c>
      <c r="J87" s="193" t="s">
        <v>80</v>
      </c>
      <c r="K87" s="209">
        <v>183.6</v>
      </c>
      <c r="L87" s="651">
        <f>M87-K87</f>
        <v>0</v>
      </c>
      <c r="M87" s="209">
        <v>183.6</v>
      </c>
      <c r="N87" s="209">
        <v>183.6</v>
      </c>
    </row>
    <row r="88" spans="1:14" s="190" customFormat="1" ht="18.75">
      <c r="A88" s="194"/>
      <c r="B88" s="212" t="s">
        <v>130</v>
      </c>
      <c r="C88" s="208" t="s">
        <v>4</v>
      </c>
      <c r="D88" s="193" t="s">
        <v>76</v>
      </c>
      <c r="E88" s="193" t="s">
        <v>109</v>
      </c>
      <c r="F88" s="461"/>
      <c r="G88" s="462"/>
      <c r="H88" s="462"/>
      <c r="I88" s="463"/>
      <c r="J88" s="193"/>
      <c r="K88" s="209">
        <v>6753.2</v>
      </c>
      <c r="L88" s="209">
        <f t="shared" ref="L88:N92" si="14">L89</f>
        <v>0</v>
      </c>
      <c r="M88" s="209">
        <f t="shared" si="14"/>
        <v>6753.2</v>
      </c>
      <c r="N88" s="209">
        <f t="shared" si="14"/>
        <v>7509.6</v>
      </c>
    </row>
    <row r="89" spans="1:14" s="465" customFormat="1" ht="56.25">
      <c r="A89" s="194"/>
      <c r="B89" s="207" t="s">
        <v>131</v>
      </c>
      <c r="C89" s="208" t="s">
        <v>4</v>
      </c>
      <c r="D89" s="193" t="s">
        <v>76</v>
      </c>
      <c r="E89" s="193" t="s">
        <v>109</v>
      </c>
      <c r="F89" s="461" t="s">
        <v>132</v>
      </c>
      <c r="G89" s="462" t="s">
        <v>66</v>
      </c>
      <c r="H89" s="462" t="s">
        <v>67</v>
      </c>
      <c r="I89" s="463" t="s">
        <v>68</v>
      </c>
      <c r="J89" s="193"/>
      <c r="K89" s="209">
        <v>6753.2</v>
      </c>
      <c r="L89" s="209">
        <f t="shared" si="14"/>
        <v>0</v>
      </c>
      <c r="M89" s="209">
        <f t="shared" si="14"/>
        <v>6753.2</v>
      </c>
      <c r="N89" s="209">
        <f t="shared" si="14"/>
        <v>7509.6</v>
      </c>
    </row>
    <row r="90" spans="1:14" s="190" customFormat="1" ht="37.5">
      <c r="A90" s="194"/>
      <c r="B90" s="207" t="s">
        <v>428</v>
      </c>
      <c r="C90" s="208" t="s">
        <v>4</v>
      </c>
      <c r="D90" s="193" t="s">
        <v>76</v>
      </c>
      <c r="E90" s="193" t="s">
        <v>109</v>
      </c>
      <c r="F90" s="461" t="s">
        <v>132</v>
      </c>
      <c r="G90" s="462" t="s">
        <v>69</v>
      </c>
      <c r="H90" s="462" t="s">
        <v>67</v>
      </c>
      <c r="I90" s="463" t="s">
        <v>68</v>
      </c>
      <c r="J90" s="193"/>
      <c r="K90" s="209">
        <v>6753.2</v>
      </c>
      <c r="L90" s="209">
        <f t="shared" si="14"/>
        <v>0</v>
      </c>
      <c r="M90" s="209">
        <f t="shared" si="14"/>
        <v>6753.2</v>
      </c>
      <c r="N90" s="209">
        <f t="shared" si="14"/>
        <v>7509.6</v>
      </c>
    </row>
    <row r="91" spans="1:14" s="190" customFormat="1" ht="93.75">
      <c r="A91" s="194"/>
      <c r="B91" s="207" t="s">
        <v>133</v>
      </c>
      <c r="C91" s="208" t="s">
        <v>4</v>
      </c>
      <c r="D91" s="193" t="s">
        <v>76</v>
      </c>
      <c r="E91" s="193" t="s">
        <v>109</v>
      </c>
      <c r="F91" s="461" t="s">
        <v>132</v>
      </c>
      <c r="G91" s="462" t="s">
        <v>69</v>
      </c>
      <c r="H91" s="462" t="s">
        <v>61</v>
      </c>
      <c r="I91" s="463" t="s">
        <v>68</v>
      </c>
      <c r="J91" s="193"/>
      <c r="K91" s="209">
        <v>6753.2</v>
      </c>
      <c r="L91" s="209">
        <f t="shared" si="14"/>
        <v>0</v>
      </c>
      <c r="M91" s="209">
        <f t="shared" si="14"/>
        <v>6753.2</v>
      </c>
      <c r="N91" s="209">
        <f t="shared" si="14"/>
        <v>7509.6</v>
      </c>
    </row>
    <row r="92" spans="1:14" s="190" customFormat="1" ht="75.75" customHeight="1">
      <c r="A92" s="194"/>
      <c r="B92" s="213" t="s">
        <v>134</v>
      </c>
      <c r="C92" s="208" t="s">
        <v>4</v>
      </c>
      <c r="D92" s="193" t="s">
        <v>76</v>
      </c>
      <c r="E92" s="193" t="s">
        <v>109</v>
      </c>
      <c r="F92" s="461" t="s">
        <v>132</v>
      </c>
      <c r="G92" s="462" t="s">
        <v>69</v>
      </c>
      <c r="H92" s="462" t="s">
        <v>61</v>
      </c>
      <c r="I92" s="463" t="s">
        <v>135</v>
      </c>
      <c r="J92" s="193"/>
      <c r="K92" s="209">
        <v>6753.2</v>
      </c>
      <c r="L92" s="209">
        <f t="shared" si="14"/>
        <v>0</v>
      </c>
      <c r="M92" s="209">
        <f t="shared" si="14"/>
        <v>6753.2</v>
      </c>
      <c r="N92" s="209">
        <f t="shared" si="14"/>
        <v>7509.6</v>
      </c>
    </row>
    <row r="93" spans="1:14" s="465" customFormat="1" ht="56.25">
      <c r="A93" s="194"/>
      <c r="B93" s="207" t="s">
        <v>79</v>
      </c>
      <c r="C93" s="208" t="s">
        <v>4</v>
      </c>
      <c r="D93" s="193" t="s">
        <v>76</v>
      </c>
      <c r="E93" s="193" t="s">
        <v>109</v>
      </c>
      <c r="F93" s="461" t="s">
        <v>132</v>
      </c>
      <c r="G93" s="462" t="s">
        <v>69</v>
      </c>
      <c r="H93" s="462" t="s">
        <v>61</v>
      </c>
      <c r="I93" s="463" t="s">
        <v>135</v>
      </c>
      <c r="J93" s="193" t="s">
        <v>80</v>
      </c>
      <c r="K93" s="209">
        <v>6753.2</v>
      </c>
      <c r="L93" s="651">
        <f>M93-K93</f>
        <v>0</v>
      </c>
      <c r="M93" s="209">
        <v>6753.2</v>
      </c>
      <c r="N93" s="209">
        <v>7509.6</v>
      </c>
    </row>
    <row r="94" spans="1:14" s="190" customFormat="1" ht="37.5">
      <c r="A94" s="194"/>
      <c r="B94" s="212" t="s">
        <v>138</v>
      </c>
      <c r="C94" s="208" t="s">
        <v>4</v>
      </c>
      <c r="D94" s="193" t="s">
        <v>76</v>
      </c>
      <c r="E94" s="193" t="s">
        <v>132</v>
      </c>
      <c r="F94" s="461"/>
      <c r="G94" s="462"/>
      <c r="H94" s="462"/>
      <c r="I94" s="463"/>
      <c r="J94" s="193"/>
      <c r="K94" s="209">
        <v>5774</v>
      </c>
      <c r="L94" s="209">
        <f>L95+L100+L105</f>
        <v>0</v>
      </c>
      <c r="M94" s="209">
        <f>M95+M100+M105</f>
        <v>5774</v>
      </c>
      <c r="N94" s="209">
        <f>N95+N100+N105</f>
        <v>5157.3</v>
      </c>
    </row>
    <row r="95" spans="1:14" s="465" customFormat="1" ht="75">
      <c r="A95" s="194"/>
      <c r="B95" s="207" t="s">
        <v>139</v>
      </c>
      <c r="C95" s="208" t="s">
        <v>4</v>
      </c>
      <c r="D95" s="193" t="s">
        <v>76</v>
      </c>
      <c r="E95" s="193" t="s">
        <v>132</v>
      </c>
      <c r="F95" s="461" t="s">
        <v>100</v>
      </c>
      <c r="G95" s="462" t="s">
        <v>66</v>
      </c>
      <c r="H95" s="462" t="s">
        <v>67</v>
      </c>
      <c r="I95" s="463" t="s">
        <v>68</v>
      </c>
      <c r="J95" s="193"/>
      <c r="K95" s="209">
        <v>366.7</v>
      </c>
      <c r="L95" s="209">
        <f>L96</f>
        <v>0</v>
      </c>
      <c r="M95" s="209">
        <f>M96</f>
        <v>366.7</v>
      </c>
      <c r="N95" s="209">
        <f>N96</f>
        <v>0</v>
      </c>
    </row>
    <row r="96" spans="1:14" s="465" customFormat="1" ht="37.5">
      <c r="A96" s="194"/>
      <c r="B96" s="212" t="s">
        <v>144</v>
      </c>
      <c r="C96" s="208" t="s">
        <v>4</v>
      </c>
      <c r="D96" s="193" t="s">
        <v>76</v>
      </c>
      <c r="E96" s="193" t="s">
        <v>132</v>
      </c>
      <c r="F96" s="461" t="s">
        <v>100</v>
      </c>
      <c r="G96" s="462" t="s">
        <v>120</v>
      </c>
      <c r="H96" s="462" t="s">
        <v>67</v>
      </c>
      <c r="I96" s="463" t="s">
        <v>68</v>
      </c>
      <c r="J96" s="193"/>
      <c r="K96" s="209">
        <v>366.7</v>
      </c>
      <c r="L96" s="209">
        <f t="shared" ref="L96:N98" si="15">L97</f>
        <v>0</v>
      </c>
      <c r="M96" s="209">
        <f t="shared" si="15"/>
        <v>366.7</v>
      </c>
      <c r="N96" s="209">
        <f t="shared" si="15"/>
        <v>0</v>
      </c>
    </row>
    <row r="97" spans="1:15" s="190" customFormat="1" ht="56.25">
      <c r="A97" s="194"/>
      <c r="B97" s="212" t="s">
        <v>145</v>
      </c>
      <c r="C97" s="208" t="s">
        <v>4</v>
      </c>
      <c r="D97" s="193" t="s">
        <v>76</v>
      </c>
      <c r="E97" s="193" t="s">
        <v>132</v>
      </c>
      <c r="F97" s="461" t="s">
        <v>100</v>
      </c>
      <c r="G97" s="462" t="s">
        <v>120</v>
      </c>
      <c r="H97" s="462" t="s">
        <v>61</v>
      </c>
      <c r="I97" s="463" t="s">
        <v>68</v>
      </c>
      <c r="J97" s="193"/>
      <c r="K97" s="209">
        <v>366.7</v>
      </c>
      <c r="L97" s="209">
        <f t="shared" si="15"/>
        <v>0</v>
      </c>
      <c r="M97" s="209">
        <f t="shared" si="15"/>
        <v>366.7</v>
      </c>
      <c r="N97" s="209">
        <f t="shared" si="15"/>
        <v>0</v>
      </c>
    </row>
    <row r="98" spans="1:15" s="465" customFormat="1" ht="79.5" customHeight="1">
      <c r="A98" s="194"/>
      <c r="B98" s="212" t="s">
        <v>146</v>
      </c>
      <c r="C98" s="208" t="s">
        <v>4</v>
      </c>
      <c r="D98" s="193" t="s">
        <v>76</v>
      </c>
      <c r="E98" s="193" t="s">
        <v>132</v>
      </c>
      <c r="F98" s="461" t="s">
        <v>100</v>
      </c>
      <c r="G98" s="462" t="s">
        <v>120</v>
      </c>
      <c r="H98" s="462" t="s">
        <v>61</v>
      </c>
      <c r="I98" s="463" t="s">
        <v>147</v>
      </c>
      <c r="J98" s="193"/>
      <c r="K98" s="209">
        <v>366.7</v>
      </c>
      <c r="L98" s="209">
        <f t="shared" si="15"/>
        <v>0</v>
      </c>
      <c r="M98" s="209">
        <f t="shared" si="15"/>
        <v>366.7</v>
      </c>
      <c r="N98" s="209">
        <f t="shared" si="15"/>
        <v>0</v>
      </c>
    </row>
    <row r="99" spans="1:15" s="190" customFormat="1" ht="56.25">
      <c r="A99" s="194"/>
      <c r="B99" s="207" t="s">
        <v>79</v>
      </c>
      <c r="C99" s="208" t="s">
        <v>4</v>
      </c>
      <c r="D99" s="193" t="s">
        <v>76</v>
      </c>
      <c r="E99" s="193" t="s">
        <v>132</v>
      </c>
      <c r="F99" s="461" t="s">
        <v>100</v>
      </c>
      <c r="G99" s="462" t="s">
        <v>120</v>
      </c>
      <c r="H99" s="462" t="s">
        <v>61</v>
      </c>
      <c r="I99" s="463" t="s">
        <v>147</v>
      </c>
      <c r="J99" s="193" t="s">
        <v>80</v>
      </c>
      <c r="K99" s="209">
        <v>366.7</v>
      </c>
      <c r="L99" s="651">
        <f>M99-K99</f>
        <v>0</v>
      </c>
      <c r="M99" s="209">
        <v>366.7</v>
      </c>
      <c r="N99" s="209">
        <v>0</v>
      </c>
    </row>
    <row r="100" spans="1:15" s="465" customFormat="1" ht="75">
      <c r="A100" s="194"/>
      <c r="B100" s="207" t="s">
        <v>148</v>
      </c>
      <c r="C100" s="208" t="s">
        <v>4</v>
      </c>
      <c r="D100" s="193" t="s">
        <v>76</v>
      </c>
      <c r="E100" s="193" t="s">
        <v>132</v>
      </c>
      <c r="F100" s="461" t="s">
        <v>119</v>
      </c>
      <c r="G100" s="462" t="s">
        <v>66</v>
      </c>
      <c r="H100" s="462" t="s">
        <v>67</v>
      </c>
      <c r="I100" s="463" t="s">
        <v>68</v>
      </c>
      <c r="J100" s="193"/>
      <c r="K100" s="209">
        <v>779</v>
      </c>
      <c r="L100" s="209">
        <f t="shared" ref="L100:N101" si="16">L101</f>
        <v>0</v>
      </c>
      <c r="M100" s="209">
        <f t="shared" si="16"/>
        <v>779</v>
      </c>
      <c r="N100" s="209">
        <f t="shared" si="16"/>
        <v>779</v>
      </c>
    </row>
    <row r="101" spans="1:15" s="465" customFormat="1" ht="37.5">
      <c r="A101" s="194"/>
      <c r="B101" s="207" t="s">
        <v>428</v>
      </c>
      <c r="C101" s="208" t="s">
        <v>4</v>
      </c>
      <c r="D101" s="193" t="s">
        <v>76</v>
      </c>
      <c r="E101" s="193" t="s">
        <v>132</v>
      </c>
      <c r="F101" s="461" t="s">
        <v>119</v>
      </c>
      <c r="G101" s="462" t="s">
        <v>69</v>
      </c>
      <c r="H101" s="462" t="s">
        <v>67</v>
      </c>
      <c r="I101" s="463" t="s">
        <v>68</v>
      </c>
      <c r="J101" s="193"/>
      <c r="K101" s="209">
        <v>779</v>
      </c>
      <c r="L101" s="209">
        <f t="shared" si="16"/>
        <v>0</v>
      </c>
      <c r="M101" s="209">
        <f t="shared" si="16"/>
        <v>779</v>
      </c>
      <c r="N101" s="209">
        <f t="shared" si="16"/>
        <v>779</v>
      </c>
    </row>
    <row r="102" spans="1:15" s="190" customFormat="1" ht="75">
      <c r="A102" s="194"/>
      <c r="B102" s="212" t="s">
        <v>382</v>
      </c>
      <c r="C102" s="208" t="s">
        <v>4</v>
      </c>
      <c r="D102" s="193" t="s">
        <v>76</v>
      </c>
      <c r="E102" s="193" t="s">
        <v>132</v>
      </c>
      <c r="F102" s="461" t="s">
        <v>119</v>
      </c>
      <c r="G102" s="462" t="s">
        <v>69</v>
      </c>
      <c r="H102" s="462" t="s">
        <v>61</v>
      </c>
      <c r="I102" s="463" t="s">
        <v>68</v>
      </c>
      <c r="J102" s="193"/>
      <c r="K102" s="209">
        <v>779</v>
      </c>
      <c r="L102" s="209">
        <f>L103</f>
        <v>0</v>
      </c>
      <c r="M102" s="209">
        <f>M103</f>
        <v>779</v>
      </c>
      <c r="N102" s="209">
        <f>N103</f>
        <v>779</v>
      </c>
    </row>
    <row r="103" spans="1:15" s="190" customFormat="1" ht="75">
      <c r="A103" s="622"/>
      <c r="B103" s="612" t="s">
        <v>537</v>
      </c>
      <c r="C103" s="613" t="s">
        <v>4</v>
      </c>
      <c r="D103" s="614" t="s">
        <v>76</v>
      </c>
      <c r="E103" s="614" t="s">
        <v>132</v>
      </c>
      <c r="F103" s="615" t="s">
        <v>119</v>
      </c>
      <c r="G103" s="616" t="s">
        <v>69</v>
      </c>
      <c r="H103" s="616" t="s">
        <v>61</v>
      </c>
      <c r="I103" s="617" t="s">
        <v>536</v>
      </c>
      <c r="J103" s="614"/>
      <c r="K103" s="573">
        <v>779</v>
      </c>
      <c r="L103" s="573">
        <f t="shared" ref="L103:N103" si="17">L104</f>
        <v>0</v>
      </c>
      <c r="M103" s="573">
        <f t="shared" si="17"/>
        <v>779</v>
      </c>
      <c r="N103" s="573">
        <f t="shared" si="17"/>
        <v>779</v>
      </c>
      <c r="O103" s="623"/>
    </row>
    <row r="104" spans="1:15" s="190" customFormat="1" ht="56.25">
      <c r="A104" s="622"/>
      <c r="B104" s="612" t="s">
        <v>79</v>
      </c>
      <c r="C104" s="613" t="s">
        <v>4</v>
      </c>
      <c r="D104" s="614" t="s">
        <v>76</v>
      </c>
      <c r="E104" s="614" t="s">
        <v>132</v>
      </c>
      <c r="F104" s="615" t="s">
        <v>119</v>
      </c>
      <c r="G104" s="616" t="s">
        <v>69</v>
      </c>
      <c r="H104" s="616" t="s">
        <v>61</v>
      </c>
      <c r="I104" s="617" t="s">
        <v>536</v>
      </c>
      <c r="J104" s="614" t="s">
        <v>80</v>
      </c>
      <c r="K104" s="573">
        <v>779</v>
      </c>
      <c r="L104" s="651">
        <f>M104-K104</f>
        <v>0</v>
      </c>
      <c r="M104" s="573">
        <f>39+740</f>
        <v>779</v>
      </c>
      <c r="N104" s="573">
        <f>740+39</f>
        <v>779</v>
      </c>
      <c r="O104" s="623"/>
    </row>
    <row r="105" spans="1:15" s="190" customFormat="1" ht="58.5" customHeight="1">
      <c r="A105" s="194"/>
      <c r="B105" s="207" t="s">
        <v>64</v>
      </c>
      <c r="C105" s="208" t="s">
        <v>4</v>
      </c>
      <c r="D105" s="193" t="s">
        <v>76</v>
      </c>
      <c r="E105" s="193" t="s">
        <v>132</v>
      </c>
      <c r="F105" s="461" t="s">
        <v>65</v>
      </c>
      <c r="G105" s="462" t="s">
        <v>66</v>
      </c>
      <c r="H105" s="462" t="s">
        <v>67</v>
      </c>
      <c r="I105" s="463" t="s">
        <v>68</v>
      </c>
      <c r="J105" s="193"/>
      <c r="K105" s="209">
        <v>4628.3</v>
      </c>
      <c r="L105" s="209">
        <f t="shared" ref="L105:N106" si="18">L106</f>
        <v>0</v>
      </c>
      <c r="M105" s="209">
        <f t="shared" si="18"/>
        <v>4628.3</v>
      </c>
      <c r="N105" s="209">
        <f t="shared" si="18"/>
        <v>4378.3</v>
      </c>
    </row>
    <row r="106" spans="1:15" s="190" customFormat="1" ht="37.5">
      <c r="A106" s="194"/>
      <c r="B106" s="207" t="s">
        <v>428</v>
      </c>
      <c r="C106" s="208" t="s">
        <v>4</v>
      </c>
      <c r="D106" s="193" t="s">
        <v>76</v>
      </c>
      <c r="E106" s="193" t="s">
        <v>132</v>
      </c>
      <c r="F106" s="461" t="s">
        <v>65</v>
      </c>
      <c r="G106" s="462" t="s">
        <v>69</v>
      </c>
      <c r="H106" s="462" t="s">
        <v>67</v>
      </c>
      <c r="I106" s="463" t="s">
        <v>68</v>
      </c>
      <c r="J106" s="193"/>
      <c r="K106" s="209">
        <v>4628.3</v>
      </c>
      <c r="L106" s="209">
        <f t="shared" si="18"/>
        <v>0</v>
      </c>
      <c r="M106" s="209">
        <f t="shared" si="18"/>
        <v>4628.3</v>
      </c>
      <c r="N106" s="209">
        <f t="shared" si="18"/>
        <v>4378.3</v>
      </c>
    </row>
    <row r="107" spans="1:15" s="190" customFormat="1" ht="56.25">
      <c r="A107" s="194"/>
      <c r="B107" s="207" t="s">
        <v>420</v>
      </c>
      <c r="C107" s="208" t="s">
        <v>4</v>
      </c>
      <c r="D107" s="193" t="s">
        <v>76</v>
      </c>
      <c r="E107" s="193" t="s">
        <v>132</v>
      </c>
      <c r="F107" s="461" t="s">
        <v>65</v>
      </c>
      <c r="G107" s="462" t="s">
        <v>69</v>
      </c>
      <c r="H107" s="462" t="s">
        <v>119</v>
      </c>
      <c r="I107" s="463" t="s">
        <v>68</v>
      </c>
      <c r="J107" s="193"/>
      <c r="K107" s="209">
        <v>4628.3</v>
      </c>
      <c r="L107" s="209">
        <f>L108</f>
        <v>0</v>
      </c>
      <c r="M107" s="209">
        <f>M108</f>
        <v>4628.3</v>
      </c>
      <c r="N107" s="209">
        <f>N108</f>
        <v>4378.3</v>
      </c>
    </row>
    <row r="108" spans="1:15" s="190" customFormat="1" ht="93.75">
      <c r="A108" s="194"/>
      <c r="B108" s="207" t="s">
        <v>121</v>
      </c>
      <c r="C108" s="208" t="s">
        <v>4</v>
      </c>
      <c r="D108" s="193" t="s">
        <v>76</v>
      </c>
      <c r="E108" s="193" t="s">
        <v>132</v>
      </c>
      <c r="F108" s="461" t="s">
        <v>65</v>
      </c>
      <c r="G108" s="462" t="s">
        <v>69</v>
      </c>
      <c r="H108" s="462" t="s">
        <v>119</v>
      </c>
      <c r="I108" s="463" t="s">
        <v>123</v>
      </c>
      <c r="J108" s="193"/>
      <c r="K108" s="209">
        <v>4628.3</v>
      </c>
      <c r="L108" s="209">
        <f>L109+L110</f>
        <v>0</v>
      </c>
      <c r="M108" s="209">
        <f>M109+M110</f>
        <v>4628.3</v>
      </c>
      <c r="N108" s="209">
        <f>N109+N110</f>
        <v>4378.3</v>
      </c>
    </row>
    <row r="109" spans="1:15" s="190" customFormat="1" ht="112.5">
      <c r="A109" s="194"/>
      <c r="B109" s="207" t="s">
        <v>73</v>
      </c>
      <c r="C109" s="208" t="s">
        <v>4</v>
      </c>
      <c r="D109" s="193" t="s">
        <v>76</v>
      </c>
      <c r="E109" s="193" t="s">
        <v>132</v>
      </c>
      <c r="F109" s="461" t="s">
        <v>65</v>
      </c>
      <c r="G109" s="462" t="s">
        <v>69</v>
      </c>
      <c r="H109" s="462" t="s">
        <v>119</v>
      </c>
      <c r="I109" s="463" t="s">
        <v>123</v>
      </c>
      <c r="J109" s="193" t="s">
        <v>74</v>
      </c>
      <c r="K109" s="209">
        <v>4317.1000000000004</v>
      </c>
      <c r="L109" s="651">
        <f t="shared" ref="L109:L110" si="19">M109-K109</f>
        <v>0</v>
      </c>
      <c r="M109" s="209">
        <v>4317.1000000000004</v>
      </c>
      <c r="N109" s="209">
        <v>4317.1000000000004</v>
      </c>
    </row>
    <row r="110" spans="1:15" s="190" customFormat="1" ht="56.25">
      <c r="A110" s="194"/>
      <c r="B110" s="207" t="s">
        <v>79</v>
      </c>
      <c r="C110" s="208" t="s">
        <v>4</v>
      </c>
      <c r="D110" s="193" t="s">
        <v>76</v>
      </c>
      <c r="E110" s="193" t="s">
        <v>132</v>
      </c>
      <c r="F110" s="461" t="s">
        <v>65</v>
      </c>
      <c r="G110" s="462" t="s">
        <v>69</v>
      </c>
      <c r="H110" s="462" t="s">
        <v>119</v>
      </c>
      <c r="I110" s="463" t="s">
        <v>123</v>
      </c>
      <c r="J110" s="193" t="s">
        <v>80</v>
      </c>
      <c r="K110" s="209">
        <v>311.2</v>
      </c>
      <c r="L110" s="651">
        <f t="shared" si="19"/>
        <v>0</v>
      </c>
      <c r="M110" s="209">
        <f>311.2</f>
        <v>311.2</v>
      </c>
      <c r="N110" s="209">
        <f>61.2</f>
        <v>61.2</v>
      </c>
    </row>
    <row r="111" spans="1:15" s="465" customFormat="1" ht="18.75">
      <c r="A111" s="194"/>
      <c r="B111" s="207" t="s">
        <v>151</v>
      </c>
      <c r="C111" s="208" t="s">
        <v>4</v>
      </c>
      <c r="D111" s="193" t="s">
        <v>136</v>
      </c>
      <c r="E111" s="193"/>
      <c r="F111" s="461"/>
      <c r="G111" s="462"/>
      <c r="H111" s="462"/>
      <c r="I111" s="463"/>
      <c r="J111" s="193"/>
      <c r="K111" s="209">
        <v>552</v>
      </c>
      <c r="L111" s="209">
        <f>L112</f>
        <v>0</v>
      </c>
      <c r="M111" s="209">
        <f>M112</f>
        <v>552</v>
      </c>
      <c r="N111" s="209">
        <f>N112</f>
        <v>0</v>
      </c>
    </row>
    <row r="112" spans="1:15" s="465" customFormat="1" ht="18.75">
      <c r="A112" s="194"/>
      <c r="B112" s="207" t="s">
        <v>456</v>
      </c>
      <c r="C112" s="208" t="s">
        <v>4</v>
      </c>
      <c r="D112" s="193" t="s">
        <v>136</v>
      </c>
      <c r="E112" s="193" t="s">
        <v>61</v>
      </c>
      <c r="F112" s="461"/>
      <c r="G112" s="462"/>
      <c r="H112" s="462"/>
      <c r="I112" s="463"/>
      <c r="J112" s="193"/>
      <c r="K112" s="209">
        <v>552</v>
      </c>
      <c r="L112" s="209">
        <f t="shared" ref="L112:N116" si="20">L113</f>
        <v>0</v>
      </c>
      <c r="M112" s="209">
        <f t="shared" si="20"/>
        <v>552</v>
      </c>
      <c r="N112" s="209">
        <f t="shared" si="20"/>
        <v>0</v>
      </c>
    </row>
    <row r="113" spans="1:14" s="465" customFormat="1" ht="56.25">
      <c r="A113" s="194"/>
      <c r="B113" s="214" t="s">
        <v>361</v>
      </c>
      <c r="C113" s="208" t="s">
        <v>4</v>
      </c>
      <c r="D113" s="193" t="s">
        <v>136</v>
      </c>
      <c r="E113" s="193" t="s">
        <v>61</v>
      </c>
      <c r="F113" s="461" t="s">
        <v>109</v>
      </c>
      <c r="G113" s="462" t="s">
        <v>66</v>
      </c>
      <c r="H113" s="462" t="s">
        <v>67</v>
      </c>
      <c r="I113" s="463" t="s">
        <v>68</v>
      </c>
      <c r="J113" s="193"/>
      <c r="K113" s="209">
        <v>552</v>
      </c>
      <c r="L113" s="209">
        <f t="shared" si="20"/>
        <v>0</v>
      </c>
      <c r="M113" s="209">
        <f t="shared" si="20"/>
        <v>552</v>
      </c>
      <c r="N113" s="209">
        <f t="shared" si="20"/>
        <v>0</v>
      </c>
    </row>
    <row r="114" spans="1:14" s="465" customFormat="1" ht="37.5">
      <c r="A114" s="194"/>
      <c r="B114" s="207" t="s">
        <v>428</v>
      </c>
      <c r="C114" s="208" t="s">
        <v>4</v>
      </c>
      <c r="D114" s="193" t="s">
        <v>136</v>
      </c>
      <c r="E114" s="193" t="s">
        <v>61</v>
      </c>
      <c r="F114" s="461" t="s">
        <v>109</v>
      </c>
      <c r="G114" s="462" t="s">
        <v>69</v>
      </c>
      <c r="H114" s="462" t="s">
        <v>67</v>
      </c>
      <c r="I114" s="463" t="s">
        <v>68</v>
      </c>
      <c r="J114" s="193"/>
      <c r="K114" s="209">
        <v>552</v>
      </c>
      <c r="L114" s="209">
        <f t="shared" si="20"/>
        <v>0</v>
      </c>
      <c r="M114" s="209">
        <f t="shared" si="20"/>
        <v>552</v>
      </c>
      <c r="N114" s="209">
        <f t="shared" si="20"/>
        <v>0</v>
      </c>
    </row>
    <row r="115" spans="1:14" s="465" customFormat="1" ht="93.75">
      <c r="A115" s="194"/>
      <c r="B115" s="210" t="s">
        <v>470</v>
      </c>
      <c r="C115" s="208" t="s">
        <v>4</v>
      </c>
      <c r="D115" s="193" t="s">
        <v>136</v>
      </c>
      <c r="E115" s="193" t="s">
        <v>61</v>
      </c>
      <c r="F115" s="461" t="s">
        <v>109</v>
      </c>
      <c r="G115" s="462" t="s">
        <v>69</v>
      </c>
      <c r="H115" s="462" t="s">
        <v>76</v>
      </c>
      <c r="I115" s="463" t="s">
        <v>68</v>
      </c>
      <c r="J115" s="193"/>
      <c r="K115" s="209">
        <v>552</v>
      </c>
      <c r="L115" s="209">
        <f t="shared" si="20"/>
        <v>0</v>
      </c>
      <c r="M115" s="209">
        <f t="shared" si="20"/>
        <v>552</v>
      </c>
      <c r="N115" s="209">
        <f t="shared" si="20"/>
        <v>0</v>
      </c>
    </row>
    <row r="116" spans="1:14" s="465" customFormat="1" ht="75.75" customHeight="1">
      <c r="A116" s="194"/>
      <c r="B116" s="210" t="s">
        <v>458</v>
      </c>
      <c r="C116" s="208" t="s">
        <v>4</v>
      </c>
      <c r="D116" s="193" t="s">
        <v>136</v>
      </c>
      <c r="E116" s="193" t="s">
        <v>61</v>
      </c>
      <c r="F116" s="461" t="s">
        <v>109</v>
      </c>
      <c r="G116" s="462" t="s">
        <v>69</v>
      </c>
      <c r="H116" s="462" t="s">
        <v>76</v>
      </c>
      <c r="I116" s="463" t="s">
        <v>457</v>
      </c>
      <c r="J116" s="193"/>
      <c r="K116" s="209">
        <v>552</v>
      </c>
      <c r="L116" s="209">
        <f t="shared" si="20"/>
        <v>0</v>
      </c>
      <c r="M116" s="209">
        <f t="shared" si="20"/>
        <v>552</v>
      </c>
      <c r="N116" s="209">
        <f t="shared" si="20"/>
        <v>0</v>
      </c>
    </row>
    <row r="117" spans="1:14" s="465" customFormat="1" ht="37.5">
      <c r="A117" s="194"/>
      <c r="B117" s="211" t="s">
        <v>152</v>
      </c>
      <c r="C117" s="208" t="s">
        <v>4</v>
      </c>
      <c r="D117" s="193" t="s">
        <v>136</v>
      </c>
      <c r="E117" s="193" t="s">
        <v>61</v>
      </c>
      <c r="F117" s="461" t="s">
        <v>109</v>
      </c>
      <c r="G117" s="462" t="s">
        <v>69</v>
      </c>
      <c r="H117" s="462" t="s">
        <v>76</v>
      </c>
      <c r="I117" s="463" t="s">
        <v>457</v>
      </c>
      <c r="J117" s="193" t="s">
        <v>153</v>
      </c>
      <c r="K117" s="209">
        <v>552</v>
      </c>
      <c r="L117" s="651">
        <f>M117-K117</f>
        <v>0</v>
      </c>
      <c r="M117" s="209">
        <v>552</v>
      </c>
      <c r="N117" s="209">
        <v>0</v>
      </c>
    </row>
    <row r="118" spans="1:14" s="465" customFormat="1" ht="37.5">
      <c r="A118" s="194"/>
      <c r="B118" s="211" t="s">
        <v>506</v>
      </c>
      <c r="C118" s="208" t="s">
        <v>4</v>
      </c>
      <c r="D118" s="193" t="s">
        <v>100</v>
      </c>
      <c r="E118" s="193"/>
      <c r="F118" s="461"/>
      <c r="G118" s="462"/>
      <c r="H118" s="462"/>
      <c r="I118" s="463"/>
      <c r="J118" s="193"/>
      <c r="K118" s="209">
        <v>16.5</v>
      </c>
      <c r="L118" s="209">
        <f t="shared" ref="L118:N123" si="21">L119</f>
        <v>0</v>
      </c>
      <c r="M118" s="209">
        <f t="shared" si="21"/>
        <v>16.5</v>
      </c>
      <c r="N118" s="209">
        <f t="shared" si="21"/>
        <v>9.4</v>
      </c>
    </row>
    <row r="119" spans="1:14" s="465" customFormat="1" ht="37.5">
      <c r="A119" s="194"/>
      <c r="B119" s="211" t="s">
        <v>507</v>
      </c>
      <c r="C119" s="208" t="s">
        <v>4</v>
      </c>
      <c r="D119" s="193" t="s">
        <v>100</v>
      </c>
      <c r="E119" s="193" t="s">
        <v>61</v>
      </c>
      <c r="F119" s="461"/>
      <c r="G119" s="462"/>
      <c r="H119" s="462"/>
      <c r="I119" s="463"/>
      <c r="J119" s="193"/>
      <c r="K119" s="209">
        <v>16.5</v>
      </c>
      <c r="L119" s="209">
        <f t="shared" si="21"/>
        <v>0</v>
      </c>
      <c r="M119" s="209">
        <f t="shared" si="21"/>
        <v>16.5</v>
      </c>
      <c r="N119" s="209">
        <f t="shared" si="21"/>
        <v>9.4</v>
      </c>
    </row>
    <row r="120" spans="1:14" s="465" customFormat="1" ht="55.5" customHeight="1">
      <c r="A120" s="194"/>
      <c r="B120" s="207" t="s">
        <v>64</v>
      </c>
      <c r="C120" s="208" t="s">
        <v>4</v>
      </c>
      <c r="D120" s="193" t="s">
        <v>100</v>
      </c>
      <c r="E120" s="193" t="s">
        <v>61</v>
      </c>
      <c r="F120" s="461" t="s">
        <v>65</v>
      </c>
      <c r="G120" s="462" t="s">
        <v>66</v>
      </c>
      <c r="H120" s="462" t="s">
        <v>67</v>
      </c>
      <c r="I120" s="463" t="s">
        <v>68</v>
      </c>
      <c r="J120" s="193"/>
      <c r="K120" s="209">
        <v>16.5</v>
      </c>
      <c r="L120" s="209">
        <f t="shared" si="21"/>
        <v>0</v>
      </c>
      <c r="M120" s="209">
        <f t="shared" si="21"/>
        <v>16.5</v>
      </c>
      <c r="N120" s="209">
        <f t="shared" si="21"/>
        <v>9.4</v>
      </c>
    </row>
    <row r="121" spans="1:14" s="465" customFormat="1" ht="37.5">
      <c r="A121" s="194"/>
      <c r="B121" s="207" t="s">
        <v>428</v>
      </c>
      <c r="C121" s="208" t="s">
        <v>4</v>
      </c>
      <c r="D121" s="193" t="s">
        <v>100</v>
      </c>
      <c r="E121" s="193" t="s">
        <v>61</v>
      </c>
      <c r="F121" s="461" t="s">
        <v>65</v>
      </c>
      <c r="G121" s="462" t="s">
        <v>69</v>
      </c>
      <c r="H121" s="462" t="s">
        <v>67</v>
      </c>
      <c r="I121" s="463" t="s">
        <v>68</v>
      </c>
      <c r="J121" s="193"/>
      <c r="K121" s="209">
        <v>16.5</v>
      </c>
      <c r="L121" s="209">
        <f t="shared" si="21"/>
        <v>0</v>
      </c>
      <c r="M121" s="209">
        <f t="shared" si="21"/>
        <v>16.5</v>
      </c>
      <c r="N121" s="209">
        <f t="shared" si="21"/>
        <v>9.4</v>
      </c>
    </row>
    <row r="122" spans="1:14" s="465" customFormat="1" ht="56.25">
      <c r="A122" s="194"/>
      <c r="B122" s="211" t="s">
        <v>508</v>
      </c>
      <c r="C122" s="208" t="s">
        <v>4</v>
      </c>
      <c r="D122" s="193" t="s">
        <v>100</v>
      </c>
      <c r="E122" s="193" t="s">
        <v>61</v>
      </c>
      <c r="F122" s="461" t="s">
        <v>65</v>
      </c>
      <c r="G122" s="462" t="s">
        <v>69</v>
      </c>
      <c r="H122" s="462" t="s">
        <v>109</v>
      </c>
      <c r="I122" s="463" t="s">
        <v>68</v>
      </c>
      <c r="J122" s="193"/>
      <c r="K122" s="209">
        <v>16.5</v>
      </c>
      <c r="L122" s="209">
        <f t="shared" si="21"/>
        <v>0</v>
      </c>
      <c r="M122" s="209">
        <f t="shared" si="21"/>
        <v>16.5</v>
      </c>
      <c r="N122" s="209">
        <f t="shared" si="21"/>
        <v>9.4</v>
      </c>
    </row>
    <row r="123" spans="1:14" s="465" customFormat="1" ht="24.75" customHeight="1">
      <c r="A123" s="194"/>
      <c r="B123" s="211" t="s">
        <v>509</v>
      </c>
      <c r="C123" s="208" t="s">
        <v>4</v>
      </c>
      <c r="D123" s="193" t="s">
        <v>100</v>
      </c>
      <c r="E123" s="193" t="s">
        <v>61</v>
      </c>
      <c r="F123" s="461" t="s">
        <v>65</v>
      </c>
      <c r="G123" s="462" t="s">
        <v>69</v>
      </c>
      <c r="H123" s="462" t="s">
        <v>109</v>
      </c>
      <c r="I123" s="463" t="s">
        <v>510</v>
      </c>
      <c r="J123" s="193"/>
      <c r="K123" s="209">
        <v>16.5</v>
      </c>
      <c r="L123" s="209">
        <f t="shared" si="21"/>
        <v>0</v>
      </c>
      <c r="M123" s="209">
        <f t="shared" si="21"/>
        <v>16.5</v>
      </c>
      <c r="N123" s="209">
        <f t="shared" si="21"/>
        <v>9.4</v>
      </c>
    </row>
    <row r="124" spans="1:14" s="465" customFormat="1" ht="37.5">
      <c r="A124" s="194"/>
      <c r="B124" s="211" t="s">
        <v>511</v>
      </c>
      <c r="C124" s="208" t="s">
        <v>4</v>
      </c>
      <c r="D124" s="193" t="s">
        <v>100</v>
      </c>
      <c r="E124" s="193" t="s">
        <v>61</v>
      </c>
      <c r="F124" s="461" t="s">
        <v>65</v>
      </c>
      <c r="G124" s="462" t="s">
        <v>69</v>
      </c>
      <c r="H124" s="462" t="s">
        <v>109</v>
      </c>
      <c r="I124" s="463" t="s">
        <v>510</v>
      </c>
      <c r="J124" s="193" t="s">
        <v>512</v>
      </c>
      <c r="K124" s="209">
        <v>16.5</v>
      </c>
      <c r="L124" s="651">
        <f>M124-K124</f>
        <v>0</v>
      </c>
      <c r="M124" s="209">
        <f>16+0.5</f>
        <v>16.5</v>
      </c>
      <c r="N124" s="209">
        <f>10-0.6</f>
        <v>9.4</v>
      </c>
    </row>
    <row r="125" spans="1:14" s="465" customFormat="1" ht="18.75">
      <c r="A125" s="194"/>
      <c r="B125" s="211"/>
      <c r="C125" s="208"/>
      <c r="D125" s="193"/>
      <c r="E125" s="193"/>
      <c r="F125" s="461"/>
      <c r="G125" s="462"/>
      <c r="H125" s="462"/>
      <c r="I125" s="463"/>
      <c r="J125" s="193"/>
      <c r="K125" s="209"/>
      <c r="L125" s="209"/>
      <c r="M125" s="209"/>
      <c r="N125" s="209"/>
    </row>
    <row r="126" spans="1:14" ht="56.25">
      <c r="A126" s="464">
        <v>2</v>
      </c>
      <c r="B126" s="201" t="s">
        <v>14</v>
      </c>
      <c r="C126" s="202" t="s">
        <v>376</v>
      </c>
      <c r="D126" s="203"/>
      <c r="E126" s="203"/>
      <c r="F126" s="204"/>
      <c r="G126" s="205"/>
      <c r="H126" s="205"/>
      <c r="I126" s="206"/>
      <c r="J126" s="203"/>
      <c r="K126" s="235">
        <v>29816.6</v>
      </c>
      <c r="L126" s="235">
        <f>L127+L136</f>
        <v>0</v>
      </c>
      <c r="M126" s="235">
        <f>M127+M136</f>
        <v>29816.6</v>
      </c>
      <c r="N126" s="235">
        <f>N127+N136</f>
        <v>29446.5</v>
      </c>
    </row>
    <row r="127" spans="1:14" s="471" customFormat="1" ht="18.75">
      <c r="A127" s="194"/>
      <c r="B127" s="207" t="s">
        <v>60</v>
      </c>
      <c r="C127" s="208" t="s">
        <v>376</v>
      </c>
      <c r="D127" s="193" t="s">
        <v>61</v>
      </c>
      <c r="E127" s="193"/>
      <c r="F127" s="461"/>
      <c r="G127" s="462"/>
      <c r="H127" s="462"/>
      <c r="I127" s="463"/>
      <c r="J127" s="193"/>
      <c r="K127" s="209">
        <v>24566.6</v>
      </c>
      <c r="L127" s="209">
        <f>L128</f>
        <v>0</v>
      </c>
      <c r="M127" s="209">
        <f>M128</f>
        <v>24566.6</v>
      </c>
      <c r="N127" s="209">
        <f>N128</f>
        <v>24196.5</v>
      </c>
    </row>
    <row r="128" spans="1:14" s="472" customFormat="1" ht="75">
      <c r="A128" s="194"/>
      <c r="B128" s="207" t="s">
        <v>162</v>
      </c>
      <c r="C128" s="208" t="s">
        <v>376</v>
      </c>
      <c r="D128" s="193" t="s">
        <v>61</v>
      </c>
      <c r="E128" s="193" t="s">
        <v>111</v>
      </c>
      <c r="F128" s="461"/>
      <c r="G128" s="462"/>
      <c r="H128" s="462"/>
      <c r="I128" s="463"/>
      <c r="J128" s="193"/>
      <c r="K128" s="209">
        <v>24566.6</v>
      </c>
      <c r="L128" s="209">
        <f t="shared" ref="L128:N131" si="22">L129</f>
        <v>0</v>
      </c>
      <c r="M128" s="209">
        <f t="shared" si="22"/>
        <v>24566.6</v>
      </c>
      <c r="N128" s="209">
        <f t="shared" si="22"/>
        <v>24196.5</v>
      </c>
    </row>
    <row r="129" spans="1:14" s="465" customFormat="1" ht="54.75" customHeight="1">
      <c r="A129" s="194"/>
      <c r="B129" s="207" t="s">
        <v>262</v>
      </c>
      <c r="C129" s="208" t="s">
        <v>376</v>
      </c>
      <c r="D129" s="193" t="s">
        <v>61</v>
      </c>
      <c r="E129" s="193" t="s">
        <v>111</v>
      </c>
      <c r="F129" s="461" t="s">
        <v>263</v>
      </c>
      <c r="G129" s="462" t="s">
        <v>66</v>
      </c>
      <c r="H129" s="462" t="s">
        <v>67</v>
      </c>
      <c r="I129" s="463" t="s">
        <v>68</v>
      </c>
      <c r="J129" s="193"/>
      <c r="K129" s="209">
        <v>24566.6</v>
      </c>
      <c r="L129" s="209">
        <f t="shared" si="22"/>
        <v>0</v>
      </c>
      <c r="M129" s="209">
        <f t="shared" si="22"/>
        <v>24566.6</v>
      </c>
      <c r="N129" s="209">
        <f t="shared" si="22"/>
        <v>24196.5</v>
      </c>
    </row>
    <row r="130" spans="1:14" s="465" customFormat="1" ht="37.5">
      <c r="A130" s="194"/>
      <c r="B130" s="207" t="s">
        <v>428</v>
      </c>
      <c r="C130" s="208" t="s">
        <v>376</v>
      </c>
      <c r="D130" s="193" t="s">
        <v>61</v>
      </c>
      <c r="E130" s="193" t="s">
        <v>111</v>
      </c>
      <c r="F130" s="215" t="s">
        <v>263</v>
      </c>
      <c r="G130" s="216" t="s">
        <v>69</v>
      </c>
      <c r="H130" s="462" t="s">
        <v>67</v>
      </c>
      <c r="I130" s="463" t="s">
        <v>68</v>
      </c>
      <c r="J130" s="193"/>
      <c r="K130" s="209">
        <v>24566.6</v>
      </c>
      <c r="L130" s="209">
        <f>L131</f>
        <v>0</v>
      </c>
      <c r="M130" s="209">
        <f>M131</f>
        <v>24566.6</v>
      </c>
      <c r="N130" s="209">
        <f>N131</f>
        <v>24196.5</v>
      </c>
    </row>
    <row r="131" spans="1:14" s="465" customFormat="1" ht="56.25">
      <c r="A131" s="194"/>
      <c r="B131" s="207" t="s">
        <v>377</v>
      </c>
      <c r="C131" s="208" t="s">
        <v>376</v>
      </c>
      <c r="D131" s="193" t="s">
        <v>61</v>
      </c>
      <c r="E131" s="193" t="s">
        <v>111</v>
      </c>
      <c r="F131" s="215" t="s">
        <v>263</v>
      </c>
      <c r="G131" s="216" t="s">
        <v>69</v>
      </c>
      <c r="H131" s="462" t="s">
        <v>61</v>
      </c>
      <c r="I131" s="463" t="s">
        <v>68</v>
      </c>
      <c r="J131" s="193"/>
      <c r="K131" s="209">
        <v>24566.6</v>
      </c>
      <c r="L131" s="209">
        <f t="shared" si="22"/>
        <v>0</v>
      </c>
      <c r="M131" s="209">
        <f t="shared" si="22"/>
        <v>24566.6</v>
      </c>
      <c r="N131" s="209">
        <f t="shared" si="22"/>
        <v>24196.5</v>
      </c>
    </row>
    <row r="132" spans="1:14" s="465" customFormat="1" ht="37.5">
      <c r="A132" s="194"/>
      <c r="B132" s="207" t="s">
        <v>71</v>
      </c>
      <c r="C132" s="208" t="s">
        <v>376</v>
      </c>
      <c r="D132" s="193" t="s">
        <v>61</v>
      </c>
      <c r="E132" s="193" t="s">
        <v>111</v>
      </c>
      <c r="F132" s="215" t="s">
        <v>263</v>
      </c>
      <c r="G132" s="216" t="s">
        <v>69</v>
      </c>
      <c r="H132" s="462" t="s">
        <v>61</v>
      </c>
      <c r="I132" s="463" t="s">
        <v>72</v>
      </c>
      <c r="J132" s="193"/>
      <c r="K132" s="209">
        <v>24566.6</v>
      </c>
      <c r="L132" s="209">
        <f>SUM(L133:L135)</f>
        <v>0</v>
      </c>
      <c r="M132" s="209">
        <f>SUM(M133:M135)</f>
        <v>24566.6</v>
      </c>
      <c r="N132" s="209">
        <f>SUM(N133:N135)</f>
        <v>24196.5</v>
      </c>
    </row>
    <row r="133" spans="1:14" s="465" customFormat="1" ht="112.5">
      <c r="A133" s="194"/>
      <c r="B133" s="207" t="s">
        <v>73</v>
      </c>
      <c r="C133" s="208" t="s">
        <v>376</v>
      </c>
      <c r="D133" s="193" t="s">
        <v>61</v>
      </c>
      <c r="E133" s="193" t="s">
        <v>111</v>
      </c>
      <c r="F133" s="215" t="s">
        <v>263</v>
      </c>
      <c r="G133" s="216" t="s">
        <v>69</v>
      </c>
      <c r="H133" s="462" t="s">
        <v>61</v>
      </c>
      <c r="I133" s="463" t="s">
        <v>72</v>
      </c>
      <c r="J133" s="193" t="s">
        <v>74</v>
      </c>
      <c r="K133" s="209">
        <v>23283.5</v>
      </c>
      <c r="L133" s="651">
        <f t="shared" ref="L133:L135" si="23">M133-K133</f>
        <v>0</v>
      </c>
      <c r="M133" s="209">
        <v>23283.5</v>
      </c>
      <c r="N133" s="209">
        <v>23283.5</v>
      </c>
    </row>
    <row r="134" spans="1:14" s="465" customFormat="1" ht="56.25">
      <c r="A134" s="194"/>
      <c r="B134" s="207" t="s">
        <v>79</v>
      </c>
      <c r="C134" s="208" t="s">
        <v>376</v>
      </c>
      <c r="D134" s="193" t="s">
        <v>61</v>
      </c>
      <c r="E134" s="193" t="s">
        <v>111</v>
      </c>
      <c r="F134" s="215" t="s">
        <v>263</v>
      </c>
      <c r="G134" s="216" t="s">
        <v>69</v>
      </c>
      <c r="H134" s="462" t="s">
        <v>61</v>
      </c>
      <c r="I134" s="463" t="s">
        <v>72</v>
      </c>
      <c r="J134" s="193" t="s">
        <v>80</v>
      </c>
      <c r="K134" s="209">
        <v>1278.3</v>
      </c>
      <c r="L134" s="651">
        <f t="shared" si="23"/>
        <v>0</v>
      </c>
      <c r="M134" s="209">
        <v>1278.3</v>
      </c>
      <c r="N134" s="209">
        <v>910</v>
      </c>
    </row>
    <row r="135" spans="1:14" s="472" customFormat="1" ht="18.75">
      <c r="A135" s="194"/>
      <c r="B135" s="207" t="s">
        <v>81</v>
      </c>
      <c r="C135" s="208" t="s">
        <v>376</v>
      </c>
      <c r="D135" s="193" t="s">
        <v>61</v>
      </c>
      <c r="E135" s="193" t="s">
        <v>111</v>
      </c>
      <c r="F135" s="215" t="s">
        <v>263</v>
      </c>
      <c r="G135" s="216" t="s">
        <v>69</v>
      </c>
      <c r="H135" s="462" t="s">
        <v>61</v>
      </c>
      <c r="I135" s="463" t="s">
        <v>72</v>
      </c>
      <c r="J135" s="193" t="s">
        <v>82</v>
      </c>
      <c r="K135" s="209">
        <v>4.8</v>
      </c>
      <c r="L135" s="651">
        <f t="shared" si="23"/>
        <v>0</v>
      </c>
      <c r="M135" s="209">
        <v>4.8</v>
      </c>
      <c r="N135" s="209">
        <v>3</v>
      </c>
    </row>
    <row r="136" spans="1:14" s="472" customFormat="1" ht="56.25">
      <c r="A136" s="194"/>
      <c r="B136" s="207" t="s">
        <v>239</v>
      </c>
      <c r="C136" s="208" t="s">
        <v>376</v>
      </c>
      <c r="D136" s="193" t="s">
        <v>119</v>
      </c>
      <c r="E136" s="193"/>
      <c r="F136" s="215"/>
      <c r="G136" s="216"/>
      <c r="H136" s="462"/>
      <c r="I136" s="463"/>
      <c r="J136" s="193"/>
      <c r="K136" s="209">
        <v>5250</v>
      </c>
      <c r="L136" s="209">
        <f t="shared" ref="L136:N139" si="24">L137</f>
        <v>0</v>
      </c>
      <c r="M136" s="209">
        <f t="shared" si="24"/>
        <v>5250</v>
      </c>
      <c r="N136" s="209">
        <f t="shared" si="24"/>
        <v>5250</v>
      </c>
    </row>
    <row r="137" spans="1:14" s="472" customFormat="1" ht="56.25">
      <c r="A137" s="194"/>
      <c r="B137" s="213" t="s">
        <v>240</v>
      </c>
      <c r="C137" s="208" t="s">
        <v>376</v>
      </c>
      <c r="D137" s="193" t="s">
        <v>119</v>
      </c>
      <c r="E137" s="193" t="s">
        <v>61</v>
      </c>
      <c r="F137" s="215"/>
      <c r="G137" s="216"/>
      <c r="H137" s="462"/>
      <c r="I137" s="463"/>
      <c r="J137" s="193"/>
      <c r="K137" s="209">
        <v>5250</v>
      </c>
      <c r="L137" s="209">
        <f t="shared" si="24"/>
        <v>0</v>
      </c>
      <c r="M137" s="209">
        <f t="shared" si="24"/>
        <v>5250</v>
      </c>
      <c r="N137" s="209">
        <f t="shared" si="24"/>
        <v>5250</v>
      </c>
    </row>
    <row r="138" spans="1:14" s="472" customFormat="1" ht="60.75" customHeight="1">
      <c r="A138" s="194"/>
      <c r="B138" s="207" t="s">
        <v>262</v>
      </c>
      <c r="C138" s="208" t="s">
        <v>376</v>
      </c>
      <c r="D138" s="193" t="s">
        <v>119</v>
      </c>
      <c r="E138" s="193" t="s">
        <v>61</v>
      </c>
      <c r="F138" s="215" t="s">
        <v>263</v>
      </c>
      <c r="G138" s="216" t="s">
        <v>66</v>
      </c>
      <c r="H138" s="462" t="s">
        <v>67</v>
      </c>
      <c r="I138" s="463" t="s">
        <v>68</v>
      </c>
      <c r="J138" s="193"/>
      <c r="K138" s="209">
        <v>5250</v>
      </c>
      <c r="L138" s="209">
        <f t="shared" si="24"/>
        <v>0</v>
      </c>
      <c r="M138" s="209">
        <f t="shared" si="24"/>
        <v>5250</v>
      </c>
      <c r="N138" s="209">
        <f t="shared" si="24"/>
        <v>5250</v>
      </c>
    </row>
    <row r="139" spans="1:14" s="472" customFormat="1" ht="37.5">
      <c r="A139" s="194"/>
      <c r="B139" s="207" t="s">
        <v>428</v>
      </c>
      <c r="C139" s="208" t="s">
        <v>376</v>
      </c>
      <c r="D139" s="193" t="s">
        <v>119</v>
      </c>
      <c r="E139" s="193" t="s">
        <v>61</v>
      </c>
      <c r="F139" s="215" t="s">
        <v>263</v>
      </c>
      <c r="G139" s="216" t="s">
        <v>69</v>
      </c>
      <c r="H139" s="462" t="s">
        <v>67</v>
      </c>
      <c r="I139" s="463" t="s">
        <v>68</v>
      </c>
      <c r="J139" s="193"/>
      <c r="K139" s="209">
        <v>5250</v>
      </c>
      <c r="L139" s="209">
        <f t="shared" si="24"/>
        <v>0</v>
      </c>
      <c r="M139" s="209">
        <f t="shared" si="24"/>
        <v>5250</v>
      </c>
      <c r="N139" s="209">
        <f t="shared" si="24"/>
        <v>5250</v>
      </c>
    </row>
    <row r="140" spans="1:14" s="472" customFormat="1" ht="37.5">
      <c r="A140" s="194"/>
      <c r="B140" s="207" t="s">
        <v>378</v>
      </c>
      <c r="C140" s="208" t="s">
        <v>376</v>
      </c>
      <c r="D140" s="193" t="s">
        <v>119</v>
      </c>
      <c r="E140" s="193" t="s">
        <v>61</v>
      </c>
      <c r="F140" s="215" t="s">
        <v>263</v>
      </c>
      <c r="G140" s="216" t="s">
        <v>69</v>
      </c>
      <c r="H140" s="462" t="s">
        <v>63</v>
      </c>
      <c r="I140" s="463" t="s">
        <v>68</v>
      </c>
      <c r="J140" s="193"/>
      <c r="K140" s="209">
        <v>5250</v>
      </c>
      <c r="L140" s="209">
        <f>L141</f>
        <v>0</v>
      </c>
      <c r="M140" s="209">
        <f>M141</f>
        <v>5250</v>
      </c>
      <c r="N140" s="209">
        <f>N141</f>
        <v>5250</v>
      </c>
    </row>
    <row r="141" spans="1:14" s="472" customFormat="1" ht="37.5">
      <c r="A141" s="194"/>
      <c r="B141" s="207" t="s">
        <v>320</v>
      </c>
      <c r="C141" s="208" t="s">
        <v>376</v>
      </c>
      <c r="D141" s="193" t="s">
        <v>119</v>
      </c>
      <c r="E141" s="193" t="s">
        <v>61</v>
      </c>
      <c r="F141" s="215" t="s">
        <v>263</v>
      </c>
      <c r="G141" s="216" t="s">
        <v>69</v>
      </c>
      <c r="H141" s="462" t="s">
        <v>63</v>
      </c>
      <c r="I141" s="463" t="s">
        <v>620</v>
      </c>
      <c r="J141" s="193"/>
      <c r="K141" s="209">
        <v>5250</v>
      </c>
      <c r="L141" s="209">
        <f t="shared" ref="L141:N141" si="25">L142</f>
        <v>0</v>
      </c>
      <c r="M141" s="209">
        <f t="shared" si="25"/>
        <v>5250</v>
      </c>
      <c r="N141" s="209">
        <f t="shared" si="25"/>
        <v>5250</v>
      </c>
    </row>
    <row r="142" spans="1:14" s="472" customFormat="1" ht="18.75">
      <c r="A142" s="194"/>
      <c r="B142" s="207" t="s">
        <v>155</v>
      </c>
      <c r="C142" s="208" t="s">
        <v>376</v>
      </c>
      <c r="D142" s="193" t="s">
        <v>119</v>
      </c>
      <c r="E142" s="193" t="s">
        <v>61</v>
      </c>
      <c r="F142" s="215" t="s">
        <v>263</v>
      </c>
      <c r="G142" s="216" t="s">
        <v>69</v>
      </c>
      <c r="H142" s="462" t="s">
        <v>63</v>
      </c>
      <c r="I142" s="463" t="s">
        <v>620</v>
      </c>
      <c r="J142" s="193" t="s">
        <v>156</v>
      </c>
      <c r="K142" s="209">
        <v>5250</v>
      </c>
      <c r="L142" s="651">
        <f>M142-K142</f>
        <v>0</v>
      </c>
      <c r="M142" s="209">
        <v>5250</v>
      </c>
      <c r="N142" s="209">
        <v>5250</v>
      </c>
    </row>
    <row r="143" spans="1:14" s="472" customFormat="1" ht="18.75">
      <c r="A143" s="194"/>
      <c r="B143" s="207"/>
      <c r="C143" s="208"/>
      <c r="D143" s="193"/>
      <c r="E143" s="193"/>
      <c r="F143" s="215"/>
      <c r="G143" s="216"/>
      <c r="H143" s="462"/>
      <c r="I143" s="463"/>
      <c r="J143" s="193"/>
      <c r="K143" s="209"/>
      <c r="L143" s="209"/>
      <c r="M143" s="209"/>
      <c r="N143" s="209"/>
    </row>
    <row r="144" spans="1:14" s="473" customFormat="1" ht="56.25">
      <c r="A144" s="464">
        <v>3</v>
      </c>
      <c r="B144" s="201" t="s">
        <v>59</v>
      </c>
      <c r="C144" s="202" t="s">
        <v>161</v>
      </c>
      <c r="D144" s="203"/>
      <c r="E144" s="203"/>
      <c r="F144" s="204"/>
      <c r="G144" s="205"/>
      <c r="H144" s="205"/>
      <c r="I144" s="206"/>
      <c r="J144" s="203"/>
      <c r="K144" s="235">
        <v>4148</v>
      </c>
      <c r="L144" s="235">
        <f t="shared" ref="L144:N147" si="26">L145</f>
        <v>0</v>
      </c>
      <c r="M144" s="235">
        <f t="shared" si="26"/>
        <v>4148</v>
      </c>
      <c r="N144" s="235">
        <f t="shared" si="26"/>
        <v>3943.2</v>
      </c>
    </row>
    <row r="145" spans="1:14" s="473" customFormat="1" ht="18.75">
      <c r="A145" s="194"/>
      <c r="B145" s="207" t="s">
        <v>60</v>
      </c>
      <c r="C145" s="208" t="s">
        <v>161</v>
      </c>
      <c r="D145" s="193" t="s">
        <v>61</v>
      </c>
      <c r="E145" s="193"/>
      <c r="F145" s="461"/>
      <c r="G145" s="462"/>
      <c r="H145" s="462"/>
      <c r="I145" s="463"/>
      <c r="J145" s="193"/>
      <c r="K145" s="209">
        <v>4148</v>
      </c>
      <c r="L145" s="209">
        <f t="shared" si="26"/>
        <v>0</v>
      </c>
      <c r="M145" s="209">
        <f t="shared" si="26"/>
        <v>4148</v>
      </c>
      <c r="N145" s="209">
        <f t="shared" si="26"/>
        <v>3943.2</v>
      </c>
    </row>
    <row r="146" spans="1:14" s="473" customFormat="1" ht="75">
      <c r="A146" s="194"/>
      <c r="B146" s="207" t="s">
        <v>162</v>
      </c>
      <c r="C146" s="208" t="s">
        <v>161</v>
      </c>
      <c r="D146" s="193" t="s">
        <v>61</v>
      </c>
      <c r="E146" s="193" t="s">
        <v>111</v>
      </c>
      <c r="F146" s="461"/>
      <c r="G146" s="462"/>
      <c r="H146" s="462"/>
      <c r="I146" s="463"/>
      <c r="J146" s="193"/>
      <c r="K146" s="209">
        <v>4148</v>
      </c>
      <c r="L146" s="209">
        <f t="shared" si="26"/>
        <v>0</v>
      </c>
      <c r="M146" s="209">
        <f t="shared" si="26"/>
        <v>4148</v>
      </c>
      <c r="N146" s="209">
        <f t="shared" si="26"/>
        <v>3943.2</v>
      </c>
    </row>
    <row r="147" spans="1:14" s="473" customFormat="1" ht="42.75" customHeight="1">
      <c r="A147" s="194"/>
      <c r="B147" s="210" t="s">
        <v>163</v>
      </c>
      <c r="C147" s="208" t="s">
        <v>161</v>
      </c>
      <c r="D147" s="193" t="s">
        <v>61</v>
      </c>
      <c r="E147" s="193" t="s">
        <v>111</v>
      </c>
      <c r="F147" s="461" t="s">
        <v>164</v>
      </c>
      <c r="G147" s="462" t="s">
        <v>66</v>
      </c>
      <c r="H147" s="462" t="s">
        <v>67</v>
      </c>
      <c r="I147" s="463" t="s">
        <v>68</v>
      </c>
      <c r="J147" s="193"/>
      <c r="K147" s="209">
        <v>4148</v>
      </c>
      <c r="L147" s="209">
        <f t="shared" si="26"/>
        <v>0</v>
      </c>
      <c r="M147" s="209">
        <f t="shared" si="26"/>
        <v>4148</v>
      </c>
      <c r="N147" s="209">
        <f t="shared" si="26"/>
        <v>3943.2</v>
      </c>
    </row>
    <row r="148" spans="1:14" s="473" customFormat="1" ht="62.25" customHeight="1">
      <c r="A148" s="194"/>
      <c r="B148" s="210" t="s">
        <v>166</v>
      </c>
      <c r="C148" s="208" t="s">
        <v>161</v>
      </c>
      <c r="D148" s="193" t="s">
        <v>61</v>
      </c>
      <c r="E148" s="193" t="s">
        <v>111</v>
      </c>
      <c r="F148" s="461" t="s">
        <v>164</v>
      </c>
      <c r="G148" s="462" t="s">
        <v>69</v>
      </c>
      <c r="H148" s="462" t="s">
        <v>67</v>
      </c>
      <c r="I148" s="463" t="s">
        <v>68</v>
      </c>
      <c r="J148" s="193"/>
      <c r="K148" s="209">
        <v>4148</v>
      </c>
      <c r="L148" s="209">
        <f>L149+L152</f>
        <v>0</v>
      </c>
      <c r="M148" s="209">
        <f>M149+M152</f>
        <v>4148</v>
      </c>
      <c r="N148" s="209">
        <f>N149+N152</f>
        <v>3943.2</v>
      </c>
    </row>
    <row r="149" spans="1:14" s="473" customFormat="1" ht="37.5">
      <c r="A149" s="194"/>
      <c r="B149" s="207" t="s">
        <v>165</v>
      </c>
      <c r="C149" s="208" t="s">
        <v>161</v>
      </c>
      <c r="D149" s="193" t="s">
        <v>61</v>
      </c>
      <c r="E149" s="193" t="s">
        <v>111</v>
      </c>
      <c r="F149" s="461" t="s">
        <v>164</v>
      </c>
      <c r="G149" s="462" t="s">
        <v>69</v>
      </c>
      <c r="H149" s="462" t="s">
        <v>61</v>
      </c>
      <c r="I149" s="463" t="s">
        <v>68</v>
      </c>
      <c r="J149" s="193"/>
      <c r="K149" s="209">
        <v>1227.7</v>
      </c>
      <c r="L149" s="209">
        <f t="shared" ref="L149:N150" si="27">L150</f>
        <v>0</v>
      </c>
      <c r="M149" s="209">
        <f t="shared" si="27"/>
        <v>1227.7</v>
      </c>
      <c r="N149" s="209">
        <f t="shared" si="27"/>
        <v>1227.7</v>
      </c>
    </row>
    <row r="150" spans="1:14" s="473" customFormat="1" ht="37.5">
      <c r="A150" s="194"/>
      <c r="B150" s="207" t="s">
        <v>71</v>
      </c>
      <c r="C150" s="208" t="s">
        <v>161</v>
      </c>
      <c r="D150" s="193" t="s">
        <v>61</v>
      </c>
      <c r="E150" s="193" t="s">
        <v>111</v>
      </c>
      <c r="F150" s="461" t="s">
        <v>164</v>
      </c>
      <c r="G150" s="462" t="s">
        <v>69</v>
      </c>
      <c r="H150" s="462" t="s">
        <v>61</v>
      </c>
      <c r="I150" s="463" t="s">
        <v>72</v>
      </c>
      <c r="J150" s="193"/>
      <c r="K150" s="209">
        <v>1227.7</v>
      </c>
      <c r="L150" s="209">
        <f t="shared" si="27"/>
        <v>0</v>
      </c>
      <c r="M150" s="209">
        <f t="shared" si="27"/>
        <v>1227.7</v>
      </c>
      <c r="N150" s="209">
        <f t="shared" si="27"/>
        <v>1227.7</v>
      </c>
    </row>
    <row r="151" spans="1:14" s="473" customFormat="1" ht="112.5">
      <c r="A151" s="194"/>
      <c r="B151" s="207" t="s">
        <v>73</v>
      </c>
      <c r="C151" s="208" t="s">
        <v>161</v>
      </c>
      <c r="D151" s="193" t="s">
        <v>61</v>
      </c>
      <c r="E151" s="193" t="s">
        <v>111</v>
      </c>
      <c r="F151" s="461" t="s">
        <v>164</v>
      </c>
      <c r="G151" s="462" t="s">
        <v>69</v>
      </c>
      <c r="H151" s="462" t="s">
        <v>61</v>
      </c>
      <c r="I151" s="463" t="s">
        <v>72</v>
      </c>
      <c r="J151" s="193" t="s">
        <v>74</v>
      </c>
      <c r="K151" s="209">
        <v>1227.7</v>
      </c>
      <c r="L151" s="651">
        <f>M151-K151</f>
        <v>0</v>
      </c>
      <c r="M151" s="209">
        <v>1227.7</v>
      </c>
      <c r="N151" s="209">
        <v>1227.7</v>
      </c>
    </row>
    <row r="152" spans="1:14" s="473" customFormat="1" ht="37.5">
      <c r="A152" s="194"/>
      <c r="B152" s="207" t="s">
        <v>167</v>
      </c>
      <c r="C152" s="208" t="s">
        <v>161</v>
      </c>
      <c r="D152" s="193" t="s">
        <v>61</v>
      </c>
      <c r="E152" s="193" t="s">
        <v>111</v>
      </c>
      <c r="F152" s="461" t="s">
        <v>164</v>
      </c>
      <c r="G152" s="462" t="s">
        <v>69</v>
      </c>
      <c r="H152" s="462" t="s">
        <v>63</v>
      </c>
      <c r="I152" s="463" t="s">
        <v>68</v>
      </c>
      <c r="J152" s="193"/>
      <c r="K152" s="209">
        <v>2920.3</v>
      </c>
      <c r="L152" s="209">
        <f>L153</f>
        <v>0</v>
      </c>
      <c r="M152" s="209">
        <f>M153</f>
        <v>2920.3</v>
      </c>
      <c r="N152" s="209">
        <f>N153</f>
        <v>2715.5</v>
      </c>
    </row>
    <row r="153" spans="1:14" s="473" customFormat="1" ht="37.5">
      <c r="A153" s="194"/>
      <c r="B153" s="207" t="s">
        <v>71</v>
      </c>
      <c r="C153" s="208" t="s">
        <v>161</v>
      </c>
      <c r="D153" s="193" t="s">
        <v>61</v>
      </c>
      <c r="E153" s="193" t="s">
        <v>111</v>
      </c>
      <c r="F153" s="461" t="s">
        <v>164</v>
      </c>
      <c r="G153" s="462" t="s">
        <v>69</v>
      </c>
      <c r="H153" s="462" t="s">
        <v>63</v>
      </c>
      <c r="I153" s="463" t="s">
        <v>72</v>
      </c>
      <c r="J153" s="193"/>
      <c r="K153" s="209">
        <v>2920.3</v>
      </c>
      <c r="L153" s="209">
        <f>L154+L155+L156</f>
        <v>0</v>
      </c>
      <c r="M153" s="209">
        <f>M154+M155+M156</f>
        <v>2920.3</v>
      </c>
      <c r="N153" s="209">
        <f>N154+N155+N156</f>
        <v>2715.5</v>
      </c>
    </row>
    <row r="154" spans="1:14" s="473" customFormat="1" ht="112.5">
      <c r="A154" s="194"/>
      <c r="B154" s="207" t="s">
        <v>73</v>
      </c>
      <c r="C154" s="208" t="s">
        <v>161</v>
      </c>
      <c r="D154" s="193" t="s">
        <v>61</v>
      </c>
      <c r="E154" s="193" t="s">
        <v>111</v>
      </c>
      <c r="F154" s="461" t="s">
        <v>164</v>
      </c>
      <c r="G154" s="462" t="s">
        <v>69</v>
      </c>
      <c r="H154" s="462" t="s">
        <v>63</v>
      </c>
      <c r="I154" s="463" t="s">
        <v>72</v>
      </c>
      <c r="J154" s="193" t="s">
        <v>74</v>
      </c>
      <c r="K154" s="209">
        <v>2715.5</v>
      </c>
      <c r="L154" s="651">
        <f t="shared" ref="L154:L156" si="28">M154-K154</f>
        <v>0</v>
      </c>
      <c r="M154" s="209">
        <v>2715.5</v>
      </c>
      <c r="N154" s="209">
        <f>2670.3+45.2</f>
        <v>2715.5</v>
      </c>
    </row>
    <row r="155" spans="1:14" s="473" customFormat="1" ht="56.25">
      <c r="A155" s="194"/>
      <c r="B155" s="207" t="s">
        <v>79</v>
      </c>
      <c r="C155" s="208" t="s">
        <v>161</v>
      </c>
      <c r="D155" s="193" t="s">
        <v>61</v>
      </c>
      <c r="E155" s="193" t="s">
        <v>111</v>
      </c>
      <c r="F155" s="461" t="s">
        <v>164</v>
      </c>
      <c r="G155" s="462" t="s">
        <v>69</v>
      </c>
      <c r="H155" s="462" t="s">
        <v>63</v>
      </c>
      <c r="I155" s="463" t="s">
        <v>72</v>
      </c>
      <c r="J155" s="193" t="s">
        <v>80</v>
      </c>
      <c r="K155" s="209">
        <v>194.8</v>
      </c>
      <c r="L155" s="651">
        <f t="shared" si="28"/>
        <v>0</v>
      </c>
      <c r="M155" s="209">
        <v>194.8</v>
      </c>
      <c r="N155" s="209">
        <v>0</v>
      </c>
    </row>
    <row r="156" spans="1:14" s="473" customFormat="1" ht="18.75">
      <c r="A156" s="194"/>
      <c r="B156" s="207" t="s">
        <v>81</v>
      </c>
      <c r="C156" s="208" t="s">
        <v>161</v>
      </c>
      <c r="D156" s="193" t="s">
        <v>61</v>
      </c>
      <c r="E156" s="193" t="s">
        <v>111</v>
      </c>
      <c r="F156" s="461" t="s">
        <v>164</v>
      </c>
      <c r="G156" s="462" t="s">
        <v>69</v>
      </c>
      <c r="H156" s="462" t="s">
        <v>63</v>
      </c>
      <c r="I156" s="463" t="s">
        <v>72</v>
      </c>
      <c r="J156" s="193" t="s">
        <v>82</v>
      </c>
      <c r="K156" s="209">
        <v>10</v>
      </c>
      <c r="L156" s="651">
        <f t="shared" si="28"/>
        <v>0</v>
      </c>
      <c r="M156" s="209">
        <v>10</v>
      </c>
      <c r="N156" s="209">
        <v>0</v>
      </c>
    </row>
    <row r="157" spans="1:14" s="473" customFormat="1" ht="18.75">
      <c r="A157" s="194"/>
      <c r="B157" s="207"/>
      <c r="C157" s="208"/>
      <c r="D157" s="193"/>
      <c r="E157" s="193"/>
      <c r="F157" s="461"/>
      <c r="G157" s="462"/>
      <c r="H157" s="462"/>
      <c r="I157" s="463"/>
      <c r="J157" s="193"/>
      <c r="K157" s="209"/>
      <c r="L157" s="209"/>
      <c r="M157" s="209"/>
      <c r="N157" s="209"/>
    </row>
    <row r="158" spans="1:14" s="482" customFormat="1" ht="56.25">
      <c r="A158" s="474">
        <v>4</v>
      </c>
      <c r="B158" s="475" t="s">
        <v>21</v>
      </c>
      <c r="C158" s="476" t="s">
        <v>651</v>
      </c>
      <c r="D158" s="477"/>
      <c r="E158" s="477"/>
      <c r="F158" s="478"/>
      <c r="G158" s="479"/>
      <c r="H158" s="479"/>
      <c r="I158" s="480"/>
      <c r="J158" s="477"/>
      <c r="K158" s="481">
        <v>70166.400000000009</v>
      </c>
      <c r="L158" s="481">
        <f>L159+L182+L189</f>
        <v>12370.099999999999</v>
      </c>
      <c r="M158" s="481">
        <f>M159+M182+M189</f>
        <v>82536.5</v>
      </c>
      <c r="N158" s="481">
        <f>N159+N182+N189</f>
        <v>84343.4</v>
      </c>
    </row>
    <row r="159" spans="1:14" s="488" customFormat="1" ht="18.75">
      <c r="A159" s="483"/>
      <c r="B159" s="428" t="s">
        <v>60</v>
      </c>
      <c r="C159" s="484" t="s">
        <v>651</v>
      </c>
      <c r="D159" s="485" t="s">
        <v>61</v>
      </c>
      <c r="E159" s="375"/>
      <c r="F159" s="486"/>
      <c r="G159" s="373"/>
      <c r="H159" s="373"/>
      <c r="I159" s="374"/>
      <c r="J159" s="375"/>
      <c r="K159" s="487">
        <v>22969.500000000004</v>
      </c>
      <c r="L159" s="487">
        <f>L160</f>
        <v>0</v>
      </c>
      <c r="M159" s="487">
        <f>M160</f>
        <v>22969.500000000004</v>
      </c>
      <c r="N159" s="487">
        <f>N160</f>
        <v>30224.400000000001</v>
      </c>
    </row>
    <row r="160" spans="1:14" s="482" customFormat="1" ht="18.75">
      <c r="A160" s="483"/>
      <c r="B160" s="428" t="s">
        <v>99</v>
      </c>
      <c r="C160" s="484" t="s">
        <v>651</v>
      </c>
      <c r="D160" s="485" t="s">
        <v>61</v>
      </c>
      <c r="E160" s="485" t="s">
        <v>100</v>
      </c>
      <c r="F160" s="486"/>
      <c r="G160" s="373"/>
      <c r="H160" s="373"/>
      <c r="I160" s="374"/>
      <c r="J160" s="375"/>
      <c r="K160" s="487">
        <v>22969.500000000004</v>
      </c>
      <c r="L160" s="487">
        <f>L161+L176</f>
        <v>0</v>
      </c>
      <c r="M160" s="487">
        <f>M161+M176</f>
        <v>22969.500000000004</v>
      </c>
      <c r="N160" s="487">
        <f>N161+N176</f>
        <v>30224.400000000001</v>
      </c>
    </row>
    <row r="161" spans="1:14" s="488" customFormat="1" ht="54" customHeight="1">
      <c r="A161" s="483"/>
      <c r="B161" s="428" t="s">
        <v>264</v>
      </c>
      <c r="C161" s="484" t="s">
        <v>651</v>
      </c>
      <c r="D161" s="485" t="s">
        <v>61</v>
      </c>
      <c r="E161" s="485" t="s">
        <v>100</v>
      </c>
      <c r="F161" s="404" t="s">
        <v>265</v>
      </c>
      <c r="G161" s="373" t="s">
        <v>66</v>
      </c>
      <c r="H161" s="373" t="s">
        <v>67</v>
      </c>
      <c r="I161" s="374" t="s">
        <v>68</v>
      </c>
      <c r="J161" s="375"/>
      <c r="K161" s="487">
        <v>17986.300000000003</v>
      </c>
      <c r="L161" s="487">
        <f>L162+L166</f>
        <v>0</v>
      </c>
      <c r="M161" s="487">
        <f>M162+M166</f>
        <v>17986.300000000003</v>
      </c>
      <c r="N161" s="487">
        <f>N162+N166</f>
        <v>25488.100000000002</v>
      </c>
    </row>
    <row r="162" spans="1:14" s="488" customFormat="1" ht="41.25" customHeight="1">
      <c r="A162" s="483"/>
      <c r="B162" s="428" t="s">
        <v>266</v>
      </c>
      <c r="C162" s="484" t="s">
        <v>651</v>
      </c>
      <c r="D162" s="485" t="s">
        <v>61</v>
      </c>
      <c r="E162" s="485" t="s">
        <v>100</v>
      </c>
      <c r="F162" s="489" t="s">
        <v>265</v>
      </c>
      <c r="G162" s="490" t="s">
        <v>69</v>
      </c>
      <c r="H162" s="490" t="s">
        <v>67</v>
      </c>
      <c r="I162" s="491" t="s">
        <v>68</v>
      </c>
      <c r="J162" s="375"/>
      <c r="K162" s="487">
        <v>0</v>
      </c>
      <c r="L162" s="487">
        <f t="shared" ref="L162:N164" si="29">L163</f>
        <v>0</v>
      </c>
      <c r="M162" s="487">
        <f t="shared" si="29"/>
        <v>0</v>
      </c>
      <c r="N162" s="487">
        <f t="shared" si="29"/>
        <v>8000</v>
      </c>
    </row>
    <row r="163" spans="1:14" s="482" customFormat="1" ht="37.5">
      <c r="A163" s="483"/>
      <c r="B163" s="423" t="s">
        <v>427</v>
      </c>
      <c r="C163" s="484" t="s">
        <v>651</v>
      </c>
      <c r="D163" s="485" t="s">
        <v>61</v>
      </c>
      <c r="E163" s="485" t="s">
        <v>100</v>
      </c>
      <c r="F163" s="372" t="s">
        <v>265</v>
      </c>
      <c r="G163" s="373" t="s">
        <v>69</v>
      </c>
      <c r="H163" s="373" t="s">
        <v>63</v>
      </c>
      <c r="I163" s="374" t="s">
        <v>68</v>
      </c>
      <c r="J163" s="375"/>
      <c r="K163" s="487">
        <v>0</v>
      </c>
      <c r="L163" s="487">
        <f t="shared" si="29"/>
        <v>0</v>
      </c>
      <c r="M163" s="487">
        <f t="shared" si="29"/>
        <v>0</v>
      </c>
      <c r="N163" s="487">
        <f t="shared" si="29"/>
        <v>8000</v>
      </c>
    </row>
    <row r="164" spans="1:14" s="488" customFormat="1" ht="18.75">
      <c r="A164" s="483"/>
      <c r="B164" s="371" t="s">
        <v>657</v>
      </c>
      <c r="C164" s="484" t="s">
        <v>651</v>
      </c>
      <c r="D164" s="485" t="s">
        <v>61</v>
      </c>
      <c r="E164" s="485" t="s">
        <v>100</v>
      </c>
      <c r="F164" s="372" t="s">
        <v>265</v>
      </c>
      <c r="G164" s="373" t="s">
        <v>69</v>
      </c>
      <c r="H164" s="373" t="s">
        <v>63</v>
      </c>
      <c r="I164" s="374" t="s">
        <v>658</v>
      </c>
      <c r="J164" s="375"/>
      <c r="K164" s="487">
        <v>0</v>
      </c>
      <c r="L164" s="487">
        <f t="shared" si="29"/>
        <v>0</v>
      </c>
      <c r="M164" s="487">
        <f t="shared" si="29"/>
        <v>0</v>
      </c>
      <c r="N164" s="487">
        <f t="shared" si="29"/>
        <v>8000</v>
      </c>
    </row>
    <row r="165" spans="1:14" s="488" customFormat="1" ht="56.25">
      <c r="A165" s="483"/>
      <c r="B165" s="371" t="s">
        <v>242</v>
      </c>
      <c r="C165" s="484" t="s">
        <v>651</v>
      </c>
      <c r="D165" s="485" t="s">
        <v>61</v>
      </c>
      <c r="E165" s="485" t="s">
        <v>100</v>
      </c>
      <c r="F165" s="372" t="s">
        <v>265</v>
      </c>
      <c r="G165" s="373" t="s">
        <v>69</v>
      </c>
      <c r="H165" s="373" t="s">
        <v>63</v>
      </c>
      <c r="I165" s="374" t="s">
        <v>658</v>
      </c>
      <c r="J165" s="375" t="s">
        <v>243</v>
      </c>
      <c r="K165" s="487">
        <v>0</v>
      </c>
      <c r="L165" s="651">
        <f>M165-K165</f>
        <v>0</v>
      </c>
      <c r="M165" s="487">
        <v>0</v>
      </c>
      <c r="N165" s="487">
        <v>8000</v>
      </c>
    </row>
    <row r="166" spans="1:14" s="482" customFormat="1" ht="37.5">
      <c r="A166" s="483"/>
      <c r="B166" s="428" t="s">
        <v>268</v>
      </c>
      <c r="C166" s="484" t="s">
        <v>651</v>
      </c>
      <c r="D166" s="485" t="s">
        <v>61</v>
      </c>
      <c r="E166" s="485" t="s">
        <v>100</v>
      </c>
      <c r="F166" s="404" t="s">
        <v>265</v>
      </c>
      <c r="G166" s="373" t="s">
        <v>120</v>
      </c>
      <c r="H166" s="373" t="s">
        <v>67</v>
      </c>
      <c r="I166" s="374" t="s">
        <v>68</v>
      </c>
      <c r="J166" s="375"/>
      <c r="K166" s="487">
        <v>17986.300000000003</v>
      </c>
      <c r="L166" s="487">
        <f>L167</f>
        <v>0</v>
      </c>
      <c r="M166" s="487">
        <f>M167</f>
        <v>17986.300000000003</v>
      </c>
      <c r="N166" s="487">
        <f>N167</f>
        <v>17488.100000000002</v>
      </c>
    </row>
    <row r="167" spans="1:14" s="488" customFormat="1" ht="77.25" customHeight="1">
      <c r="A167" s="483"/>
      <c r="B167" s="428" t="s">
        <v>375</v>
      </c>
      <c r="C167" s="484" t="s">
        <v>651</v>
      </c>
      <c r="D167" s="485" t="s">
        <v>61</v>
      </c>
      <c r="E167" s="485" t="s">
        <v>100</v>
      </c>
      <c r="F167" s="404" t="s">
        <v>265</v>
      </c>
      <c r="G167" s="373" t="s">
        <v>120</v>
      </c>
      <c r="H167" s="373" t="s">
        <v>61</v>
      </c>
      <c r="I167" s="374" t="s">
        <v>68</v>
      </c>
      <c r="J167" s="375"/>
      <c r="K167" s="487">
        <v>17986.300000000003</v>
      </c>
      <c r="L167" s="487">
        <f>L168+L172</f>
        <v>0</v>
      </c>
      <c r="M167" s="487">
        <f>M168+M172</f>
        <v>17986.300000000003</v>
      </c>
      <c r="N167" s="487">
        <f>N168+N172</f>
        <v>17488.100000000002</v>
      </c>
    </row>
    <row r="168" spans="1:14" s="482" customFormat="1" ht="37.5">
      <c r="A168" s="483"/>
      <c r="B168" s="428" t="s">
        <v>71</v>
      </c>
      <c r="C168" s="484" t="s">
        <v>651</v>
      </c>
      <c r="D168" s="485" t="s">
        <v>61</v>
      </c>
      <c r="E168" s="485" t="s">
        <v>100</v>
      </c>
      <c r="F168" s="492" t="s">
        <v>265</v>
      </c>
      <c r="G168" s="490" t="s">
        <v>120</v>
      </c>
      <c r="H168" s="490" t="s">
        <v>61</v>
      </c>
      <c r="I168" s="491" t="s">
        <v>72</v>
      </c>
      <c r="J168" s="375"/>
      <c r="K168" s="487">
        <v>12896.000000000002</v>
      </c>
      <c r="L168" s="487">
        <f>L169+L170+L171</f>
        <v>0</v>
      </c>
      <c r="M168" s="487">
        <f>M169+M170+M171</f>
        <v>12896.000000000002</v>
      </c>
      <c r="N168" s="487">
        <f>N169+N170+N171</f>
        <v>12646.000000000002</v>
      </c>
    </row>
    <row r="169" spans="1:14" s="488" customFormat="1" ht="112.5">
      <c r="A169" s="483"/>
      <c r="B169" s="207" t="s">
        <v>73</v>
      </c>
      <c r="C169" s="484" t="s">
        <v>651</v>
      </c>
      <c r="D169" s="485" t="s">
        <v>61</v>
      </c>
      <c r="E169" s="485" t="s">
        <v>100</v>
      </c>
      <c r="F169" s="404" t="s">
        <v>265</v>
      </c>
      <c r="G169" s="373" t="s">
        <v>120</v>
      </c>
      <c r="H169" s="373" t="s">
        <v>61</v>
      </c>
      <c r="I169" s="374" t="s">
        <v>72</v>
      </c>
      <c r="J169" s="375" t="s">
        <v>74</v>
      </c>
      <c r="K169" s="487">
        <v>12237.6</v>
      </c>
      <c r="L169" s="651">
        <f t="shared" ref="L169:L171" si="30">M169-K169</f>
        <v>0</v>
      </c>
      <c r="M169" s="487">
        <v>12237.6</v>
      </c>
      <c r="N169" s="487">
        <v>12237.6</v>
      </c>
    </row>
    <row r="170" spans="1:14" s="488" customFormat="1" ht="56.25">
      <c r="A170" s="483"/>
      <c r="B170" s="423" t="s">
        <v>79</v>
      </c>
      <c r="C170" s="484" t="s">
        <v>651</v>
      </c>
      <c r="D170" s="485" t="s">
        <v>61</v>
      </c>
      <c r="E170" s="485" t="s">
        <v>100</v>
      </c>
      <c r="F170" s="404" t="s">
        <v>265</v>
      </c>
      <c r="G170" s="373" t="s">
        <v>120</v>
      </c>
      <c r="H170" s="373" t="s">
        <v>61</v>
      </c>
      <c r="I170" s="374" t="s">
        <v>72</v>
      </c>
      <c r="J170" s="375" t="s">
        <v>80</v>
      </c>
      <c r="K170" s="487">
        <v>657.2</v>
      </c>
      <c r="L170" s="651">
        <f t="shared" si="30"/>
        <v>0</v>
      </c>
      <c r="M170" s="487">
        <v>657.2</v>
      </c>
      <c r="N170" s="487">
        <v>407.2</v>
      </c>
    </row>
    <row r="171" spans="1:14" s="488" customFormat="1" ht="18.75">
      <c r="A171" s="483"/>
      <c r="B171" s="428" t="s">
        <v>81</v>
      </c>
      <c r="C171" s="484" t="s">
        <v>651</v>
      </c>
      <c r="D171" s="485" t="s">
        <v>61</v>
      </c>
      <c r="E171" s="485" t="s">
        <v>100</v>
      </c>
      <c r="F171" s="404" t="s">
        <v>265</v>
      </c>
      <c r="G171" s="373" t="s">
        <v>120</v>
      </c>
      <c r="H171" s="373" t="s">
        <v>61</v>
      </c>
      <c r="I171" s="374" t="s">
        <v>72</v>
      </c>
      <c r="J171" s="375" t="s">
        <v>82</v>
      </c>
      <c r="K171" s="487">
        <v>1.2</v>
      </c>
      <c r="L171" s="651">
        <f t="shared" si="30"/>
        <v>0</v>
      </c>
      <c r="M171" s="487">
        <v>1.2</v>
      </c>
      <c r="N171" s="487">
        <v>1.2</v>
      </c>
    </row>
    <row r="172" spans="1:14" s="488" customFormat="1" ht="93.75">
      <c r="A172" s="483"/>
      <c r="B172" s="428" t="s">
        <v>121</v>
      </c>
      <c r="C172" s="484" t="s">
        <v>651</v>
      </c>
      <c r="D172" s="485" t="s">
        <v>61</v>
      </c>
      <c r="E172" s="485" t="s">
        <v>100</v>
      </c>
      <c r="F172" s="404" t="s">
        <v>265</v>
      </c>
      <c r="G172" s="373" t="s">
        <v>120</v>
      </c>
      <c r="H172" s="373" t="s">
        <v>61</v>
      </c>
      <c r="I172" s="374" t="s">
        <v>123</v>
      </c>
      <c r="J172" s="375"/>
      <c r="K172" s="487">
        <v>5090.3</v>
      </c>
      <c r="L172" s="487">
        <f>L173+L174+L175</f>
        <v>0</v>
      </c>
      <c r="M172" s="487">
        <f>M173+M174+M175</f>
        <v>5090.3</v>
      </c>
      <c r="N172" s="487">
        <f>N173+N174+N175</f>
        <v>4842.0999999999995</v>
      </c>
    </row>
    <row r="173" spans="1:14" s="488" customFormat="1" ht="112.5">
      <c r="A173" s="483"/>
      <c r="B173" s="207" t="s">
        <v>73</v>
      </c>
      <c r="C173" s="484" t="s">
        <v>651</v>
      </c>
      <c r="D173" s="485" t="s">
        <v>61</v>
      </c>
      <c r="E173" s="485" t="s">
        <v>100</v>
      </c>
      <c r="F173" s="404" t="s">
        <v>265</v>
      </c>
      <c r="G173" s="373" t="s">
        <v>120</v>
      </c>
      <c r="H173" s="373" t="s">
        <v>61</v>
      </c>
      <c r="I173" s="374" t="s">
        <v>123</v>
      </c>
      <c r="J173" s="375" t="s">
        <v>74</v>
      </c>
      <c r="K173" s="487">
        <v>4790.7</v>
      </c>
      <c r="L173" s="651">
        <f t="shared" ref="L173:L175" si="31">M173-K173</f>
        <v>0</v>
      </c>
      <c r="M173" s="487">
        <v>4790.7</v>
      </c>
      <c r="N173" s="487">
        <v>4790.7</v>
      </c>
    </row>
    <row r="174" spans="1:14" s="488" customFormat="1" ht="56.25">
      <c r="A174" s="483"/>
      <c r="B174" s="423" t="s">
        <v>79</v>
      </c>
      <c r="C174" s="484" t="s">
        <v>651</v>
      </c>
      <c r="D174" s="485" t="s">
        <v>61</v>
      </c>
      <c r="E174" s="485" t="s">
        <v>100</v>
      </c>
      <c r="F174" s="492" t="s">
        <v>265</v>
      </c>
      <c r="G174" s="490" t="s">
        <v>120</v>
      </c>
      <c r="H174" s="490" t="s">
        <v>61</v>
      </c>
      <c r="I174" s="491" t="s">
        <v>123</v>
      </c>
      <c r="J174" s="375" t="s">
        <v>80</v>
      </c>
      <c r="K174" s="487">
        <v>274.5</v>
      </c>
      <c r="L174" s="651">
        <f t="shared" si="31"/>
        <v>0</v>
      </c>
      <c r="M174" s="487">
        <v>274.5</v>
      </c>
      <c r="N174" s="487">
        <v>27.5</v>
      </c>
    </row>
    <row r="175" spans="1:14" s="488" customFormat="1" ht="18.75">
      <c r="A175" s="483"/>
      <c r="B175" s="428" t="s">
        <v>81</v>
      </c>
      <c r="C175" s="484" t="s">
        <v>651</v>
      </c>
      <c r="D175" s="485" t="s">
        <v>61</v>
      </c>
      <c r="E175" s="485" t="s">
        <v>100</v>
      </c>
      <c r="F175" s="404" t="s">
        <v>265</v>
      </c>
      <c r="G175" s="373" t="s">
        <v>120</v>
      </c>
      <c r="H175" s="373" t="s">
        <v>61</v>
      </c>
      <c r="I175" s="374" t="s">
        <v>123</v>
      </c>
      <c r="J175" s="375" t="s">
        <v>82</v>
      </c>
      <c r="K175" s="487">
        <v>25.1</v>
      </c>
      <c r="L175" s="651">
        <f t="shared" si="31"/>
        <v>0</v>
      </c>
      <c r="M175" s="487">
        <v>25.1</v>
      </c>
      <c r="N175" s="487">
        <v>23.9</v>
      </c>
    </row>
    <row r="176" spans="1:14" s="488" customFormat="1" ht="56.25" customHeight="1">
      <c r="A176" s="483"/>
      <c r="B176" s="493" t="s">
        <v>64</v>
      </c>
      <c r="C176" s="484" t="s">
        <v>651</v>
      </c>
      <c r="D176" s="485" t="s">
        <v>61</v>
      </c>
      <c r="E176" s="485" t="s">
        <v>100</v>
      </c>
      <c r="F176" s="494" t="s">
        <v>65</v>
      </c>
      <c r="G176" s="373" t="s">
        <v>66</v>
      </c>
      <c r="H176" s="373" t="s">
        <v>67</v>
      </c>
      <c r="I176" s="374" t="s">
        <v>68</v>
      </c>
      <c r="J176" s="375"/>
      <c r="K176" s="487">
        <v>4983.2</v>
      </c>
      <c r="L176" s="487">
        <f t="shared" ref="L176:N178" si="32">L177</f>
        <v>0</v>
      </c>
      <c r="M176" s="487">
        <f t="shared" si="32"/>
        <v>4983.2</v>
      </c>
      <c r="N176" s="487">
        <f t="shared" si="32"/>
        <v>4736.3</v>
      </c>
    </row>
    <row r="177" spans="1:14" s="488" customFormat="1" ht="37.5">
      <c r="A177" s="483"/>
      <c r="B177" s="423" t="s">
        <v>428</v>
      </c>
      <c r="C177" s="484" t="s">
        <v>651</v>
      </c>
      <c r="D177" s="485" t="s">
        <v>61</v>
      </c>
      <c r="E177" s="485" t="s">
        <v>100</v>
      </c>
      <c r="F177" s="404" t="s">
        <v>65</v>
      </c>
      <c r="G177" s="373" t="s">
        <v>69</v>
      </c>
      <c r="H177" s="373" t="s">
        <v>67</v>
      </c>
      <c r="I177" s="374" t="s">
        <v>68</v>
      </c>
      <c r="J177" s="375"/>
      <c r="K177" s="487">
        <v>4983.2</v>
      </c>
      <c r="L177" s="487">
        <f t="shared" si="32"/>
        <v>0</v>
      </c>
      <c r="M177" s="487">
        <f t="shared" si="32"/>
        <v>4983.2</v>
      </c>
      <c r="N177" s="487">
        <f t="shared" si="32"/>
        <v>4736.3</v>
      </c>
    </row>
    <row r="178" spans="1:14" s="488" customFormat="1" ht="75">
      <c r="A178" s="483"/>
      <c r="B178" s="428" t="s">
        <v>373</v>
      </c>
      <c r="C178" s="484" t="s">
        <v>651</v>
      </c>
      <c r="D178" s="485" t="s">
        <v>61</v>
      </c>
      <c r="E178" s="485" t="s">
        <v>100</v>
      </c>
      <c r="F178" s="404" t="s">
        <v>65</v>
      </c>
      <c r="G178" s="373" t="s">
        <v>69</v>
      </c>
      <c r="H178" s="373" t="s">
        <v>111</v>
      </c>
      <c r="I178" s="374" t="s">
        <v>68</v>
      </c>
      <c r="J178" s="375"/>
      <c r="K178" s="487">
        <v>4983.2</v>
      </c>
      <c r="L178" s="487">
        <f t="shared" si="32"/>
        <v>0</v>
      </c>
      <c r="M178" s="487">
        <f t="shared" si="32"/>
        <v>4983.2</v>
      </c>
      <c r="N178" s="487">
        <f t="shared" si="32"/>
        <v>4736.3</v>
      </c>
    </row>
    <row r="179" spans="1:14" s="488" customFormat="1" ht="93.75">
      <c r="A179" s="483"/>
      <c r="B179" s="428" t="s">
        <v>121</v>
      </c>
      <c r="C179" s="484" t="s">
        <v>651</v>
      </c>
      <c r="D179" s="485" t="s">
        <v>61</v>
      </c>
      <c r="E179" s="485" t="s">
        <v>100</v>
      </c>
      <c r="F179" s="404" t="s">
        <v>65</v>
      </c>
      <c r="G179" s="373" t="s">
        <v>69</v>
      </c>
      <c r="H179" s="373" t="s">
        <v>111</v>
      </c>
      <c r="I179" s="374" t="s">
        <v>123</v>
      </c>
      <c r="J179" s="375"/>
      <c r="K179" s="487">
        <v>4983.2</v>
      </c>
      <c r="L179" s="487">
        <f>L180+L181</f>
        <v>0</v>
      </c>
      <c r="M179" s="487">
        <f>M180+M181</f>
        <v>4983.2</v>
      </c>
      <c r="N179" s="487">
        <f>N180+N181</f>
        <v>4736.3</v>
      </c>
    </row>
    <row r="180" spans="1:14" s="488" customFormat="1" ht="112.5">
      <c r="A180" s="483"/>
      <c r="B180" s="207" t="s">
        <v>73</v>
      </c>
      <c r="C180" s="484" t="s">
        <v>651</v>
      </c>
      <c r="D180" s="485" t="s">
        <v>61</v>
      </c>
      <c r="E180" s="485" t="s">
        <v>100</v>
      </c>
      <c r="F180" s="404" t="s">
        <v>65</v>
      </c>
      <c r="G180" s="373" t="s">
        <v>69</v>
      </c>
      <c r="H180" s="373" t="s">
        <v>111</v>
      </c>
      <c r="I180" s="374" t="s">
        <v>123</v>
      </c>
      <c r="J180" s="375" t="s">
        <v>74</v>
      </c>
      <c r="K180" s="487">
        <v>4547.5</v>
      </c>
      <c r="L180" s="651">
        <f t="shared" ref="L180:L181" si="33">M180-K180</f>
        <v>0</v>
      </c>
      <c r="M180" s="487">
        <v>4547.5</v>
      </c>
      <c r="N180" s="487">
        <v>4547.5</v>
      </c>
    </row>
    <row r="181" spans="1:14" s="488" customFormat="1" ht="56.25">
      <c r="A181" s="483"/>
      <c r="B181" s="423" t="s">
        <v>79</v>
      </c>
      <c r="C181" s="484" t="s">
        <v>651</v>
      </c>
      <c r="D181" s="485" t="s">
        <v>61</v>
      </c>
      <c r="E181" s="485" t="s">
        <v>100</v>
      </c>
      <c r="F181" s="404" t="s">
        <v>65</v>
      </c>
      <c r="G181" s="373" t="s">
        <v>69</v>
      </c>
      <c r="H181" s="373" t="s">
        <v>111</v>
      </c>
      <c r="I181" s="374" t="s">
        <v>123</v>
      </c>
      <c r="J181" s="375" t="s">
        <v>80</v>
      </c>
      <c r="K181" s="487">
        <v>435.7</v>
      </c>
      <c r="L181" s="651">
        <f t="shared" si="33"/>
        <v>0</v>
      </c>
      <c r="M181" s="487">
        <v>435.7</v>
      </c>
      <c r="N181" s="487">
        <v>188.8</v>
      </c>
    </row>
    <row r="182" spans="1:14" s="488" customFormat="1" ht="18.75">
      <c r="A182" s="483"/>
      <c r="B182" s="428" t="s">
        <v>216</v>
      </c>
      <c r="C182" s="484" t="s">
        <v>651</v>
      </c>
      <c r="D182" s="485" t="s">
        <v>91</v>
      </c>
      <c r="E182" s="485"/>
      <c r="F182" s="372"/>
      <c r="G182" s="373"/>
      <c r="H182" s="373"/>
      <c r="I182" s="429"/>
      <c r="J182" s="375"/>
      <c r="K182" s="487">
        <v>2355.4</v>
      </c>
      <c r="L182" s="487">
        <f t="shared" ref="L182:N187" si="34">L183</f>
        <v>0</v>
      </c>
      <c r="M182" s="487">
        <f t="shared" si="34"/>
        <v>2355.4</v>
      </c>
      <c r="N182" s="487">
        <f t="shared" si="34"/>
        <v>0</v>
      </c>
    </row>
    <row r="183" spans="1:14" s="488" customFormat="1" ht="18.75">
      <c r="A183" s="483"/>
      <c r="B183" s="428" t="s">
        <v>422</v>
      </c>
      <c r="C183" s="484" t="s">
        <v>651</v>
      </c>
      <c r="D183" s="485" t="s">
        <v>91</v>
      </c>
      <c r="E183" s="485" t="s">
        <v>63</v>
      </c>
      <c r="F183" s="372"/>
      <c r="G183" s="373"/>
      <c r="H183" s="373"/>
      <c r="I183" s="429"/>
      <c r="J183" s="375"/>
      <c r="K183" s="487">
        <v>2355.4</v>
      </c>
      <c r="L183" s="487">
        <f t="shared" si="34"/>
        <v>0</v>
      </c>
      <c r="M183" s="487">
        <f t="shared" si="34"/>
        <v>2355.4</v>
      </c>
      <c r="N183" s="487">
        <f t="shared" si="34"/>
        <v>0</v>
      </c>
    </row>
    <row r="184" spans="1:14" s="488" customFormat="1" ht="77.25" customHeight="1">
      <c r="A184" s="483"/>
      <c r="B184" s="495" t="s">
        <v>421</v>
      </c>
      <c r="C184" s="484" t="s">
        <v>651</v>
      </c>
      <c r="D184" s="485" t="s">
        <v>91</v>
      </c>
      <c r="E184" s="485" t="s">
        <v>63</v>
      </c>
      <c r="F184" s="372" t="s">
        <v>136</v>
      </c>
      <c r="G184" s="373" t="s">
        <v>66</v>
      </c>
      <c r="H184" s="373" t="s">
        <v>67</v>
      </c>
      <c r="I184" s="429" t="s">
        <v>68</v>
      </c>
      <c r="J184" s="375"/>
      <c r="K184" s="487">
        <v>2355.4</v>
      </c>
      <c r="L184" s="487">
        <f t="shared" si="34"/>
        <v>0</v>
      </c>
      <c r="M184" s="487">
        <f t="shared" si="34"/>
        <v>2355.4</v>
      </c>
      <c r="N184" s="487">
        <f t="shared" si="34"/>
        <v>0</v>
      </c>
    </row>
    <row r="185" spans="1:14" s="488" customFormat="1" ht="56.25">
      <c r="A185" s="483"/>
      <c r="B185" s="423" t="s">
        <v>423</v>
      </c>
      <c r="C185" s="484" t="s">
        <v>651</v>
      </c>
      <c r="D185" s="485" t="s">
        <v>91</v>
      </c>
      <c r="E185" s="485" t="s">
        <v>63</v>
      </c>
      <c r="F185" s="372" t="s">
        <v>136</v>
      </c>
      <c r="G185" s="373" t="s">
        <v>69</v>
      </c>
      <c r="H185" s="373" t="s">
        <v>67</v>
      </c>
      <c r="I185" s="429" t="s">
        <v>68</v>
      </c>
      <c r="J185" s="375"/>
      <c r="K185" s="487">
        <v>2355.4</v>
      </c>
      <c r="L185" s="487">
        <f t="shared" si="34"/>
        <v>0</v>
      </c>
      <c r="M185" s="487">
        <f t="shared" si="34"/>
        <v>2355.4</v>
      </c>
      <c r="N185" s="487">
        <f t="shared" si="34"/>
        <v>0</v>
      </c>
    </row>
    <row r="186" spans="1:14" s="488" customFormat="1" ht="56.25">
      <c r="A186" s="483"/>
      <c r="B186" s="423" t="s">
        <v>488</v>
      </c>
      <c r="C186" s="484" t="s">
        <v>651</v>
      </c>
      <c r="D186" s="485" t="s">
        <v>91</v>
      </c>
      <c r="E186" s="485" t="s">
        <v>63</v>
      </c>
      <c r="F186" s="372" t="s">
        <v>136</v>
      </c>
      <c r="G186" s="373" t="s">
        <v>69</v>
      </c>
      <c r="H186" s="373" t="s">
        <v>61</v>
      </c>
      <c r="I186" s="429" t="s">
        <v>68</v>
      </c>
      <c r="J186" s="375"/>
      <c r="K186" s="487">
        <v>2355.4</v>
      </c>
      <c r="L186" s="487">
        <f t="shared" si="34"/>
        <v>0</v>
      </c>
      <c r="M186" s="487">
        <f t="shared" si="34"/>
        <v>2355.4</v>
      </c>
      <c r="N186" s="487">
        <f t="shared" si="34"/>
        <v>0</v>
      </c>
    </row>
    <row r="187" spans="1:14" s="488" customFormat="1" ht="37.5">
      <c r="A187" s="483"/>
      <c r="B187" s="423" t="s">
        <v>652</v>
      </c>
      <c r="C187" s="484" t="s">
        <v>651</v>
      </c>
      <c r="D187" s="485" t="s">
        <v>91</v>
      </c>
      <c r="E187" s="485" t="s">
        <v>63</v>
      </c>
      <c r="F187" s="372" t="s">
        <v>136</v>
      </c>
      <c r="G187" s="373" t="s">
        <v>69</v>
      </c>
      <c r="H187" s="373" t="s">
        <v>61</v>
      </c>
      <c r="I187" s="429" t="s">
        <v>653</v>
      </c>
      <c r="J187" s="375"/>
      <c r="K187" s="487">
        <v>2355.4</v>
      </c>
      <c r="L187" s="487">
        <f t="shared" si="34"/>
        <v>0</v>
      </c>
      <c r="M187" s="487">
        <f t="shared" si="34"/>
        <v>2355.4</v>
      </c>
      <c r="N187" s="487">
        <f t="shared" si="34"/>
        <v>0</v>
      </c>
    </row>
    <row r="188" spans="1:14" s="488" customFormat="1" ht="56.25">
      <c r="A188" s="483"/>
      <c r="B188" s="423" t="s">
        <v>242</v>
      </c>
      <c r="C188" s="484" t="s">
        <v>651</v>
      </c>
      <c r="D188" s="485" t="s">
        <v>91</v>
      </c>
      <c r="E188" s="485" t="s">
        <v>63</v>
      </c>
      <c r="F188" s="372" t="s">
        <v>136</v>
      </c>
      <c r="G188" s="373" t="s">
        <v>69</v>
      </c>
      <c r="H188" s="373" t="s">
        <v>61</v>
      </c>
      <c r="I188" s="429" t="s">
        <v>653</v>
      </c>
      <c r="J188" s="375" t="s">
        <v>243</v>
      </c>
      <c r="K188" s="487">
        <v>2355.4</v>
      </c>
      <c r="L188" s="651">
        <f>M188-K188</f>
        <v>0</v>
      </c>
      <c r="M188" s="487">
        <v>2355.4</v>
      </c>
      <c r="N188" s="487">
        <v>0</v>
      </c>
    </row>
    <row r="189" spans="1:14" s="499" customFormat="1" ht="18.75">
      <c r="A189" s="496"/>
      <c r="B189" s="497" t="s">
        <v>151</v>
      </c>
      <c r="C189" s="498" t="s">
        <v>651</v>
      </c>
      <c r="D189" s="427" t="s">
        <v>136</v>
      </c>
      <c r="E189" s="427"/>
      <c r="F189" s="424"/>
      <c r="G189" s="425"/>
      <c r="H189" s="425"/>
      <c r="I189" s="426"/>
      <c r="J189" s="427"/>
      <c r="K189" s="487">
        <v>44841.5</v>
      </c>
      <c r="L189" s="487">
        <f>L190+L306</f>
        <v>12370.099999999999</v>
      </c>
      <c r="M189" s="487">
        <f>M190+M306</f>
        <v>57211.6</v>
      </c>
      <c r="N189" s="487">
        <f>N190+N306</f>
        <v>54118.999999999993</v>
      </c>
    </row>
    <row r="190" spans="1:14" s="499" customFormat="1" ht="18.75">
      <c r="A190" s="496"/>
      <c r="B190" s="423" t="s">
        <v>232</v>
      </c>
      <c r="C190" s="498" t="s">
        <v>651</v>
      </c>
      <c r="D190" s="427" t="s">
        <v>136</v>
      </c>
      <c r="E190" s="427" t="s">
        <v>76</v>
      </c>
      <c r="F190" s="424"/>
      <c r="G190" s="425"/>
      <c r="H190" s="425"/>
      <c r="I190" s="426"/>
      <c r="J190" s="427"/>
      <c r="K190" s="487">
        <v>44841.5</v>
      </c>
      <c r="L190" s="487">
        <f t="shared" ref="L190:N192" si="35">L191</f>
        <v>12370.099999999999</v>
      </c>
      <c r="M190" s="487">
        <f t="shared" si="35"/>
        <v>57211.6</v>
      </c>
      <c r="N190" s="487">
        <f t="shared" si="35"/>
        <v>54118.999999999993</v>
      </c>
    </row>
    <row r="191" spans="1:14" s="499" customFormat="1" ht="56.25">
      <c r="A191" s="496"/>
      <c r="B191" s="500" t="s">
        <v>269</v>
      </c>
      <c r="C191" s="498" t="s">
        <v>651</v>
      </c>
      <c r="D191" s="427" t="s">
        <v>136</v>
      </c>
      <c r="E191" s="427" t="s">
        <v>76</v>
      </c>
      <c r="F191" s="424" t="s">
        <v>109</v>
      </c>
      <c r="G191" s="425" t="s">
        <v>66</v>
      </c>
      <c r="H191" s="425" t="s">
        <v>67</v>
      </c>
      <c r="I191" s="426" t="s">
        <v>68</v>
      </c>
      <c r="J191" s="427"/>
      <c r="K191" s="487">
        <v>44841.5</v>
      </c>
      <c r="L191" s="487">
        <f t="shared" si="35"/>
        <v>12370.099999999999</v>
      </c>
      <c r="M191" s="487">
        <f t="shared" si="35"/>
        <v>57211.6</v>
      </c>
      <c r="N191" s="487">
        <f t="shared" si="35"/>
        <v>54118.999999999993</v>
      </c>
    </row>
    <row r="192" spans="1:14" s="499" customFormat="1" ht="37.5">
      <c r="A192" s="496"/>
      <c r="B192" s="423" t="s">
        <v>428</v>
      </c>
      <c r="C192" s="498" t="s">
        <v>651</v>
      </c>
      <c r="D192" s="427" t="s">
        <v>136</v>
      </c>
      <c r="E192" s="427" t="s">
        <v>76</v>
      </c>
      <c r="F192" s="424" t="s">
        <v>109</v>
      </c>
      <c r="G192" s="425" t="s">
        <v>69</v>
      </c>
      <c r="H192" s="425" t="s">
        <v>67</v>
      </c>
      <c r="I192" s="426" t="s">
        <v>68</v>
      </c>
      <c r="J192" s="427"/>
      <c r="K192" s="487">
        <v>44841.5</v>
      </c>
      <c r="L192" s="487">
        <f t="shared" si="35"/>
        <v>12370.099999999999</v>
      </c>
      <c r="M192" s="487">
        <f t="shared" si="35"/>
        <v>57211.6</v>
      </c>
      <c r="N192" s="487">
        <f t="shared" si="35"/>
        <v>54118.999999999993</v>
      </c>
    </row>
    <row r="193" spans="1:15" s="501" customFormat="1" ht="93.75">
      <c r="A193" s="496"/>
      <c r="B193" s="423" t="s">
        <v>374</v>
      </c>
      <c r="C193" s="498" t="s">
        <v>651</v>
      </c>
      <c r="D193" s="427" t="s">
        <v>136</v>
      </c>
      <c r="E193" s="427" t="s">
        <v>76</v>
      </c>
      <c r="F193" s="424" t="s">
        <v>109</v>
      </c>
      <c r="G193" s="425" t="s">
        <v>69</v>
      </c>
      <c r="H193" s="425" t="s">
        <v>63</v>
      </c>
      <c r="I193" s="426" t="s">
        <v>68</v>
      </c>
      <c r="J193" s="427"/>
      <c r="K193" s="487">
        <v>44841.5</v>
      </c>
      <c r="L193" s="487">
        <f>L194+L196</f>
        <v>12370.099999999999</v>
      </c>
      <c r="M193" s="487">
        <f>M194+M196</f>
        <v>57211.6</v>
      </c>
      <c r="N193" s="487">
        <f>N194+N196</f>
        <v>54118.999999999993</v>
      </c>
    </row>
    <row r="194" spans="1:15" s="488" customFormat="1" ht="110.25" customHeight="1">
      <c r="A194" s="483"/>
      <c r="B194" s="428" t="s">
        <v>654</v>
      </c>
      <c r="C194" s="484" t="s">
        <v>651</v>
      </c>
      <c r="D194" s="485" t="s">
        <v>136</v>
      </c>
      <c r="E194" s="485" t="s">
        <v>76</v>
      </c>
      <c r="F194" s="372" t="s">
        <v>109</v>
      </c>
      <c r="G194" s="373" t="s">
        <v>69</v>
      </c>
      <c r="H194" s="373" t="s">
        <v>63</v>
      </c>
      <c r="I194" s="429" t="s">
        <v>656</v>
      </c>
      <c r="J194" s="375"/>
      <c r="K194" s="487">
        <v>10813.4</v>
      </c>
      <c r="L194" s="487">
        <f>L195</f>
        <v>0</v>
      </c>
      <c r="M194" s="487">
        <f>M195</f>
        <v>10813.4</v>
      </c>
      <c r="N194" s="487">
        <f>N195</f>
        <v>9268.6</v>
      </c>
    </row>
    <row r="195" spans="1:15" s="488" customFormat="1" ht="56.25">
      <c r="A195" s="483"/>
      <c r="B195" s="428" t="s">
        <v>242</v>
      </c>
      <c r="C195" s="484" t="s">
        <v>651</v>
      </c>
      <c r="D195" s="485" t="s">
        <v>136</v>
      </c>
      <c r="E195" s="485" t="s">
        <v>76</v>
      </c>
      <c r="F195" s="372" t="s">
        <v>109</v>
      </c>
      <c r="G195" s="373" t="s">
        <v>69</v>
      </c>
      <c r="H195" s="373" t="s">
        <v>63</v>
      </c>
      <c r="I195" s="429" t="s">
        <v>656</v>
      </c>
      <c r="J195" s="375" t="s">
        <v>243</v>
      </c>
      <c r="K195" s="574">
        <v>10813.4</v>
      </c>
      <c r="L195" s="651">
        <f>M195-K195</f>
        <v>0</v>
      </c>
      <c r="M195" s="574">
        <v>10813.4</v>
      </c>
      <c r="N195" s="487">
        <v>9268.6</v>
      </c>
    </row>
    <row r="196" spans="1:15" s="488" customFormat="1" ht="117.75" customHeight="1">
      <c r="A196" s="483"/>
      <c r="B196" s="428" t="s">
        <v>654</v>
      </c>
      <c r="C196" s="484" t="s">
        <v>651</v>
      </c>
      <c r="D196" s="485" t="s">
        <v>136</v>
      </c>
      <c r="E196" s="485" t="s">
        <v>76</v>
      </c>
      <c r="F196" s="372" t="s">
        <v>109</v>
      </c>
      <c r="G196" s="373" t="s">
        <v>69</v>
      </c>
      <c r="H196" s="373" t="s">
        <v>63</v>
      </c>
      <c r="I196" s="429" t="s">
        <v>655</v>
      </c>
      <c r="J196" s="375"/>
      <c r="K196" s="487">
        <v>34028.1</v>
      </c>
      <c r="L196" s="487">
        <f>L197</f>
        <v>12370.099999999999</v>
      </c>
      <c r="M196" s="487">
        <f>M197</f>
        <v>46398.2</v>
      </c>
      <c r="N196" s="487">
        <f>N197</f>
        <v>44850.399999999994</v>
      </c>
    </row>
    <row r="197" spans="1:15" s="488" customFormat="1" ht="56.25">
      <c r="A197" s="483"/>
      <c r="B197" s="428" t="s">
        <v>242</v>
      </c>
      <c r="C197" s="484" t="s">
        <v>651</v>
      </c>
      <c r="D197" s="485" t="s">
        <v>136</v>
      </c>
      <c r="E197" s="485" t="s">
        <v>76</v>
      </c>
      <c r="F197" s="372" t="s">
        <v>109</v>
      </c>
      <c r="G197" s="373" t="s">
        <v>69</v>
      </c>
      <c r="H197" s="373" t="s">
        <v>63</v>
      </c>
      <c r="I197" s="429" t="s">
        <v>655</v>
      </c>
      <c r="J197" s="375" t="s">
        <v>243</v>
      </c>
      <c r="K197" s="574">
        <v>34028.1</v>
      </c>
      <c r="L197" s="651">
        <f>M197-K197</f>
        <v>12370.099999999999</v>
      </c>
      <c r="M197" s="574">
        <f>34028.1+12370.1</f>
        <v>46398.2</v>
      </c>
      <c r="N197" s="487">
        <f>34026.6+10823.8</f>
        <v>44850.399999999994</v>
      </c>
    </row>
    <row r="198" spans="1:15" s="473" customFormat="1" ht="18.75">
      <c r="A198" s="194"/>
      <c r="B198" s="207"/>
      <c r="C198" s="208"/>
      <c r="D198" s="193"/>
      <c r="E198" s="193"/>
      <c r="F198" s="461"/>
      <c r="G198" s="462"/>
      <c r="H198" s="462"/>
      <c r="I198" s="463"/>
      <c r="J198" s="193"/>
      <c r="K198" s="209"/>
      <c r="L198" s="209"/>
      <c r="M198" s="209"/>
      <c r="N198" s="209"/>
    </row>
    <row r="199" spans="1:15" s="471" customFormat="1" ht="56.25">
      <c r="A199" s="464">
        <v>5</v>
      </c>
      <c r="B199" s="201" t="s">
        <v>27</v>
      </c>
      <c r="C199" s="202" t="s">
        <v>686</v>
      </c>
      <c r="D199" s="203"/>
      <c r="E199" s="203"/>
      <c r="F199" s="204"/>
      <c r="G199" s="205"/>
      <c r="H199" s="205"/>
      <c r="I199" s="206"/>
      <c r="J199" s="203"/>
      <c r="K199" s="235">
        <v>883895.1</v>
      </c>
      <c r="L199" s="235">
        <f>L200+L298</f>
        <v>6720.3</v>
      </c>
      <c r="M199" s="235">
        <f>M200+M298</f>
        <v>890615.4</v>
      </c>
      <c r="N199" s="235">
        <f>N200+N298</f>
        <v>897480.60000000009</v>
      </c>
      <c r="O199" s="502"/>
    </row>
    <row r="200" spans="1:15" s="472" customFormat="1" ht="18.75">
      <c r="A200" s="194"/>
      <c r="B200" s="207" t="s">
        <v>218</v>
      </c>
      <c r="C200" s="208" t="s">
        <v>686</v>
      </c>
      <c r="D200" s="193" t="s">
        <v>263</v>
      </c>
      <c r="E200" s="193"/>
      <c r="F200" s="461"/>
      <c r="G200" s="462"/>
      <c r="H200" s="462"/>
      <c r="I200" s="463"/>
      <c r="J200" s="193"/>
      <c r="K200" s="209">
        <v>875990.2</v>
      </c>
      <c r="L200" s="209">
        <f>L201+L219+L282+L258+L276</f>
        <v>6720.3</v>
      </c>
      <c r="M200" s="209">
        <f>M201+M219+M282+M258+M276</f>
        <v>882710.5</v>
      </c>
      <c r="N200" s="209">
        <f>N201+N219+N282+N258+N276</f>
        <v>889575.70000000007</v>
      </c>
      <c r="O200" s="503"/>
    </row>
    <row r="201" spans="1:15" s="471" customFormat="1" ht="18.75">
      <c r="A201" s="194"/>
      <c r="B201" s="207" t="s">
        <v>220</v>
      </c>
      <c r="C201" s="208" t="s">
        <v>686</v>
      </c>
      <c r="D201" s="193" t="s">
        <v>263</v>
      </c>
      <c r="E201" s="193" t="s">
        <v>61</v>
      </c>
      <c r="F201" s="461"/>
      <c r="G201" s="462"/>
      <c r="H201" s="462"/>
      <c r="I201" s="463"/>
      <c r="J201" s="193"/>
      <c r="K201" s="209">
        <v>293146.09999999998</v>
      </c>
      <c r="L201" s="209">
        <f t="shared" ref="L201:N203" si="36">L202</f>
        <v>0</v>
      </c>
      <c r="M201" s="209">
        <f t="shared" si="36"/>
        <v>293146.09999999998</v>
      </c>
      <c r="N201" s="209">
        <f>N202+N214</f>
        <v>291373</v>
      </c>
    </row>
    <row r="202" spans="1:15" s="471" customFormat="1" ht="56.25">
      <c r="A202" s="194"/>
      <c r="B202" s="207" t="s">
        <v>244</v>
      </c>
      <c r="C202" s="208" t="s">
        <v>686</v>
      </c>
      <c r="D202" s="193" t="s">
        <v>263</v>
      </c>
      <c r="E202" s="193" t="s">
        <v>61</v>
      </c>
      <c r="F202" s="461" t="s">
        <v>63</v>
      </c>
      <c r="G202" s="462" t="s">
        <v>66</v>
      </c>
      <c r="H202" s="462" t="s">
        <v>67</v>
      </c>
      <c r="I202" s="463" t="s">
        <v>68</v>
      </c>
      <c r="J202" s="193"/>
      <c r="K202" s="209">
        <v>293146.09999999998</v>
      </c>
      <c r="L202" s="209">
        <f t="shared" si="36"/>
        <v>0</v>
      </c>
      <c r="M202" s="209">
        <f t="shared" si="36"/>
        <v>293146.09999999998</v>
      </c>
      <c r="N202" s="209">
        <f t="shared" si="36"/>
        <v>290057.09999999998</v>
      </c>
    </row>
    <row r="203" spans="1:15" s="471" customFormat="1" ht="37.5">
      <c r="A203" s="194"/>
      <c r="B203" s="207" t="s">
        <v>245</v>
      </c>
      <c r="C203" s="208" t="s">
        <v>686</v>
      </c>
      <c r="D203" s="193" t="s">
        <v>263</v>
      </c>
      <c r="E203" s="193" t="s">
        <v>61</v>
      </c>
      <c r="F203" s="461" t="s">
        <v>63</v>
      </c>
      <c r="G203" s="462" t="s">
        <v>69</v>
      </c>
      <c r="H203" s="462" t="s">
        <v>67</v>
      </c>
      <c r="I203" s="463" t="s">
        <v>68</v>
      </c>
      <c r="J203" s="193"/>
      <c r="K203" s="209">
        <v>293146.09999999998</v>
      </c>
      <c r="L203" s="209">
        <f>L204+L211</f>
        <v>0</v>
      </c>
      <c r="M203" s="209">
        <f>M204+M211</f>
        <v>293146.09999999998</v>
      </c>
      <c r="N203" s="209">
        <f t="shared" si="36"/>
        <v>290057.09999999998</v>
      </c>
    </row>
    <row r="204" spans="1:15" s="471" customFormat="1" ht="37.5">
      <c r="A204" s="194"/>
      <c r="B204" s="207" t="s">
        <v>329</v>
      </c>
      <c r="C204" s="208" t="s">
        <v>686</v>
      </c>
      <c r="D204" s="193" t="s">
        <v>263</v>
      </c>
      <c r="E204" s="193" t="s">
        <v>61</v>
      </c>
      <c r="F204" s="461" t="s">
        <v>63</v>
      </c>
      <c r="G204" s="462" t="s">
        <v>69</v>
      </c>
      <c r="H204" s="462" t="s">
        <v>61</v>
      </c>
      <c r="I204" s="463" t="s">
        <v>68</v>
      </c>
      <c r="J204" s="193"/>
      <c r="K204" s="209">
        <v>292996.09999999998</v>
      </c>
      <c r="L204" s="209">
        <f>L207+L209+L205</f>
        <v>0</v>
      </c>
      <c r="M204" s="209">
        <f>M207+M209+M205</f>
        <v>292996.09999999998</v>
      </c>
      <c r="N204" s="209">
        <f>N207+N209+N205+N212</f>
        <v>290057.09999999998</v>
      </c>
    </row>
    <row r="205" spans="1:15" s="465" customFormat="1" ht="93.75">
      <c r="A205" s="194"/>
      <c r="B205" s="207" t="s">
        <v>121</v>
      </c>
      <c r="C205" s="208" t="s">
        <v>686</v>
      </c>
      <c r="D205" s="193" t="s">
        <v>263</v>
      </c>
      <c r="E205" s="193" t="s">
        <v>61</v>
      </c>
      <c r="F205" s="461" t="s">
        <v>63</v>
      </c>
      <c r="G205" s="462" t="s">
        <v>69</v>
      </c>
      <c r="H205" s="462" t="s">
        <v>61</v>
      </c>
      <c r="I205" s="463" t="s">
        <v>123</v>
      </c>
      <c r="J205" s="193"/>
      <c r="K205" s="209">
        <v>77566.7</v>
      </c>
      <c r="L205" s="209">
        <f>L206</f>
        <v>0</v>
      </c>
      <c r="M205" s="209">
        <f>M206</f>
        <v>77566.7</v>
      </c>
      <c r="N205" s="209">
        <f>N206</f>
        <v>74606</v>
      </c>
    </row>
    <row r="206" spans="1:15" s="465" customFormat="1" ht="56.25">
      <c r="A206" s="194"/>
      <c r="B206" s="207" t="s">
        <v>105</v>
      </c>
      <c r="C206" s="208" t="s">
        <v>686</v>
      </c>
      <c r="D206" s="193" t="s">
        <v>263</v>
      </c>
      <c r="E206" s="193" t="s">
        <v>61</v>
      </c>
      <c r="F206" s="461" t="s">
        <v>63</v>
      </c>
      <c r="G206" s="462" t="s">
        <v>69</v>
      </c>
      <c r="H206" s="462" t="s">
        <v>61</v>
      </c>
      <c r="I206" s="463" t="s">
        <v>123</v>
      </c>
      <c r="J206" s="193" t="s">
        <v>106</v>
      </c>
      <c r="K206" s="209">
        <v>77566.7</v>
      </c>
      <c r="L206" s="651">
        <f>M206-K206</f>
        <v>0</v>
      </c>
      <c r="M206" s="209">
        <f>83041.2-5444.7-29.8</f>
        <v>77566.7</v>
      </c>
      <c r="N206" s="209">
        <f>83247.4-8641.4</f>
        <v>74606</v>
      </c>
    </row>
    <row r="207" spans="1:15" s="471" customFormat="1" ht="191.25" customHeight="1">
      <c r="A207" s="194"/>
      <c r="B207" s="207" t="s">
        <v>330</v>
      </c>
      <c r="C207" s="208" t="s">
        <v>686</v>
      </c>
      <c r="D207" s="193" t="s">
        <v>263</v>
      </c>
      <c r="E207" s="193" t="s">
        <v>61</v>
      </c>
      <c r="F207" s="461" t="s">
        <v>63</v>
      </c>
      <c r="G207" s="462" t="s">
        <v>69</v>
      </c>
      <c r="H207" s="462" t="s">
        <v>61</v>
      </c>
      <c r="I207" s="463" t="s">
        <v>331</v>
      </c>
      <c r="J207" s="193"/>
      <c r="K207" s="209">
        <v>542.9</v>
      </c>
      <c r="L207" s="209">
        <f>L208</f>
        <v>0</v>
      </c>
      <c r="M207" s="209">
        <f>M208</f>
        <v>542.9</v>
      </c>
      <c r="N207" s="209">
        <f>N208</f>
        <v>564.6</v>
      </c>
    </row>
    <row r="208" spans="1:15" s="471" customFormat="1" ht="56.25">
      <c r="A208" s="194"/>
      <c r="B208" s="207" t="s">
        <v>105</v>
      </c>
      <c r="C208" s="208" t="s">
        <v>686</v>
      </c>
      <c r="D208" s="193" t="s">
        <v>263</v>
      </c>
      <c r="E208" s="193" t="s">
        <v>61</v>
      </c>
      <c r="F208" s="461" t="s">
        <v>63</v>
      </c>
      <c r="G208" s="462" t="s">
        <v>69</v>
      </c>
      <c r="H208" s="462" t="s">
        <v>61</v>
      </c>
      <c r="I208" s="463" t="s">
        <v>331</v>
      </c>
      <c r="J208" s="193" t="s">
        <v>106</v>
      </c>
      <c r="K208" s="209">
        <v>542.9</v>
      </c>
      <c r="L208" s="651">
        <f>M208-K208</f>
        <v>0</v>
      </c>
      <c r="M208" s="209">
        <v>542.9</v>
      </c>
      <c r="N208" s="209">
        <v>564.6</v>
      </c>
    </row>
    <row r="209" spans="1:14" s="471" customFormat="1" ht="120.75" customHeight="1">
      <c r="A209" s="194"/>
      <c r="B209" s="207" t="s">
        <v>439</v>
      </c>
      <c r="C209" s="208" t="s">
        <v>686</v>
      </c>
      <c r="D209" s="193" t="s">
        <v>263</v>
      </c>
      <c r="E209" s="193" t="s">
        <v>61</v>
      </c>
      <c r="F209" s="461" t="s">
        <v>63</v>
      </c>
      <c r="G209" s="462" t="s">
        <v>69</v>
      </c>
      <c r="H209" s="462" t="s">
        <v>61</v>
      </c>
      <c r="I209" s="463" t="s">
        <v>332</v>
      </c>
      <c r="J209" s="193"/>
      <c r="K209" s="209">
        <v>214886.5</v>
      </c>
      <c r="L209" s="209">
        <f>L210</f>
        <v>0</v>
      </c>
      <c r="M209" s="209">
        <f>M210</f>
        <v>214886.5</v>
      </c>
      <c r="N209" s="209">
        <f>N210</f>
        <v>214886.5</v>
      </c>
    </row>
    <row r="210" spans="1:14" s="471" customFormat="1" ht="56.25">
      <c r="A210" s="194"/>
      <c r="B210" s="207" t="s">
        <v>105</v>
      </c>
      <c r="C210" s="208" t="s">
        <v>686</v>
      </c>
      <c r="D210" s="193" t="s">
        <v>263</v>
      </c>
      <c r="E210" s="193" t="s">
        <v>61</v>
      </c>
      <c r="F210" s="461" t="s">
        <v>63</v>
      </c>
      <c r="G210" s="462" t="s">
        <v>69</v>
      </c>
      <c r="H210" s="462" t="s">
        <v>61</v>
      </c>
      <c r="I210" s="463" t="s">
        <v>332</v>
      </c>
      <c r="J210" s="193" t="s">
        <v>106</v>
      </c>
      <c r="K210" s="209">
        <v>214886.5</v>
      </c>
      <c r="L210" s="651">
        <f>M210-K210</f>
        <v>0</v>
      </c>
      <c r="M210" s="209">
        <v>214886.5</v>
      </c>
      <c r="N210" s="209">
        <v>214886.5</v>
      </c>
    </row>
    <row r="211" spans="1:14" s="471" customFormat="1" ht="37.5">
      <c r="A211" s="194"/>
      <c r="B211" s="634" t="s">
        <v>868</v>
      </c>
      <c r="C211" s="208" t="s">
        <v>686</v>
      </c>
      <c r="D211" s="193" t="s">
        <v>263</v>
      </c>
      <c r="E211" s="193" t="s">
        <v>61</v>
      </c>
      <c r="F211" s="631" t="s">
        <v>63</v>
      </c>
      <c r="G211" s="632" t="s">
        <v>69</v>
      </c>
      <c r="H211" s="632" t="s">
        <v>867</v>
      </c>
      <c r="I211" s="633" t="s">
        <v>68</v>
      </c>
      <c r="J211" s="193"/>
      <c r="K211" s="209">
        <v>150</v>
      </c>
      <c r="L211" s="209">
        <f t="shared" ref="L211:N212" si="37">L212</f>
        <v>0</v>
      </c>
      <c r="M211" s="209">
        <f t="shared" si="37"/>
        <v>150</v>
      </c>
      <c r="N211" s="209">
        <f t="shared" si="37"/>
        <v>0</v>
      </c>
    </row>
    <row r="212" spans="1:14" s="642" customFormat="1" ht="56.25">
      <c r="A212" s="641"/>
      <c r="B212" s="634" t="s">
        <v>778</v>
      </c>
      <c r="C212" s="208" t="s">
        <v>686</v>
      </c>
      <c r="D212" s="193" t="s">
        <v>263</v>
      </c>
      <c r="E212" s="193" t="s">
        <v>61</v>
      </c>
      <c r="F212" s="631" t="s">
        <v>63</v>
      </c>
      <c r="G212" s="632" t="s">
        <v>69</v>
      </c>
      <c r="H212" s="632" t="s">
        <v>867</v>
      </c>
      <c r="I212" s="633" t="s">
        <v>779</v>
      </c>
      <c r="J212" s="193"/>
      <c r="K212" s="209">
        <v>150</v>
      </c>
      <c r="L212" s="209">
        <f t="shared" si="37"/>
        <v>0</v>
      </c>
      <c r="M212" s="209">
        <f t="shared" si="37"/>
        <v>150</v>
      </c>
      <c r="N212" s="209">
        <f t="shared" si="37"/>
        <v>0</v>
      </c>
    </row>
    <row r="213" spans="1:14" s="642" customFormat="1" ht="56.25">
      <c r="A213" s="641"/>
      <c r="B213" s="634" t="s">
        <v>105</v>
      </c>
      <c r="C213" s="208" t="s">
        <v>686</v>
      </c>
      <c r="D213" s="193" t="s">
        <v>263</v>
      </c>
      <c r="E213" s="193" t="s">
        <v>61</v>
      </c>
      <c r="F213" s="631" t="s">
        <v>63</v>
      </c>
      <c r="G213" s="632" t="s">
        <v>69</v>
      </c>
      <c r="H213" s="632" t="s">
        <v>867</v>
      </c>
      <c r="I213" s="633" t="s">
        <v>779</v>
      </c>
      <c r="J213" s="193" t="s">
        <v>106</v>
      </c>
      <c r="K213" s="209">
        <v>150</v>
      </c>
      <c r="L213" s="651">
        <f>M213-K213</f>
        <v>0</v>
      </c>
      <c r="M213" s="209">
        <f>142.5+7.5</f>
        <v>150</v>
      </c>
      <c r="N213" s="209">
        <v>0</v>
      </c>
    </row>
    <row r="214" spans="1:14" s="471" customFormat="1" ht="60" customHeight="1">
      <c r="A214" s="194"/>
      <c r="B214" s="207" t="s">
        <v>110</v>
      </c>
      <c r="C214" s="208" t="s">
        <v>686</v>
      </c>
      <c r="D214" s="193" t="s">
        <v>263</v>
      </c>
      <c r="E214" s="193" t="s">
        <v>61</v>
      </c>
      <c r="F214" s="461" t="s">
        <v>111</v>
      </c>
      <c r="G214" s="462" t="s">
        <v>66</v>
      </c>
      <c r="H214" s="462" t="s">
        <v>67</v>
      </c>
      <c r="I214" s="463" t="s">
        <v>68</v>
      </c>
      <c r="J214" s="193"/>
      <c r="K214" s="209">
        <v>0</v>
      </c>
      <c r="L214" s="209">
        <f t="shared" ref="L214:N217" si="38">L215</f>
        <v>0</v>
      </c>
      <c r="M214" s="209">
        <f t="shared" si="38"/>
        <v>0</v>
      </c>
      <c r="N214" s="209">
        <f>N215</f>
        <v>1315.8999999999999</v>
      </c>
    </row>
    <row r="215" spans="1:14" s="471" customFormat="1" ht="37.5">
      <c r="A215" s="194"/>
      <c r="B215" s="207" t="s">
        <v>157</v>
      </c>
      <c r="C215" s="208" t="s">
        <v>686</v>
      </c>
      <c r="D215" s="193" t="s">
        <v>263</v>
      </c>
      <c r="E215" s="193" t="s">
        <v>61</v>
      </c>
      <c r="F215" s="461" t="s">
        <v>111</v>
      </c>
      <c r="G215" s="462" t="s">
        <v>120</v>
      </c>
      <c r="H215" s="462" t="s">
        <v>67</v>
      </c>
      <c r="I215" s="463" t="s">
        <v>68</v>
      </c>
      <c r="J215" s="193"/>
      <c r="K215" s="209">
        <v>0</v>
      </c>
      <c r="L215" s="209">
        <f t="shared" si="38"/>
        <v>0</v>
      </c>
      <c r="M215" s="209">
        <f t="shared" si="38"/>
        <v>0</v>
      </c>
      <c r="N215" s="209">
        <f t="shared" si="38"/>
        <v>1315.8999999999999</v>
      </c>
    </row>
    <row r="216" spans="1:14" s="471" customFormat="1" ht="41.25" customHeight="1">
      <c r="A216" s="194"/>
      <c r="B216" s="207" t="s">
        <v>333</v>
      </c>
      <c r="C216" s="208" t="s">
        <v>686</v>
      </c>
      <c r="D216" s="193" t="s">
        <v>263</v>
      </c>
      <c r="E216" s="193" t="s">
        <v>61</v>
      </c>
      <c r="F216" s="461" t="s">
        <v>111</v>
      </c>
      <c r="G216" s="462" t="s">
        <v>120</v>
      </c>
      <c r="H216" s="462" t="s">
        <v>61</v>
      </c>
      <c r="I216" s="463" t="s">
        <v>68</v>
      </c>
      <c r="J216" s="193"/>
      <c r="K216" s="209">
        <v>0</v>
      </c>
      <c r="L216" s="209">
        <f t="shared" si="38"/>
        <v>0</v>
      </c>
      <c r="M216" s="209">
        <f t="shared" si="38"/>
        <v>0</v>
      </c>
      <c r="N216" s="209">
        <f t="shared" si="38"/>
        <v>1315.8999999999999</v>
      </c>
    </row>
    <row r="217" spans="1:14" s="471" customFormat="1" ht="18.75">
      <c r="A217" s="194"/>
      <c r="B217" s="207" t="s">
        <v>780</v>
      </c>
      <c r="C217" s="208" t="s">
        <v>686</v>
      </c>
      <c r="D217" s="193" t="s">
        <v>263</v>
      </c>
      <c r="E217" s="193" t="s">
        <v>61</v>
      </c>
      <c r="F217" s="461" t="s">
        <v>111</v>
      </c>
      <c r="G217" s="462" t="s">
        <v>120</v>
      </c>
      <c r="H217" s="462" t="s">
        <v>61</v>
      </c>
      <c r="I217" s="463" t="s">
        <v>781</v>
      </c>
      <c r="J217" s="193"/>
      <c r="K217" s="209">
        <v>0</v>
      </c>
      <c r="L217" s="209">
        <f t="shared" si="38"/>
        <v>0</v>
      </c>
      <c r="M217" s="209">
        <f t="shared" si="38"/>
        <v>0</v>
      </c>
      <c r="N217" s="209">
        <f t="shared" si="38"/>
        <v>1315.8999999999999</v>
      </c>
    </row>
    <row r="218" spans="1:14" s="471" customFormat="1" ht="56.25">
      <c r="A218" s="194"/>
      <c r="B218" s="207" t="s">
        <v>105</v>
      </c>
      <c r="C218" s="208" t="s">
        <v>686</v>
      </c>
      <c r="D218" s="193" t="s">
        <v>263</v>
      </c>
      <c r="E218" s="193" t="s">
        <v>61</v>
      </c>
      <c r="F218" s="461" t="s">
        <v>111</v>
      </c>
      <c r="G218" s="462" t="s">
        <v>120</v>
      </c>
      <c r="H218" s="462" t="s">
        <v>61</v>
      </c>
      <c r="I218" s="463" t="s">
        <v>781</v>
      </c>
      <c r="J218" s="193" t="s">
        <v>106</v>
      </c>
      <c r="K218" s="209">
        <v>0</v>
      </c>
      <c r="L218" s="651">
        <f>M218-K218</f>
        <v>0</v>
      </c>
      <c r="M218" s="209">
        <v>0</v>
      </c>
      <c r="N218" s="209">
        <f>1249.6+66.3</f>
        <v>1315.8999999999999</v>
      </c>
    </row>
    <row r="219" spans="1:14" s="471" customFormat="1" ht="18.75">
      <c r="A219" s="194"/>
      <c r="B219" s="207" t="s">
        <v>222</v>
      </c>
      <c r="C219" s="208" t="s">
        <v>686</v>
      </c>
      <c r="D219" s="193" t="s">
        <v>263</v>
      </c>
      <c r="E219" s="193" t="s">
        <v>63</v>
      </c>
      <c r="F219" s="461"/>
      <c r="G219" s="462"/>
      <c r="H219" s="462"/>
      <c r="I219" s="463"/>
      <c r="J219" s="193"/>
      <c r="K219" s="209">
        <v>472421.2</v>
      </c>
      <c r="L219" s="209">
        <f>L220+L252</f>
        <v>0</v>
      </c>
      <c r="M219" s="209">
        <f>M220+M252</f>
        <v>472421.2</v>
      </c>
      <c r="N219" s="209">
        <f>N220+N252</f>
        <v>482661.50000000006</v>
      </c>
    </row>
    <row r="220" spans="1:14" s="471" customFormat="1" ht="56.25">
      <c r="A220" s="194"/>
      <c r="B220" s="207" t="s">
        <v>244</v>
      </c>
      <c r="C220" s="208" t="s">
        <v>686</v>
      </c>
      <c r="D220" s="193" t="s">
        <v>263</v>
      </c>
      <c r="E220" s="193" t="s">
        <v>63</v>
      </c>
      <c r="F220" s="461" t="s">
        <v>63</v>
      </c>
      <c r="G220" s="462" t="s">
        <v>66</v>
      </c>
      <c r="H220" s="462" t="s">
        <v>67</v>
      </c>
      <c r="I220" s="463" t="s">
        <v>68</v>
      </c>
      <c r="J220" s="193"/>
      <c r="K220" s="209">
        <v>472421.2</v>
      </c>
      <c r="L220" s="209">
        <f>L221+L247</f>
        <v>0</v>
      </c>
      <c r="M220" s="209">
        <f>M221+M247</f>
        <v>472421.2</v>
      </c>
      <c r="N220" s="209">
        <f>N221+N247</f>
        <v>475407.30000000005</v>
      </c>
    </row>
    <row r="221" spans="1:14" s="471" customFormat="1" ht="37.5">
      <c r="A221" s="194"/>
      <c r="B221" s="207" t="s">
        <v>245</v>
      </c>
      <c r="C221" s="208" t="s">
        <v>686</v>
      </c>
      <c r="D221" s="193" t="s">
        <v>263</v>
      </c>
      <c r="E221" s="193" t="s">
        <v>63</v>
      </c>
      <c r="F221" s="461" t="s">
        <v>63</v>
      </c>
      <c r="G221" s="462" t="s">
        <v>69</v>
      </c>
      <c r="H221" s="462" t="s">
        <v>67</v>
      </c>
      <c r="I221" s="463" t="s">
        <v>68</v>
      </c>
      <c r="J221" s="193"/>
      <c r="K221" s="209">
        <v>469677.5</v>
      </c>
      <c r="L221" s="209">
        <f>L222+L241+L244</f>
        <v>0</v>
      </c>
      <c r="M221" s="209">
        <f>M222+M241+M244</f>
        <v>469677.5</v>
      </c>
      <c r="N221" s="209">
        <f>N222+N241</f>
        <v>472663.60000000003</v>
      </c>
    </row>
    <row r="222" spans="1:14" s="471" customFormat="1" ht="18.75">
      <c r="A222" s="194"/>
      <c r="B222" s="207" t="s">
        <v>334</v>
      </c>
      <c r="C222" s="208" t="s">
        <v>686</v>
      </c>
      <c r="D222" s="193" t="s">
        <v>263</v>
      </c>
      <c r="E222" s="193" t="s">
        <v>63</v>
      </c>
      <c r="F222" s="461" t="s">
        <v>63</v>
      </c>
      <c r="G222" s="462" t="s">
        <v>69</v>
      </c>
      <c r="H222" s="462" t="s">
        <v>63</v>
      </c>
      <c r="I222" s="463" t="s">
        <v>68</v>
      </c>
      <c r="J222" s="193"/>
      <c r="K222" s="209">
        <v>469377.5</v>
      </c>
      <c r="L222" s="209">
        <f>L228+L232+L236+L223+L239</f>
        <v>0</v>
      </c>
      <c r="M222" s="209">
        <f>M228+M232+M236+M223+M239</f>
        <v>469377.5</v>
      </c>
      <c r="N222" s="209">
        <f>N228+N232+N236+N223+N239</f>
        <v>470342.60000000003</v>
      </c>
    </row>
    <row r="223" spans="1:14" s="465" customFormat="1" ht="93.75">
      <c r="A223" s="194"/>
      <c r="B223" s="207" t="s">
        <v>121</v>
      </c>
      <c r="C223" s="208" t="s">
        <v>686</v>
      </c>
      <c r="D223" s="193" t="s">
        <v>263</v>
      </c>
      <c r="E223" s="193" t="s">
        <v>63</v>
      </c>
      <c r="F223" s="461" t="s">
        <v>63</v>
      </c>
      <c r="G223" s="462" t="s">
        <v>69</v>
      </c>
      <c r="H223" s="462" t="s">
        <v>63</v>
      </c>
      <c r="I223" s="463" t="s">
        <v>123</v>
      </c>
      <c r="J223" s="193"/>
      <c r="K223" s="209">
        <v>58791.5</v>
      </c>
      <c r="L223" s="209">
        <f>L226+L227+L225+L224</f>
        <v>0</v>
      </c>
      <c r="M223" s="209">
        <f>M226+M227+M225+M224</f>
        <v>58791.5</v>
      </c>
      <c r="N223" s="209">
        <f>N226+N227+N225+N224</f>
        <v>60035.4</v>
      </c>
    </row>
    <row r="224" spans="1:14" s="465" customFormat="1" ht="112.5">
      <c r="A224" s="194"/>
      <c r="B224" s="207" t="s">
        <v>73</v>
      </c>
      <c r="C224" s="208" t="s">
        <v>686</v>
      </c>
      <c r="D224" s="193" t="s">
        <v>263</v>
      </c>
      <c r="E224" s="193" t="s">
        <v>63</v>
      </c>
      <c r="F224" s="461" t="s">
        <v>63</v>
      </c>
      <c r="G224" s="462" t="s">
        <v>69</v>
      </c>
      <c r="H224" s="462" t="s">
        <v>63</v>
      </c>
      <c r="I224" s="463" t="s">
        <v>123</v>
      </c>
      <c r="J224" s="193" t="s">
        <v>74</v>
      </c>
      <c r="K224" s="209">
        <v>1985.2</v>
      </c>
      <c r="L224" s="651">
        <f t="shared" ref="L224:L227" si="39">M224-K224</f>
        <v>0</v>
      </c>
      <c r="M224" s="209">
        <v>1985.2</v>
      </c>
      <c r="N224" s="209">
        <v>1985.2</v>
      </c>
    </row>
    <row r="225" spans="1:14" s="465" customFormat="1" ht="56.25">
      <c r="A225" s="194"/>
      <c r="B225" s="207" t="s">
        <v>79</v>
      </c>
      <c r="C225" s="208" t="s">
        <v>686</v>
      </c>
      <c r="D225" s="193" t="s">
        <v>263</v>
      </c>
      <c r="E225" s="193" t="s">
        <v>63</v>
      </c>
      <c r="F225" s="461" t="s">
        <v>63</v>
      </c>
      <c r="G225" s="462" t="s">
        <v>69</v>
      </c>
      <c r="H225" s="462" t="s">
        <v>63</v>
      </c>
      <c r="I225" s="463" t="s">
        <v>123</v>
      </c>
      <c r="J225" s="193" t="s">
        <v>80</v>
      </c>
      <c r="K225" s="209">
        <v>3688</v>
      </c>
      <c r="L225" s="651">
        <f t="shared" si="39"/>
        <v>0</v>
      </c>
      <c r="M225" s="209">
        <f>1860.1+1827.9</f>
        <v>3688</v>
      </c>
      <c r="N225" s="209">
        <f>1934.5+1827.9</f>
        <v>3762.4</v>
      </c>
    </row>
    <row r="226" spans="1:14" s="465" customFormat="1" ht="56.25">
      <c r="A226" s="194"/>
      <c r="B226" s="207" t="s">
        <v>105</v>
      </c>
      <c r="C226" s="208" t="s">
        <v>686</v>
      </c>
      <c r="D226" s="193" t="s">
        <v>263</v>
      </c>
      <c r="E226" s="193" t="s">
        <v>63</v>
      </c>
      <c r="F226" s="461" t="s">
        <v>63</v>
      </c>
      <c r="G226" s="462" t="s">
        <v>69</v>
      </c>
      <c r="H226" s="462" t="s">
        <v>63</v>
      </c>
      <c r="I226" s="463" t="s">
        <v>123</v>
      </c>
      <c r="J226" s="193" t="s">
        <v>106</v>
      </c>
      <c r="K226" s="573">
        <v>52486.5</v>
      </c>
      <c r="L226" s="651">
        <f t="shared" si="39"/>
        <v>0</v>
      </c>
      <c r="M226" s="573">
        <f>39199.9+3531+5731.3+4049.6-25.3</f>
        <v>52486.5</v>
      </c>
      <c r="N226" s="573">
        <f>40767.8+3531+5638.2+3799.7-69.7</f>
        <v>53667</v>
      </c>
    </row>
    <row r="227" spans="1:14" s="465" customFormat="1" ht="18.75">
      <c r="A227" s="194"/>
      <c r="B227" s="207" t="s">
        <v>81</v>
      </c>
      <c r="C227" s="208" t="s">
        <v>686</v>
      </c>
      <c r="D227" s="193" t="s">
        <v>263</v>
      </c>
      <c r="E227" s="193" t="s">
        <v>63</v>
      </c>
      <c r="F227" s="461" t="s">
        <v>63</v>
      </c>
      <c r="G227" s="462" t="s">
        <v>69</v>
      </c>
      <c r="H227" s="462" t="s">
        <v>63</v>
      </c>
      <c r="I227" s="463" t="s">
        <v>123</v>
      </c>
      <c r="J227" s="193" t="s">
        <v>82</v>
      </c>
      <c r="K227" s="209">
        <v>631.79999999999995</v>
      </c>
      <c r="L227" s="651">
        <f t="shared" si="39"/>
        <v>0</v>
      </c>
      <c r="M227" s="209">
        <v>631.79999999999995</v>
      </c>
      <c r="N227" s="209">
        <v>620.79999999999995</v>
      </c>
    </row>
    <row r="228" spans="1:14" s="471" customFormat="1" ht="190.5" customHeight="1">
      <c r="A228" s="194"/>
      <c r="B228" s="207" t="s">
        <v>330</v>
      </c>
      <c r="C228" s="208" t="s">
        <v>686</v>
      </c>
      <c r="D228" s="193" t="s">
        <v>263</v>
      </c>
      <c r="E228" s="193" t="s">
        <v>63</v>
      </c>
      <c r="F228" s="461" t="s">
        <v>63</v>
      </c>
      <c r="G228" s="462" t="s">
        <v>69</v>
      </c>
      <c r="H228" s="462" t="s">
        <v>63</v>
      </c>
      <c r="I228" s="463" t="s">
        <v>331</v>
      </c>
      <c r="J228" s="193"/>
      <c r="K228" s="209">
        <v>1699</v>
      </c>
      <c r="L228" s="209">
        <f>SUM(L229:L231)</f>
        <v>0</v>
      </c>
      <c r="M228" s="209">
        <f>SUM(M229:M231)</f>
        <v>1699</v>
      </c>
      <c r="N228" s="209">
        <f>SUM(N229:N231)</f>
        <v>1766.9</v>
      </c>
    </row>
    <row r="229" spans="1:14" s="471" customFormat="1" ht="112.5">
      <c r="A229" s="194"/>
      <c r="B229" s="207" t="s">
        <v>73</v>
      </c>
      <c r="C229" s="208" t="s">
        <v>686</v>
      </c>
      <c r="D229" s="193" t="s">
        <v>263</v>
      </c>
      <c r="E229" s="193" t="s">
        <v>63</v>
      </c>
      <c r="F229" s="461" t="s">
        <v>63</v>
      </c>
      <c r="G229" s="462" t="s">
        <v>69</v>
      </c>
      <c r="H229" s="462" t="s">
        <v>63</v>
      </c>
      <c r="I229" s="463" t="s">
        <v>331</v>
      </c>
      <c r="J229" s="193" t="s">
        <v>74</v>
      </c>
      <c r="K229" s="209">
        <v>115.8</v>
      </c>
      <c r="L229" s="651">
        <f t="shared" ref="L229:L231" si="40">M229-K229</f>
        <v>0</v>
      </c>
      <c r="M229" s="209">
        <v>115.8</v>
      </c>
      <c r="N229" s="209">
        <v>115.8</v>
      </c>
    </row>
    <row r="230" spans="1:14" s="471" customFormat="1" ht="37.5">
      <c r="A230" s="194"/>
      <c r="B230" s="207" t="s">
        <v>152</v>
      </c>
      <c r="C230" s="208" t="s">
        <v>686</v>
      </c>
      <c r="D230" s="193" t="s">
        <v>263</v>
      </c>
      <c r="E230" s="193" t="s">
        <v>63</v>
      </c>
      <c r="F230" s="461" t="s">
        <v>63</v>
      </c>
      <c r="G230" s="462" t="s">
        <v>69</v>
      </c>
      <c r="H230" s="462" t="s">
        <v>63</v>
      </c>
      <c r="I230" s="463" t="s">
        <v>331</v>
      </c>
      <c r="J230" s="193" t="s">
        <v>153</v>
      </c>
      <c r="K230" s="209">
        <v>13.9</v>
      </c>
      <c r="L230" s="651">
        <f t="shared" si="40"/>
        <v>0</v>
      </c>
      <c r="M230" s="209">
        <v>13.9</v>
      </c>
      <c r="N230" s="209">
        <v>13.9</v>
      </c>
    </row>
    <row r="231" spans="1:14" s="471" customFormat="1" ht="56.25">
      <c r="A231" s="194"/>
      <c r="B231" s="207" t="s">
        <v>105</v>
      </c>
      <c r="C231" s="208" t="s">
        <v>686</v>
      </c>
      <c r="D231" s="193" t="s">
        <v>263</v>
      </c>
      <c r="E231" s="193" t="s">
        <v>63</v>
      </c>
      <c r="F231" s="461" t="s">
        <v>63</v>
      </c>
      <c r="G231" s="462" t="s">
        <v>69</v>
      </c>
      <c r="H231" s="462" t="s">
        <v>63</v>
      </c>
      <c r="I231" s="463" t="s">
        <v>331</v>
      </c>
      <c r="J231" s="193" t="s">
        <v>106</v>
      </c>
      <c r="K231" s="209">
        <v>1569.3</v>
      </c>
      <c r="L231" s="651">
        <f t="shared" si="40"/>
        <v>0</v>
      </c>
      <c r="M231" s="209">
        <v>1569.3</v>
      </c>
      <c r="N231" s="209">
        <v>1637.2</v>
      </c>
    </row>
    <row r="232" spans="1:14" s="471" customFormat="1" ht="118.5" customHeight="1">
      <c r="A232" s="194"/>
      <c r="B232" s="207" t="s">
        <v>439</v>
      </c>
      <c r="C232" s="208" t="s">
        <v>686</v>
      </c>
      <c r="D232" s="193" t="s">
        <v>263</v>
      </c>
      <c r="E232" s="193" t="s">
        <v>63</v>
      </c>
      <c r="F232" s="461" t="s">
        <v>63</v>
      </c>
      <c r="G232" s="462" t="s">
        <v>69</v>
      </c>
      <c r="H232" s="462" t="s">
        <v>63</v>
      </c>
      <c r="I232" s="463" t="s">
        <v>332</v>
      </c>
      <c r="J232" s="193"/>
      <c r="K232" s="209">
        <v>404437.8</v>
      </c>
      <c r="L232" s="209">
        <f>L233+L234+L235</f>
        <v>0</v>
      </c>
      <c r="M232" s="209">
        <f>M233+M234+M235</f>
        <v>404437.8</v>
      </c>
      <c r="N232" s="209">
        <f>N233+N234+N235</f>
        <v>404437.8</v>
      </c>
    </row>
    <row r="233" spans="1:14" s="471" customFormat="1" ht="112.5">
      <c r="A233" s="194"/>
      <c r="B233" s="207" t="s">
        <v>73</v>
      </c>
      <c r="C233" s="208" t="s">
        <v>686</v>
      </c>
      <c r="D233" s="193" t="s">
        <v>263</v>
      </c>
      <c r="E233" s="193" t="s">
        <v>63</v>
      </c>
      <c r="F233" s="461" t="s">
        <v>63</v>
      </c>
      <c r="G233" s="462" t="s">
        <v>69</v>
      </c>
      <c r="H233" s="462" t="s">
        <v>63</v>
      </c>
      <c r="I233" s="463" t="s">
        <v>332</v>
      </c>
      <c r="J233" s="193" t="s">
        <v>74</v>
      </c>
      <c r="K233" s="209">
        <v>30026.5</v>
      </c>
      <c r="L233" s="651">
        <f t="shared" ref="L233:L235" si="41">M233-K233</f>
        <v>0</v>
      </c>
      <c r="M233" s="209">
        <v>30026.5</v>
      </c>
      <c r="N233" s="209">
        <f>M233</f>
        <v>30026.5</v>
      </c>
    </row>
    <row r="234" spans="1:14" s="471" customFormat="1" ht="56.25">
      <c r="A234" s="194"/>
      <c r="B234" s="207" t="s">
        <v>79</v>
      </c>
      <c r="C234" s="208" t="s">
        <v>686</v>
      </c>
      <c r="D234" s="193" t="s">
        <v>263</v>
      </c>
      <c r="E234" s="193" t="s">
        <v>63</v>
      </c>
      <c r="F234" s="461" t="s">
        <v>63</v>
      </c>
      <c r="G234" s="462" t="s">
        <v>69</v>
      </c>
      <c r="H234" s="462" t="s">
        <v>63</v>
      </c>
      <c r="I234" s="463" t="s">
        <v>332</v>
      </c>
      <c r="J234" s="193" t="s">
        <v>80</v>
      </c>
      <c r="K234" s="209">
        <v>1762.8</v>
      </c>
      <c r="L234" s="651">
        <f t="shared" si="41"/>
        <v>0</v>
      </c>
      <c r="M234" s="209">
        <v>1762.8</v>
      </c>
      <c r="N234" s="209">
        <f t="shared" ref="N234:N235" si="42">M234</f>
        <v>1762.8</v>
      </c>
    </row>
    <row r="235" spans="1:14" s="471" customFormat="1" ht="56.25">
      <c r="A235" s="194"/>
      <c r="B235" s="207" t="s">
        <v>105</v>
      </c>
      <c r="C235" s="208" t="s">
        <v>686</v>
      </c>
      <c r="D235" s="193" t="s">
        <v>263</v>
      </c>
      <c r="E235" s="193" t="s">
        <v>63</v>
      </c>
      <c r="F235" s="461" t="s">
        <v>63</v>
      </c>
      <c r="G235" s="462" t="s">
        <v>69</v>
      </c>
      <c r="H235" s="462" t="s">
        <v>63</v>
      </c>
      <c r="I235" s="463" t="s">
        <v>332</v>
      </c>
      <c r="J235" s="193" t="s">
        <v>106</v>
      </c>
      <c r="K235" s="209">
        <v>372648.5</v>
      </c>
      <c r="L235" s="651">
        <f t="shared" si="41"/>
        <v>0</v>
      </c>
      <c r="M235" s="209">
        <v>372648.5</v>
      </c>
      <c r="N235" s="209">
        <f t="shared" si="42"/>
        <v>372648.5</v>
      </c>
    </row>
    <row r="236" spans="1:14" s="465" customFormat="1" ht="93.75">
      <c r="A236" s="194"/>
      <c r="B236" s="207" t="s">
        <v>248</v>
      </c>
      <c r="C236" s="208" t="s">
        <v>686</v>
      </c>
      <c r="D236" s="193" t="s">
        <v>263</v>
      </c>
      <c r="E236" s="193" t="s">
        <v>63</v>
      </c>
      <c r="F236" s="461" t="s">
        <v>63</v>
      </c>
      <c r="G236" s="462" t="s">
        <v>69</v>
      </c>
      <c r="H236" s="462" t="s">
        <v>63</v>
      </c>
      <c r="I236" s="463" t="s">
        <v>337</v>
      </c>
      <c r="J236" s="193"/>
      <c r="K236" s="209">
        <v>3944.7000000000003</v>
      </c>
      <c r="L236" s="209">
        <f t="shared" ref="L236" si="43">SUM(L237:L238)</f>
        <v>0</v>
      </c>
      <c r="M236" s="209">
        <f t="shared" ref="M236:N236" si="44">SUM(M237:M238)</f>
        <v>3944.7000000000003</v>
      </c>
      <c r="N236" s="209">
        <f t="shared" si="44"/>
        <v>4102.5</v>
      </c>
    </row>
    <row r="237" spans="1:14" s="465" customFormat="1" ht="56.25">
      <c r="A237" s="194"/>
      <c r="B237" s="207" t="s">
        <v>79</v>
      </c>
      <c r="C237" s="208" t="s">
        <v>686</v>
      </c>
      <c r="D237" s="193" t="s">
        <v>263</v>
      </c>
      <c r="E237" s="193" t="s">
        <v>63</v>
      </c>
      <c r="F237" s="461" t="s">
        <v>63</v>
      </c>
      <c r="G237" s="462" t="s">
        <v>69</v>
      </c>
      <c r="H237" s="462" t="s">
        <v>63</v>
      </c>
      <c r="I237" s="463" t="s">
        <v>337</v>
      </c>
      <c r="J237" s="193" t="s">
        <v>80</v>
      </c>
      <c r="K237" s="209">
        <v>184.8</v>
      </c>
      <c r="L237" s="651">
        <f t="shared" ref="L237:L238" si="45">M237-K237</f>
        <v>0</v>
      </c>
      <c r="M237" s="209">
        <v>184.8</v>
      </c>
      <c r="N237" s="209">
        <v>176.7</v>
      </c>
    </row>
    <row r="238" spans="1:14" s="465" customFormat="1" ht="56.25">
      <c r="A238" s="194"/>
      <c r="B238" s="207" t="s">
        <v>105</v>
      </c>
      <c r="C238" s="208" t="s">
        <v>686</v>
      </c>
      <c r="D238" s="193" t="s">
        <v>263</v>
      </c>
      <c r="E238" s="193" t="s">
        <v>63</v>
      </c>
      <c r="F238" s="461" t="s">
        <v>63</v>
      </c>
      <c r="G238" s="462" t="s">
        <v>69</v>
      </c>
      <c r="H238" s="462" t="s">
        <v>63</v>
      </c>
      <c r="I238" s="463" t="s">
        <v>337</v>
      </c>
      <c r="J238" s="193" t="s">
        <v>106</v>
      </c>
      <c r="K238" s="209">
        <v>3759.9</v>
      </c>
      <c r="L238" s="651">
        <f t="shared" si="45"/>
        <v>0</v>
      </c>
      <c r="M238" s="209">
        <v>3759.9</v>
      </c>
      <c r="N238" s="209">
        <v>3925.8</v>
      </c>
    </row>
    <row r="239" spans="1:14" s="618" customFormat="1" ht="56.25">
      <c r="A239" s="611"/>
      <c r="B239" s="612" t="s">
        <v>774</v>
      </c>
      <c r="C239" s="613" t="s">
        <v>686</v>
      </c>
      <c r="D239" s="614" t="s">
        <v>263</v>
      </c>
      <c r="E239" s="614" t="s">
        <v>63</v>
      </c>
      <c r="F239" s="615" t="s">
        <v>63</v>
      </c>
      <c r="G239" s="616" t="s">
        <v>69</v>
      </c>
      <c r="H239" s="616" t="s">
        <v>63</v>
      </c>
      <c r="I239" s="617" t="s">
        <v>775</v>
      </c>
      <c r="J239" s="614"/>
      <c r="K239" s="573">
        <v>504.5</v>
      </c>
      <c r="L239" s="573">
        <f>L240</f>
        <v>0</v>
      </c>
      <c r="M239" s="573">
        <f>M240</f>
        <v>504.5</v>
      </c>
      <c r="N239" s="573">
        <f>N240</f>
        <v>0</v>
      </c>
    </row>
    <row r="240" spans="1:14" s="618" customFormat="1" ht="56.25">
      <c r="A240" s="611"/>
      <c r="B240" s="612" t="s">
        <v>105</v>
      </c>
      <c r="C240" s="613" t="s">
        <v>686</v>
      </c>
      <c r="D240" s="614" t="s">
        <v>263</v>
      </c>
      <c r="E240" s="614" t="s">
        <v>63</v>
      </c>
      <c r="F240" s="615" t="s">
        <v>63</v>
      </c>
      <c r="G240" s="616" t="s">
        <v>69</v>
      </c>
      <c r="H240" s="616" t="s">
        <v>63</v>
      </c>
      <c r="I240" s="617" t="s">
        <v>775</v>
      </c>
      <c r="J240" s="614" t="s">
        <v>106</v>
      </c>
      <c r="K240" s="573">
        <v>504.5</v>
      </c>
      <c r="L240" s="651">
        <f>M240-K240</f>
        <v>0</v>
      </c>
      <c r="M240" s="573">
        <f>479.2+25.3</f>
        <v>504.5</v>
      </c>
      <c r="N240" s="573">
        <v>0</v>
      </c>
    </row>
    <row r="241" spans="1:14" s="471" customFormat="1" ht="18.75">
      <c r="A241" s="194"/>
      <c r="B241" s="612" t="s">
        <v>776</v>
      </c>
      <c r="C241" s="613" t="s">
        <v>686</v>
      </c>
      <c r="D241" s="614" t="s">
        <v>263</v>
      </c>
      <c r="E241" s="614" t="s">
        <v>63</v>
      </c>
      <c r="F241" s="615" t="s">
        <v>63</v>
      </c>
      <c r="G241" s="616" t="s">
        <v>69</v>
      </c>
      <c r="H241" s="616" t="s">
        <v>777</v>
      </c>
      <c r="I241" s="617" t="s">
        <v>68</v>
      </c>
      <c r="J241" s="614"/>
      <c r="K241" s="573">
        <v>0</v>
      </c>
      <c r="L241" s="573">
        <f t="shared" ref="L241:N242" si="46">L242</f>
        <v>0</v>
      </c>
      <c r="M241" s="573">
        <f t="shared" si="46"/>
        <v>0</v>
      </c>
      <c r="N241" s="573">
        <f t="shared" si="46"/>
        <v>2321</v>
      </c>
    </row>
    <row r="242" spans="1:14" s="471" customFormat="1" ht="131.25">
      <c r="A242" s="194"/>
      <c r="B242" s="612" t="s">
        <v>870</v>
      </c>
      <c r="C242" s="613" t="s">
        <v>686</v>
      </c>
      <c r="D242" s="614" t="s">
        <v>263</v>
      </c>
      <c r="E242" s="614" t="s">
        <v>63</v>
      </c>
      <c r="F242" s="615" t="s">
        <v>63</v>
      </c>
      <c r="G242" s="616" t="s">
        <v>69</v>
      </c>
      <c r="H242" s="616" t="s">
        <v>777</v>
      </c>
      <c r="I242" s="617" t="s">
        <v>865</v>
      </c>
      <c r="J242" s="614"/>
      <c r="K242" s="573">
        <v>0</v>
      </c>
      <c r="L242" s="573">
        <f t="shared" si="46"/>
        <v>0</v>
      </c>
      <c r="M242" s="573">
        <f t="shared" si="46"/>
        <v>0</v>
      </c>
      <c r="N242" s="573">
        <f t="shared" si="46"/>
        <v>2321</v>
      </c>
    </row>
    <row r="243" spans="1:14" s="471" customFormat="1" ht="56.25">
      <c r="A243" s="194"/>
      <c r="B243" s="612" t="s">
        <v>105</v>
      </c>
      <c r="C243" s="613" t="s">
        <v>686</v>
      </c>
      <c r="D243" s="614" t="s">
        <v>263</v>
      </c>
      <c r="E243" s="614" t="s">
        <v>63</v>
      </c>
      <c r="F243" s="615" t="s">
        <v>63</v>
      </c>
      <c r="G243" s="616" t="s">
        <v>69</v>
      </c>
      <c r="H243" s="616" t="s">
        <v>777</v>
      </c>
      <c r="I243" s="617" t="s">
        <v>865</v>
      </c>
      <c r="J243" s="614" t="s">
        <v>106</v>
      </c>
      <c r="K243" s="573">
        <v>0</v>
      </c>
      <c r="L243" s="651">
        <f>M243-K243</f>
        <v>0</v>
      </c>
      <c r="M243" s="573">
        <v>0</v>
      </c>
      <c r="N243" s="573">
        <f>2251.3+69.7</f>
        <v>2321</v>
      </c>
    </row>
    <row r="244" spans="1:14" s="471" customFormat="1" ht="37.5">
      <c r="A244" s="194"/>
      <c r="B244" s="634" t="s">
        <v>868</v>
      </c>
      <c r="C244" s="208" t="s">
        <v>686</v>
      </c>
      <c r="D244" s="193" t="s">
        <v>263</v>
      </c>
      <c r="E244" s="193" t="s">
        <v>63</v>
      </c>
      <c r="F244" s="631" t="s">
        <v>63</v>
      </c>
      <c r="G244" s="632" t="s">
        <v>69</v>
      </c>
      <c r="H244" s="632" t="s">
        <v>867</v>
      </c>
      <c r="I244" s="633" t="s">
        <v>68</v>
      </c>
      <c r="J244" s="193"/>
      <c r="K244" s="209">
        <v>300</v>
      </c>
      <c r="L244" s="209">
        <f>L245</f>
        <v>0</v>
      </c>
      <c r="M244" s="209">
        <f>M245</f>
        <v>300</v>
      </c>
      <c r="N244" s="209">
        <f>N245</f>
        <v>0</v>
      </c>
    </row>
    <row r="245" spans="1:14" s="471" customFormat="1" ht="56.25">
      <c r="A245" s="194"/>
      <c r="B245" s="626" t="s">
        <v>778</v>
      </c>
      <c r="C245" s="627" t="s">
        <v>686</v>
      </c>
      <c r="D245" s="628" t="s">
        <v>263</v>
      </c>
      <c r="E245" s="628" t="s">
        <v>63</v>
      </c>
      <c r="F245" s="629" t="s">
        <v>63</v>
      </c>
      <c r="G245" s="630" t="s">
        <v>69</v>
      </c>
      <c r="H245" s="625" t="s">
        <v>867</v>
      </c>
      <c r="I245" s="624" t="s">
        <v>779</v>
      </c>
      <c r="J245" s="193"/>
      <c r="K245" s="573">
        <v>300</v>
      </c>
      <c r="L245" s="573">
        <f>L246</f>
        <v>0</v>
      </c>
      <c r="M245" s="573">
        <f>M246</f>
        <v>300</v>
      </c>
      <c r="N245" s="573">
        <v>0</v>
      </c>
    </row>
    <row r="246" spans="1:14" s="471" customFormat="1" ht="56.25">
      <c r="A246" s="194"/>
      <c r="B246" s="626" t="s">
        <v>105</v>
      </c>
      <c r="C246" s="627" t="s">
        <v>686</v>
      </c>
      <c r="D246" s="628" t="s">
        <v>263</v>
      </c>
      <c r="E246" s="628" t="s">
        <v>63</v>
      </c>
      <c r="F246" s="629" t="s">
        <v>63</v>
      </c>
      <c r="G246" s="630" t="s">
        <v>69</v>
      </c>
      <c r="H246" s="625" t="s">
        <v>867</v>
      </c>
      <c r="I246" s="624" t="s">
        <v>779</v>
      </c>
      <c r="J246" s="193" t="s">
        <v>106</v>
      </c>
      <c r="K246" s="573">
        <v>300</v>
      </c>
      <c r="L246" s="651">
        <f>M246-K246</f>
        <v>0</v>
      </c>
      <c r="M246" s="573">
        <v>300</v>
      </c>
      <c r="N246" s="573">
        <v>0</v>
      </c>
    </row>
    <row r="247" spans="1:14" s="471" customFormat="1" ht="56.25">
      <c r="A247" s="194"/>
      <c r="B247" s="207" t="s">
        <v>251</v>
      </c>
      <c r="C247" s="208" t="s">
        <v>686</v>
      </c>
      <c r="D247" s="193" t="s">
        <v>263</v>
      </c>
      <c r="E247" s="193" t="s">
        <v>63</v>
      </c>
      <c r="F247" s="461" t="s">
        <v>63</v>
      </c>
      <c r="G247" s="462" t="s">
        <v>54</v>
      </c>
      <c r="H247" s="462" t="s">
        <v>67</v>
      </c>
      <c r="I247" s="463" t="s">
        <v>68</v>
      </c>
      <c r="J247" s="193"/>
      <c r="K247" s="209">
        <v>2743.7000000000003</v>
      </c>
      <c r="L247" s="209">
        <f t="shared" ref="L247:N248" si="47">L248</f>
        <v>0</v>
      </c>
      <c r="M247" s="209">
        <f t="shared" si="47"/>
        <v>2743.7000000000003</v>
      </c>
      <c r="N247" s="209">
        <f t="shared" si="47"/>
        <v>2743.7000000000003</v>
      </c>
    </row>
    <row r="248" spans="1:14" s="471" customFormat="1" ht="37.5">
      <c r="A248" s="194"/>
      <c r="B248" s="207" t="s">
        <v>344</v>
      </c>
      <c r="C248" s="208" t="s">
        <v>686</v>
      </c>
      <c r="D248" s="193" t="s">
        <v>263</v>
      </c>
      <c r="E248" s="193" t="s">
        <v>63</v>
      </c>
      <c r="F248" s="461" t="s">
        <v>63</v>
      </c>
      <c r="G248" s="462" t="s">
        <v>54</v>
      </c>
      <c r="H248" s="462" t="s">
        <v>61</v>
      </c>
      <c r="I248" s="463" t="s">
        <v>68</v>
      </c>
      <c r="J248" s="193"/>
      <c r="K248" s="209">
        <v>2743.7000000000003</v>
      </c>
      <c r="L248" s="209">
        <f t="shared" si="47"/>
        <v>0</v>
      </c>
      <c r="M248" s="209">
        <f t="shared" si="47"/>
        <v>2743.7000000000003</v>
      </c>
      <c r="N248" s="209">
        <f t="shared" si="47"/>
        <v>2743.7000000000003</v>
      </c>
    </row>
    <row r="249" spans="1:14" s="471" customFormat="1" ht="208.5" customHeight="1">
      <c r="A249" s="194"/>
      <c r="B249" s="207" t="s">
        <v>793</v>
      </c>
      <c r="C249" s="208" t="s">
        <v>686</v>
      </c>
      <c r="D249" s="193" t="s">
        <v>263</v>
      </c>
      <c r="E249" s="193" t="s">
        <v>63</v>
      </c>
      <c r="F249" s="461" t="s">
        <v>63</v>
      </c>
      <c r="G249" s="462" t="s">
        <v>54</v>
      </c>
      <c r="H249" s="462" t="s">
        <v>61</v>
      </c>
      <c r="I249" s="463" t="s">
        <v>440</v>
      </c>
      <c r="J249" s="193"/>
      <c r="K249" s="209">
        <v>2743.7000000000003</v>
      </c>
      <c r="L249" s="209">
        <f>L251+L250</f>
        <v>0</v>
      </c>
      <c r="M249" s="209">
        <f>M251+M250</f>
        <v>2743.7000000000003</v>
      </c>
      <c r="N249" s="209">
        <f>N251+N250</f>
        <v>2743.7000000000003</v>
      </c>
    </row>
    <row r="250" spans="1:14" s="471" customFormat="1" ht="112.5">
      <c r="A250" s="194"/>
      <c r="B250" s="207" t="s">
        <v>73</v>
      </c>
      <c r="C250" s="208" t="s">
        <v>686</v>
      </c>
      <c r="D250" s="193" t="s">
        <v>263</v>
      </c>
      <c r="E250" s="193" t="s">
        <v>63</v>
      </c>
      <c r="F250" s="461" t="s">
        <v>63</v>
      </c>
      <c r="G250" s="462" t="s">
        <v>54</v>
      </c>
      <c r="H250" s="462" t="s">
        <v>61</v>
      </c>
      <c r="I250" s="463" t="s">
        <v>440</v>
      </c>
      <c r="J250" s="193" t="s">
        <v>74</v>
      </c>
      <c r="K250" s="209">
        <v>29.8</v>
      </c>
      <c r="L250" s="651">
        <f t="shared" ref="L250:L251" si="48">M250-K250</f>
        <v>0</v>
      </c>
      <c r="M250" s="209">
        <v>29.8</v>
      </c>
      <c r="N250" s="209">
        <v>29.8</v>
      </c>
    </row>
    <row r="251" spans="1:14" s="471" customFormat="1" ht="56.25">
      <c r="A251" s="194"/>
      <c r="B251" s="207" t="s">
        <v>105</v>
      </c>
      <c r="C251" s="208" t="s">
        <v>686</v>
      </c>
      <c r="D251" s="193" t="s">
        <v>263</v>
      </c>
      <c r="E251" s="193" t="s">
        <v>63</v>
      </c>
      <c r="F251" s="461" t="s">
        <v>63</v>
      </c>
      <c r="G251" s="462" t="s">
        <v>54</v>
      </c>
      <c r="H251" s="462" t="s">
        <v>61</v>
      </c>
      <c r="I251" s="463" t="s">
        <v>440</v>
      </c>
      <c r="J251" s="193" t="s">
        <v>106</v>
      </c>
      <c r="K251" s="209">
        <v>2713.9</v>
      </c>
      <c r="L251" s="651">
        <f t="shared" si="48"/>
        <v>0</v>
      </c>
      <c r="M251" s="209">
        <v>2713.9</v>
      </c>
      <c r="N251" s="209">
        <v>2713.9</v>
      </c>
    </row>
    <row r="252" spans="1:14" s="471" customFormat="1" ht="56.25" customHeight="1">
      <c r="A252" s="194"/>
      <c r="B252" s="207" t="s">
        <v>110</v>
      </c>
      <c r="C252" s="208" t="s">
        <v>686</v>
      </c>
      <c r="D252" s="193" t="s">
        <v>263</v>
      </c>
      <c r="E252" s="193" t="s">
        <v>63</v>
      </c>
      <c r="F252" s="461" t="s">
        <v>111</v>
      </c>
      <c r="G252" s="462" t="s">
        <v>66</v>
      </c>
      <c r="H252" s="462" t="s">
        <v>67</v>
      </c>
      <c r="I252" s="463" t="s">
        <v>68</v>
      </c>
      <c r="J252" s="193"/>
      <c r="K252" s="209">
        <v>0</v>
      </c>
      <c r="L252" s="209">
        <f t="shared" ref="L252:N253" si="49">L253</f>
        <v>0</v>
      </c>
      <c r="M252" s="209">
        <f t="shared" si="49"/>
        <v>0</v>
      </c>
      <c r="N252" s="209">
        <f t="shared" si="49"/>
        <v>7254.2</v>
      </c>
    </row>
    <row r="253" spans="1:14" s="471" customFormat="1" ht="37.5">
      <c r="A253" s="194"/>
      <c r="B253" s="207" t="s">
        <v>157</v>
      </c>
      <c r="C253" s="208" t="s">
        <v>686</v>
      </c>
      <c r="D253" s="193" t="s">
        <v>263</v>
      </c>
      <c r="E253" s="193" t="s">
        <v>63</v>
      </c>
      <c r="F253" s="461" t="s">
        <v>111</v>
      </c>
      <c r="G253" s="462" t="s">
        <v>120</v>
      </c>
      <c r="H253" s="462" t="s">
        <v>67</v>
      </c>
      <c r="I253" s="463" t="s">
        <v>68</v>
      </c>
      <c r="J253" s="193"/>
      <c r="K253" s="209">
        <v>0</v>
      </c>
      <c r="L253" s="209">
        <f t="shared" si="49"/>
        <v>0</v>
      </c>
      <c r="M253" s="209">
        <f t="shared" si="49"/>
        <v>0</v>
      </c>
      <c r="N253" s="209">
        <f t="shared" si="49"/>
        <v>7254.2</v>
      </c>
    </row>
    <row r="254" spans="1:14" s="471" customFormat="1" ht="39.75" customHeight="1">
      <c r="A254" s="194"/>
      <c r="B254" s="207" t="s">
        <v>333</v>
      </c>
      <c r="C254" s="208" t="s">
        <v>686</v>
      </c>
      <c r="D254" s="193" t="s">
        <v>263</v>
      </c>
      <c r="E254" s="193" t="s">
        <v>63</v>
      </c>
      <c r="F254" s="461" t="s">
        <v>111</v>
      </c>
      <c r="G254" s="462" t="s">
        <v>120</v>
      </c>
      <c r="H254" s="462" t="s">
        <v>61</v>
      </c>
      <c r="I254" s="463" t="s">
        <v>68</v>
      </c>
      <c r="J254" s="193"/>
      <c r="K254" s="209">
        <v>0</v>
      </c>
      <c r="L254" s="209">
        <f>L255</f>
        <v>0</v>
      </c>
      <c r="M254" s="209">
        <f>M255</f>
        <v>0</v>
      </c>
      <c r="N254" s="209">
        <f>N255</f>
        <v>7254.2</v>
      </c>
    </row>
    <row r="255" spans="1:14" s="471" customFormat="1" ht="18.75">
      <c r="A255" s="194"/>
      <c r="B255" s="207" t="s">
        <v>780</v>
      </c>
      <c r="C255" s="208" t="s">
        <v>686</v>
      </c>
      <c r="D255" s="193" t="s">
        <v>263</v>
      </c>
      <c r="E255" s="193" t="s">
        <v>63</v>
      </c>
      <c r="F255" s="461" t="s">
        <v>111</v>
      </c>
      <c r="G255" s="462" t="s">
        <v>120</v>
      </c>
      <c r="H255" s="462" t="s">
        <v>61</v>
      </c>
      <c r="I255" s="463" t="s">
        <v>781</v>
      </c>
      <c r="J255" s="193"/>
      <c r="K255" s="209">
        <v>0</v>
      </c>
      <c r="L255" s="209">
        <f>L257+L256</f>
        <v>0</v>
      </c>
      <c r="M255" s="209">
        <f>M257+M256</f>
        <v>0</v>
      </c>
      <c r="N255" s="209">
        <f>N257+N256</f>
        <v>7254.2</v>
      </c>
    </row>
    <row r="256" spans="1:14" s="471" customFormat="1" ht="56.25">
      <c r="A256" s="194"/>
      <c r="B256" s="207" t="s">
        <v>79</v>
      </c>
      <c r="C256" s="208" t="s">
        <v>686</v>
      </c>
      <c r="D256" s="193" t="s">
        <v>263</v>
      </c>
      <c r="E256" s="193" t="s">
        <v>63</v>
      </c>
      <c r="F256" s="461" t="s">
        <v>111</v>
      </c>
      <c r="G256" s="462" t="s">
        <v>120</v>
      </c>
      <c r="H256" s="462" t="s">
        <v>61</v>
      </c>
      <c r="I256" s="463" t="s">
        <v>781</v>
      </c>
      <c r="J256" s="193" t="s">
        <v>80</v>
      </c>
      <c r="K256" s="209">
        <v>0</v>
      </c>
      <c r="L256" s="651">
        <f t="shared" ref="L256:L257" si="50">M256-K256</f>
        <v>0</v>
      </c>
      <c r="M256" s="209">
        <v>0</v>
      </c>
      <c r="N256" s="209">
        <f>859.7+45.5</f>
        <v>905.2</v>
      </c>
    </row>
    <row r="257" spans="1:14" s="471" customFormat="1" ht="56.25">
      <c r="A257" s="194"/>
      <c r="B257" s="207" t="s">
        <v>105</v>
      </c>
      <c r="C257" s="208" t="s">
        <v>686</v>
      </c>
      <c r="D257" s="193" t="s">
        <v>263</v>
      </c>
      <c r="E257" s="193" t="s">
        <v>63</v>
      </c>
      <c r="F257" s="461" t="s">
        <v>111</v>
      </c>
      <c r="G257" s="462" t="s">
        <v>120</v>
      </c>
      <c r="H257" s="462" t="s">
        <v>61</v>
      </c>
      <c r="I257" s="463" t="s">
        <v>781</v>
      </c>
      <c r="J257" s="193" t="s">
        <v>106</v>
      </c>
      <c r="K257" s="209">
        <v>0</v>
      </c>
      <c r="L257" s="651">
        <f t="shared" si="50"/>
        <v>0</v>
      </c>
      <c r="M257" s="209">
        <v>0</v>
      </c>
      <c r="N257" s="209">
        <f>6031.4+317.6</f>
        <v>6349</v>
      </c>
    </row>
    <row r="258" spans="1:14" s="471" customFormat="1" ht="18.75">
      <c r="A258" s="194"/>
      <c r="B258" s="207" t="s">
        <v>448</v>
      </c>
      <c r="C258" s="208" t="s">
        <v>686</v>
      </c>
      <c r="D258" s="193" t="s">
        <v>263</v>
      </c>
      <c r="E258" s="193" t="s">
        <v>89</v>
      </c>
      <c r="F258" s="461"/>
      <c r="G258" s="462"/>
      <c r="H258" s="462"/>
      <c r="I258" s="463"/>
      <c r="J258" s="193"/>
      <c r="K258" s="209">
        <v>51224.7</v>
      </c>
      <c r="L258" s="209">
        <f>L259</f>
        <v>0</v>
      </c>
      <c r="M258" s="209">
        <f>M259</f>
        <v>51224.7</v>
      </c>
      <c r="N258" s="209">
        <f>N259</f>
        <v>50591.3</v>
      </c>
    </row>
    <row r="259" spans="1:14" s="471" customFormat="1" ht="56.25">
      <c r="A259" s="194"/>
      <c r="B259" s="376" t="s">
        <v>244</v>
      </c>
      <c r="C259" s="208" t="s">
        <v>686</v>
      </c>
      <c r="D259" s="193" t="s">
        <v>263</v>
      </c>
      <c r="E259" s="193" t="s">
        <v>89</v>
      </c>
      <c r="F259" s="461" t="s">
        <v>63</v>
      </c>
      <c r="G259" s="462" t="s">
        <v>66</v>
      </c>
      <c r="H259" s="462" t="s">
        <v>67</v>
      </c>
      <c r="I259" s="463" t="s">
        <v>68</v>
      </c>
      <c r="J259" s="193"/>
      <c r="K259" s="209">
        <v>51224.7</v>
      </c>
      <c r="L259" s="209">
        <f t="shared" ref="L259:N259" si="51">L260</f>
        <v>0</v>
      </c>
      <c r="M259" s="209">
        <f t="shared" si="51"/>
        <v>51224.7</v>
      </c>
      <c r="N259" s="209">
        <f t="shared" si="51"/>
        <v>50591.3</v>
      </c>
    </row>
    <row r="260" spans="1:14" s="471" customFormat="1" ht="24.75" customHeight="1">
      <c r="A260" s="194"/>
      <c r="B260" s="207" t="s">
        <v>249</v>
      </c>
      <c r="C260" s="208" t="s">
        <v>686</v>
      </c>
      <c r="D260" s="193" t="s">
        <v>263</v>
      </c>
      <c r="E260" s="193" t="s">
        <v>89</v>
      </c>
      <c r="F260" s="461" t="s">
        <v>63</v>
      </c>
      <c r="G260" s="462" t="s">
        <v>120</v>
      </c>
      <c r="H260" s="462" t="s">
        <v>67</v>
      </c>
      <c r="I260" s="463" t="s">
        <v>68</v>
      </c>
      <c r="J260" s="193"/>
      <c r="K260" s="209">
        <v>51224.7</v>
      </c>
      <c r="L260" s="209">
        <f>L261+L273</f>
        <v>0</v>
      </c>
      <c r="M260" s="209">
        <f>M261+M273</f>
        <v>51224.7</v>
      </c>
      <c r="N260" s="209">
        <f>N261+N273</f>
        <v>50591.3</v>
      </c>
    </row>
    <row r="261" spans="1:14" s="471" customFormat="1" ht="37.5">
      <c r="A261" s="194"/>
      <c r="B261" s="207" t="s">
        <v>338</v>
      </c>
      <c r="C261" s="208" t="s">
        <v>686</v>
      </c>
      <c r="D261" s="193" t="s">
        <v>263</v>
      </c>
      <c r="E261" s="193" t="s">
        <v>89</v>
      </c>
      <c r="F261" s="461" t="s">
        <v>63</v>
      </c>
      <c r="G261" s="462" t="s">
        <v>120</v>
      </c>
      <c r="H261" s="462" t="s">
        <v>61</v>
      </c>
      <c r="I261" s="463" t="s">
        <v>68</v>
      </c>
      <c r="J261" s="193"/>
      <c r="K261" s="209">
        <v>51074.7</v>
      </c>
      <c r="L261" s="209">
        <f>L262+L267+L269+L271</f>
        <v>0</v>
      </c>
      <c r="M261" s="209">
        <f>M262+M267+M269+M271</f>
        <v>51074.7</v>
      </c>
      <c r="N261" s="209">
        <f>N262+N267+N269+N271</f>
        <v>50591.3</v>
      </c>
    </row>
    <row r="262" spans="1:14" s="471" customFormat="1" ht="93.75">
      <c r="A262" s="194"/>
      <c r="B262" s="207" t="s">
        <v>121</v>
      </c>
      <c r="C262" s="208" t="s">
        <v>686</v>
      </c>
      <c r="D262" s="193" t="s">
        <v>263</v>
      </c>
      <c r="E262" s="193" t="s">
        <v>89</v>
      </c>
      <c r="F262" s="461" t="s">
        <v>63</v>
      </c>
      <c r="G262" s="462" t="s">
        <v>120</v>
      </c>
      <c r="H262" s="462" t="s">
        <v>61</v>
      </c>
      <c r="I262" s="463" t="s">
        <v>123</v>
      </c>
      <c r="J262" s="193"/>
      <c r="K262" s="209">
        <v>44511.199999999997</v>
      </c>
      <c r="L262" s="209">
        <f>L265+L263+L264+L266</f>
        <v>0</v>
      </c>
      <c r="M262" s="209">
        <f>M265+M263+M264+M266</f>
        <v>44511.199999999997</v>
      </c>
      <c r="N262" s="209">
        <f>N265+N263+N264+N266</f>
        <v>44023.4</v>
      </c>
    </row>
    <row r="263" spans="1:14" s="471" customFormat="1" ht="112.5">
      <c r="A263" s="194"/>
      <c r="B263" s="207" t="s">
        <v>73</v>
      </c>
      <c r="C263" s="208" t="s">
        <v>686</v>
      </c>
      <c r="D263" s="193" t="s">
        <v>263</v>
      </c>
      <c r="E263" s="193" t="s">
        <v>89</v>
      </c>
      <c r="F263" s="461" t="s">
        <v>63</v>
      </c>
      <c r="G263" s="462" t="s">
        <v>120</v>
      </c>
      <c r="H263" s="462" t="s">
        <v>61</v>
      </c>
      <c r="I263" s="463" t="s">
        <v>123</v>
      </c>
      <c r="J263" s="193" t="s">
        <v>74</v>
      </c>
      <c r="K263" s="209">
        <v>23754.399999999998</v>
      </c>
      <c r="L263" s="651">
        <f t="shared" ref="L263:L266" si="52">M263-K263</f>
        <v>0</v>
      </c>
      <c r="M263" s="209">
        <f>23425.6+328.8</f>
        <v>23754.399999999998</v>
      </c>
      <c r="N263" s="209">
        <f>23425.6+328.8</f>
        <v>23754.399999999998</v>
      </c>
    </row>
    <row r="264" spans="1:14" s="471" customFormat="1" ht="56.25">
      <c r="A264" s="194"/>
      <c r="B264" s="207" t="s">
        <v>79</v>
      </c>
      <c r="C264" s="208" t="s">
        <v>686</v>
      </c>
      <c r="D264" s="193" t="s">
        <v>263</v>
      </c>
      <c r="E264" s="193" t="s">
        <v>89</v>
      </c>
      <c r="F264" s="461" t="s">
        <v>63</v>
      </c>
      <c r="G264" s="462" t="s">
        <v>120</v>
      </c>
      <c r="H264" s="462" t="s">
        <v>61</v>
      </c>
      <c r="I264" s="463" t="s">
        <v>123</v>
      </c>
      <c r="J264" s="193" t="s">
        <v>80</v>
      </c>
      <c r="K264" s="209">
        <v>1900</v>
      </c>
      <c r="L264" s="651">
        <f t="shared" si="52"/>
        <v>0</v>
      </c>
      <c r="M264" s="209">
        <f>806.9+1093.1</f>
        <v>1900</v>
      </c>
      <c r="N264" s="209">
        <f>839.2+749.9</f>
        <v>1589.1</v>
      </c>
    </row>
    <row r="265" spans="1:14" s="471" customFormat="1" ht="56.25">
      <c r="A265" s="194"/>
      <c r="B265" s="207" t="s">
        <v>105</v>
      </c>
      <c r="C265" s="208" t="s">
        <v>686</v>
      </c>
      <c r="D265" s="193" t="s">
        <v>263</v>
      </c>
      <c r="E265" s="193" t="s">
        <v>89</v>
      </c>
      <c r="F265" s="461" t="s">
        <v>63</v>
      </c>
      <c r="G265" s="462" t="s">
        <v>120</v>
      </c>
      <c r="H265" s="462" t="s">
        <v>61</v>
      </c>
      <c r="I265" s="463" t="s">
        <v>123</v>
      </c>
      <c r="J265" s="193" t="s">
        <v>106</v>
      </c>
      <c r="K265" s="209">
        <v>18791.399999999998</v>
      </c>
      <c r="L265" s="651">
        <f t="shared" si="52"/>
        <v>0</v>
      </c>
      <c r="M265" s="209">
        <f>17194.2+177.3+761.6+658.3</f>
        <v>18791.399999999998</v>
      </c>
      <c r="N265" s="209">
        <f>17194.2+177.3+792.1+451.5</f>
        <v>18615.099999999999</v>
      </c>
    </row>
    <row r="266" spans="1:14" s="471" customFormat="1" ht="18.75">
      <c r="A266" s="194"/>
      <c r="B266" s="207" t="s">
        <v>81</v>
      </c>
      <c r="C266" s="208" t="s">
        <v>686</v>
      </c>
      <c r="D266" s="193" t="s">
        <v>263</v>
      </c>
      <c r="E266" s="193" t="s">
        <v>89</v>
      </c>
      <c r="F266" s="461" t="s">
        <v>63</v>
      </c>
      <c r="G266" s="462" t="s">
        <v>120</v>
      </c>
      <c r="H266" s="462" t="s">
        <v>61</v>
      </c>
      <c r="I266" s="463" t="s">
        <v>123</v>
      </c>
      <c r="J266" s="193" t="s">
        <v>82</v>
      </c>
      <c r="K266" s="209">
        <v>65.399999999999991</v>
      </c>
      <c r="L266" s="651">
        <f t="shared" si="52"/>
        <v>0</v>
      </c>
      <c r="M266" s="209">
        <f>56.3+9.1</f>
        <v>65.399999999999991</v>
      </c>
      <c r="N266" s="209">
        <f>55.7+9.1</f>
        <v>64.8</v>
      </c>
    </row>
    <row r="267" spans="1:14" s="471" customFormat="1" ht="210" customHeight="1">
      <c r="A267" s="194"/>
      <c r="B267" s="207" t="s">
        <v>794</v>
      </c>
      <c r="C267" s="208" t="s">
        <v>686</v>
      </c>
      <c r="D267" s="193" t="s">
        <v>263</v>
      </c>
      <c r="E267" s="193" t="s">
        <v>89</v>
      </c>
      <c r="F267" s="461" t="s">
        <v>63</v>
      </c>
      <c r="G267" s="462" t="s">
        <v>120</v>
      </c>
      <c r="H267" s="462" t="s">
        <v>61</v>
      </c>
      <c r="I267" s="463" t="s">
        <v>578</v>
      </c>
      <c r="J267" s="193"/>
      <c r="K267" s="209">
        <v>125</v>
      </c>
      <c r="L267" s="209">
        <f>L268</f>
        <v>0</v>
      </c>
      <c r="M267" s="209">
        <f>M268</f>
        <v>125</v>
      </c>
      <c r="N267" s="209">
        <f>N268</f>
        <v>125</v>
      </c>
    </row>
    <row r="268" spans="1:14" s="471" customFormat="1" ht="112.5">
      <c r="A268" s="194"/>
      <c r="B268" s="207" t="s">
        <v>73</v>
      </c>
      <c r="C268" s="208" t="s">
        <v>686</v>
      </c>
      <c r="D268" s="193" t="s">
        <v>263</v>
      </c>
      <c r="E268" s="193" t="s">
        <v>89</v>
      </c>
      <c r="F268" s="461" t="s">
        <v>63</v>
      </c>
      <c r="G268" s="462" t="s">
        <v>120</v>
      </c>
      <c r="H268" s="462" t="s">
        <v>61</v>
      </c>
      <c r="I268" s="463" t="s">
        <v>578</v>
      </c>
      <c r="J268" s="193" t="s">
        <v>74</v>
      </c>
      <c r="K268" s="209">
        <v>125</v>
      </c>
      <c r="L268" s="651">
        <f>M268-K268</f>
        <v>0</v>
      </c>
      <c r="M268" s="209">
        <v>125</v>
      </c>
      <c r="N268" s="209">
        <v>125</v>
      </c>
    </row>
    <row r="269" spans="1:14" s="471" customFormat="1" ht="193.5" customHeight="1">
      <c r="A269" s="194"/>
      <c r="B269" s="207" t="s">
        <v>330</v>
      </c>
      <c r="C269" s="208" t="s">
        <v>686</v>
      </c>
      <c r="D269" s="193" t="s">
        <v>263</v>
      </c>
      <c r="E269" s="193" t="s">
        <v>89</v>
      </c>
      <c r="F269" s="461" t="s">
        <v>63</v>
      </c>
      <c r="G269" s="462" t="s">
        <v>120</v>
      </c>
      <c r="H269" s="462" t="s">
        <v>61</v>
      </c>
      <c r="I269" s="463" t="s">
        <v>331</v>
      </c>
      <c r="J269" s="193"/>
      <c r="K269" s="209">
        <v>110.1</v>
      </c>
      <c r="L269" s="209">
        <f>L270</f>
        <v>0</v>
      </c>
      <c r="M269" s="209">
        <f>M270</f>
        <v>110.1</v>
      </c>
      <c r="N269" s="209">
        <f>N270</f>
        <v>114.5</v>
      </c>
    </row>
    <row r="270" spans="1:14" s="471" customFormat="1" ht="112.5">
      <c r="A270" s="194"/>
      <c r="B270" s="207" t="s">
        <v>73</v>
      </c>
      <c r="C270" s="208" t="s">
        <v>686</v>
      </c>
      <c r="D270" s="193" t="s">
        <v>263</v>
      </c>
      <c r="E270" s="193" t="s">
        <v>89</v>
      </c>
      <c r="F270" s="461" t="s">
        <v>63</v>
      </c>
      <c r="G270" s="462" t="s">
        <v>120</v>
      </c>
      <c r="H270" s="462" t="s">
        <v>61</v>
      </c>
      <c r="I270" s="463" t="s">
        <v>331</v>
      </c>
      <c r="J270" s="193" t="s">
        <v>74</v>
      </c>
      <c r="K270" s="209">
        <v>110.1</v>
      </c>
      <c r="L270" s="651">
        <f>M270-K270</f>
        <v>0</v>
      </c>
      <c r="M270" s="209">
        <v>110.1</v>
      </c>
      <c r="N270" s="209">
        <v>114.5</v>
      </c>
    </row>
    <row r="271" spans="1:14" s="471" customFormat="1" ht="115.5" customHeight="1">
      <c r="A271" s="194"/>
      <c r="B271" s="207" t="s">
        <v>439</v>
      </c>
      <c r="C271" s="208" t="s">
        <v>686</v>
      </c>
      <c r="D271" s="193" t="s">
        <v>263</v>
      </c>
      <c r="E271" s="193" t="s">
        <v>89</v>
      </c>
      <c r="F271" s="461" t="s">
        <v>63</v>
      </c>
      <c r="G271" s="462" t="s">
        <v>120</v>
      </c>
      <c r="H271" s="462" t="s">
        <v>61</v>
      </c>
      <c r="I271" s="463" t="s">
        <v>332</v>
      </c>
      <c r="J271" s="193"/>
      <c r="K271" s="209">
        <v>6328.4</v>
      </c>
      <c r="L271" s="209">
        <f>L272</f>
        <v>0</v>
      </c>
      <c r="M271" s="209">
        <f>M272</f>
        <v>6328.4</v>
      </c>
      <c r="N271" s="209">
        <f>N272</f>
        <v>6328.4</v>
      </c>
    </row>
    <row r="272" spans="1:14" s="471" customFormat="1" ht="56.25">
      <c r="A272" s="194"/>
      <c r="B272" s="207" t="s">
        <v>105</v>
      </c>
      <c r="C272" s="208" t="s">
        <v>686</v>
      </c>
      <c r="D272" s="193" t="s">
        <v>263</v>
      </c>
      <c r="E272" s="193" t="s">
        <v>89</v>
      </c>
      <c r="F272" s="461" t="s">
        <v>63</v>
      </c>
      <c r="G272" s="462" t="s">
        <v>120</v>
      </c>
      <c r="H272" s="462" t="s">
        <v>61</v>
      </c>
      <c r="I272" s="463" t="s">
        <v>332</v>
      </c>
      <c r="J272" s="193" t="s">
        <v>106</v>
      </c>
      <c r="K272" s="209">
        <v>6328.4</v>
      </c>
      <c r="L272" s="651">
        <f>M272-K272</f>
        <v>0</v>
      </c>
      <c r="M272" s="209">
        <v>6328.4</v>
      </c>
      <c r="N272" s="209">
        <v>6328.4</v>
      </c>
    </row>
    <row r="273" spans="1:14" s="471" customFormat="1" ht="37.5">
      <c r="A273" s="194"/>
      <c r="B273" s="634" t="s">
        <v>868</v>
      </c>
      <c r="C273" s="208" t="s">
        <v>686</v>
      </c>
      <c r="D273" s="193" t="s">
        <v>263</v>
      </c>
      <c r="E273" s="193" t="s">
        <v>89</v>
      </c>
      <c r="F273" s="631" t="s">
        <v>63</v>
      </c>
      <c r="G273" s="632" t="s">
        <v>120</v>
      </c>
      <c r="H273" s="632" t="s">
        <v>867</v>
      </c>
      <c r="I273" s="633" t="s">
        <v>68</v>
      </c>
      <c r="J273" s="193"/>
      <c r="K273" s="209">
        <v>150</v>
      </c>
      <c r="L273" s="209">
        <f t="shared" ref="L273:N274" si="53">L274</f>
        <v>0</v>
      </c>
      <c r="M273" s="209">
        <f t="shared" si="53"/>
        <v>150</v>
      </c>
      <c r="N273" s="209">
        <f t="shared" si="53"/>
        <v>0</v>
      </c>
    </row>
    <row r="274" spans="1:14" s="642" customFormat="1" ht="56.25">
      <c r="A274" s="641"/>
      <c r="B274" s="634" t="s">
        <v>778</v>
      </c>
      <c r="C274" s="208" t="s">
        <v>686</v>
      </c>
      <c r="D274" s="193" t="s">
        <v>263</v>
      </c>
      <c r="E274" s="193" t="s">
        <v>89</v>
      </c>
      <c r="F274" s="631" t="s">
        <v>63</v>
      </c>
      <c r="G274" s="632" t="s">
        <v>120</v>
      </c>
      <c r="H274" s="632" t="s">
        <v>867</v>
      </c>
      <c r="I274" s="633" t="s">
        <v>779</v>
      </c>
      <c r="J274" s="193"/>
      <c r="K274" s="209">
        <v>150</v>
      </c>
      <c r="L274" s="209">
        <f t="shared" si="53"/>
        <v>0</v>
      </c>
      <c r="M274" s="209">
        <f t="shared" si="53"/>
        <v>150</v>
      </c>
      <c r="N274" s="209">
        <f t="shared" si="53"/>
        <v>0</v>
      </c>
    </row>
    <row r="275" spans="1:14" s="642" customFormat="1" ht="56.25">
      <c r="A275" s="641"/>
      <c r="B275" s="634" t="s">
        <v>105</v>
      </c>
      <c r="C275" s="208" t="s">
        <v>686</v>
      </c>
      <c r="D275" s="193" t="s">
        <v>263</v>
      </c>
      <c r="E275" s="193" t="s">
        <v>89</v>
      </c>
      <c r="F275" s="631" t="s">
        <v>63</v>
      </c>
      <c r="G275" s="632" t="s">
        <v>120</v>
      </c>
      <c r="H275" s="632" t="s">
        <v>867</v>
      </c>
      <c r="I275" s="633" t="s">
        <v>779</v>
      </c>
      <c r="J275" s="193" t="s">
        <v>106</v>
      </c>
      <c r="K275" s="209">
        <v>150</v>
      </c>
      <c r="L275" s="651">
        <f>M275-K275</f>
        <v>0</v>
      </c>
      <c r="M275" s="209">
        <f>142.5+7.5</f>
        <v>150</v>
      </c>
      <c r="N275" s="209">
        <v>0</v>
      </c>
    </row>
    <row r="276" spans="1:14" s="642" customFormat="1" ht="18.75">
      <c r="A276" s="641"/>
      <c r="B276" s="207" t="s">
        <v>449</v>
      </c>
      <c r="C276" s="208" t="s">
        <v>686</v>
      </c>
      <c r="D276" s="193" t="s">
        <v>263</v>
      </c>
      <c r="E276" s="193" t="s">
        <v>263</v>
      </c>
      <c r="F276" s="702"/>
      <c r="G276" s="703"/>
      <c r="H276" s="703"/>
      <c r="I276" s="704"/>
      <c r="J276" s="193"/>
      <c r="K276" s="209">
        <f>K277</f>
        <v>0</v>
      </c>
      <c r="L276" s="209">
        <f t="shared" ref="L276:N276" si="54">L277</f>
        <v>6720.3</v>
      </c>
      <c r="M276" s="209">
        <f t="shared" si="54"/>
        <v>6720.3</v>
      </c>
      <c r="N276" s="209">
        <f t="shared" si="54"/>
        <v>6720.3</v>
      </c>
    </row>
    <row r="277" spans="1:14" s="642" customFormat="1" ht="56.25">
      <c r="A277" s="641"/>
      <c r="B277" s="207" t="s">
        <v>244</v>
      </c>
      <c r="C277" s="208" t="s">
        <v>686</v>
      </c>
      <c r="D277" s="193" t="s">
        <v>263</v>
      </c>
      <c r="E277" s="193" t="s">
        <v>263</v>
      </c>
      <c r="F277" s="702" t="s">
        <v>63</v>
      </c>
      <c r="G277" s="703" t="s">
        <v>66</v>
      </c>
      <c r="H277" s="703" t="s">
        <v>67</v>
      </c>
      <c r="I277" s="704" t="s">
        <v>68</v>
      </c>
      <c r="J277" s="193"/>
      <c r="K277" s="209">
        <f>K278</f>
        <v>0</v>
      </c>
      <c r="L277" s="209">
        <f t="shared" ref="L277" si="55">L278</f>
        <v>6720.3</v>
      </c>
      <c r="M277" s="209">
        <f>M278</f>
        <v>6720.3</v>
      </c>
      <c r="N277" s="209">
        <f>N278</f>
        <v>6720.3</v>
      </c>
    </row>
    <row r="278" spans="1:14" s="642" customFormat="1" ht="56.25">
      <c r="A278" s="641"/>
      <c r="B278" s="207" t="s">
        <v>251</v>
      </c>
      <c r="C278" s="208" t="s">
        <v>686</v>
      </c>
      <c r="D278" s="193" t="s">
        <v>263</v>
      </c>
      <c r="E278" s="193" t="s">
        <v>263</v>
      </c>
      <c r="F278" s="702" t="s">
        <v>63</v>
      </c>
      <c r="G278" s="703" t="s">
        <v>54</v>
      </c>
      <c r="H278" s="703" t="s">
        <v>67</v>
      </c>
      <c r="I278" s="704" t="s">
        <v>68</v>
      </c>
      <c r="J278" s="193"/>
      <c r="K278" s="209">
        <f>K279</f>
        <v>0</v>
      </c>
      <c r="L278" s="209">
        <f t="shared" ref="L278" si="56">L279</f>
        <v>6720.3</v>
      </c>
      <c r="M278" s="209">
        <f>M279</f>
        <v>6720.3</v>
      </c>
      <c r="N278" s="209">
        <f>N279</f>
        <v>6720.3</v>
      </c>
    </row>
    <row r="279" spans="1:14" s="642" customFormat="1" ht="56.25">
      <c r="A279" s="641"/>
      <c r="B279" s="207" t="s">
        <v>343</v>
      </c>
      <c r="C279" s="208" t="s">
        <v>686</v>
      </c>
      <c r="D279" s="193" t="s">
        <v>263</v>
      </c>
      <c r="E279" s="193" t="s">
        <v>263</v>
      </c>
      <c r="F279" s="702" t="s">
        <v>63</v>
      </c>
      <c r="G279" s="703" t="s">
        <v>54</v>
      </c>
      <c r="H279" s="703" t="s">
        <v>63</v>
      </c>
      <c r="I279" s="704" t="s">
        <v>68</v>
      </c>
      <c r="J279" s="193"/>
      <c r="K279" s="209">
        <f>K280</f>
        <v>0</v>
      </c>
      <c r="L279" s="209">
        <f t="shared" ref="L279:N279" si="57">L280</f>
        <v>6720.3</v>
      </c>
      <c r="M279" s="209">
        <f t="shared" si="57"/>
        <v>6720.3</v>
      </c>
      <c r="N279" s="209">
        <f t="shared" si="57"/>
        <v>6720.3</v>
      </c>
    </row>
    <row r="280" spans="1:14" s="642" customFormat="1" ht="131.25">
      <c r="A280" s="641"/>
      <c r="B280" s="207" t="s">
        <v>908</v>
      </c>
      <c r="C280" s="208" t="s">
        <v>686</v>
      </c>
      <c r="D280" s="193" t="s">
        <v>263</v>
      </c>
      <c r="E280" s="193" t="s">
        <v>263</v>
      </c>
      <c r="F280" s="702" t="s">
        <v>63</v>
      </c>
      <c r="G280" s="703" t="s">
        <v>54</v>
      </c>
      <c r="H280" s="703" t="s">
        <v>63</v>
      </c>
      <c r="I280" s="704" t="s">
        <v>907</v>
      </c>
      <c r="J280" s="193"/>
      <c r="K280" s="209">
        <f>K281</f>
        <v>0</v>
      </c>
      <c r="L280" s="209">
        <f t="shared" ref="L280:M280" si="58">L281</f>
        <v>6720.3</v>
      </c>
      <c r="M280" s="209">
        <f t="shared" si="58"/>
        <v>6720.3</v>
      </c>
      <c r="N280" s="209">
        <f>N281</f>
        <v>6720.3</v>
      </c>
    </row>
    <row r="281" spans="1:14" s="642" customFormat="1" ht="56.25">
      <c r="A281" s="641"/>
      <c r="B281" s="207" t="s">
        <v>105</v>
      </c>
      <c r="C281" s="208" t="s">
        <v>686</v>
      </c>
      <c r="D281" s="193" t="s">
        <v>263</v>
      </c>
      <c r="E281" s="193" t="s">
        <v>263</v>
      </c>
      <c r="F281" s="702" t="s">
        <v>63</v>
      </c>
      <c r="G281" s="703" t="s">
        <v>54</v>
      </c>
      <c r="H281" s="703" t="s">
        <v>63</v>
      </c>
      <c r="I281" s="704" t="s">
        <v>907</v>
      </c>
      <c r="J281" s="193" t="s">
        <v>106</v>
      </c>
      <c r="K281" s="209">
        <v>0</v>
      </c>
      <c r="L281" s="651">
        <f>M281-K281</f>
        <v>6720.3</v>
      </c>
      <c r="M281" s="209">
        <f>6720.3</f>
        <v>6720.3</v>
      </c>
      <c r="N281" s="209">
        <f>6720.3</f>
        <v>6720.3</v>
      </c>
    </row>
    <row r="282" spans="1:14" s="471" customFormat="1" ht="18.75">
      <c r="A282" s="194"/>
      <c r="B282" s="207" t="s">
        <v>225</v>
      </c>
      <c r="C282" s="208" t="s">
        <v>686</v>
      </c>
      <c r="D282" s="193" t="s">
        <v>263</v>
      </c>
      <c r="E282" s="193" t="s">
        <v>109</v>
      </c>
      <c r="F282" s="461"/>
      <c r="G282" s="462"/>
      <c r="H282" s="462"/>
      <c r="I282" s="463"/>
      <c r="J282" s="193"/>
      <c r="K282" s="209">
        <v>59198.2</v>
      </c>
      <c r="L282" s="209">
        <f>L283</f>
        <v>0</v>
      </c>
      <c r="M282" s="209">
        <f>M283</f>
        <v>59198.2</v>
      </c>
      <c r="N282" s="209">
        <f>N283</f>
        <v>58229.599999999999</v>
      </c>
    </row>
    <row r="283" spans="1:14" s="471" customFormat="1" ht="56.25">
      <c r="A283" s="194"/>
      <c r="B283" s="207" t="s">
        <v>244</v>
      </c>
      <c r="C283" s="208" t="s">
        <v>686</v>
      </c>
      <c r="D283" s="193" t="s">
        <v>263</v>
      </c>
      <c r="E283" s="193" t="s">
        <v>109</v>
      </c>
      <c r="F283" s="461" t="s">
        <v>63</v>
      </c>
      <c r="G283" s="462" t="s">
        <v>66</v>
      </c>
      <c r="H283" s="462" t="s">
        <v>67</v>
      </c>
      <c r="I283" s="463" t="s">
        <v>68</v>
      </c>
      <c r="J283" s="193"/>
      <c r="K283" s="209">
        <v>59198.2</v>
      </c>
      <c r="L283" s="209">
        <f t="shared" ref="L283:N284" si="59">L284</f>
        <v>0</v>
      </c>
      <c r="M283" s="209">
        <f t="shared" si="59"/>
        <v>59198.2</v>
      </c>
      <c r="N283" s="209">
        <f t="shared" si="59"/>
        <v>58229.599999999999</v>
      </c>
    </row>
    <row r="284" spans="1:14" s="471" customFormat="1" ht="56.25">
      <c r="A284" s="194"/>
      <c r="B284" s="207" t="s">
        <v>251</v>
      </c>
      <c r="C284" s="208" t="s">
        <v>686</v>
      </c>
      <c r="D284" s="193" t="s">
        <v>263</v>
      </c>
      <c r="E284" s="193" t="s">
        <v>109</v>
      </c>
      <c r="F284" s="461" t="s">
        <v>63</v>
      </c>
      <c r="G284" s="462" t="s">
        <v>54</v>
      </c>
      <c r="H284" s="462" t="s">
        <v>67</v>
      </c>
      <c r="I284" s="463" t="s">
        <v>68</v>
      </c>
      <c r="J284" s="193"/>
      <c r="K284" s="209">
        <v>59198.2</v>
      </c>
      <c r="L284" s="209">
        <f t="shared" si="59"/>
        <v>0</v>
      </c>
      <c r="M284" s="209">
        <f t="shared" si="59"/>
        <v>59198.2</v>
      </c>
      <c r="N284" s="209">
        <f t="shared" si="59"/>
        <v>58229.599999999999</v>
      </c>
    </row>
    <row r="285" spans="1:14" s="471" customFormat="1" ht="37.5">
      <c r="A285" s="194"/>
      <c r="B285" s="207" t="s">
        <v>344</v>
      </c>
      <c r="C285" s="208" t="s">
        <v>686</v>
      </c>
      <c r="D285" s="193" t="s">
        <v>263</v>
      </c>
      <c r="E285" s="193" t="s">
        <v>109</v>
      </c>
      <c r="F285" s="461" t="s">
        <v>63</v>
      </c>
      <c r="G285" s="462" t="s">
        <v>54</v>
      </c>
      <c r="H285" s="462" t="s">
        <v>61</v>
      </c>
      <c r="I285" s="463" t="s">
        <v>68</v>
      </c>
      <c r="J285" s="193"/>
      <c r="K285" s="209">
        <v>59198.2</v>
      </c>
      <c r="L285" s="209">
        <f>L286+L290+L295</f>
        <v>0</v>
      </c>
      <c r="M285" s="209">
        <f>M286+M290+M295</f>
        <v>59198.2</v>
      </c>
      <c r="N285" s="209">
        <f>N286+N290+N295</f>
        <v>58229.599999999999</v>
      </c>
    </row>
    <row r="286" spans="1:14" s="471" customFormat="1" ht="37.5">
      <c r="A286" s="194"/>
      <c r="B286" s="207" t="s">
        <v>71</v>
      </c>
      <c r="C286" s="208" t="s">
        <v>686</v>
      </c>
      <c r="D286" s="193" t="s">
        <v>263</v>
      </c>
      <c r="E286" s="193" t="s">
        <v>109</v>
      </c>
      <c r="F286" s="461" t="s">
        <v>63</v>
      </c>
      <c r="G286" s="462" t="s">
        <v>54</v>
      </c>
      <c r="H286" s="462" t="s">
        <v>61</v>
      </c>
      <c r="I286" s="463" t="s">
        <v>72</v>
      </c>
      <c r="J286" s="193"/>
      <c r="K286" s="209">
        <v>8958.5</v>
      </c>
      <c r="L286" s="209">
        <f>L287+L288+L289</f>
        <v>0</v>
      </c>
      <c r="M286" s="209">
        <f>M287+M288+M289</f>
        <v>8958.5</v>
      </c>
      <c r="N286" s="209">
        <f>N287+N288+N289</f>
        <v>8714</v>
      </c>
    </row>
    <row r="287" spans="1:14" s="471" customFormat="1" ht="112.5">
      <c r="A287" s="194"/>
      <c r="B287" s="207" t="s">
        <v>73</v>
      </c>
      <c r="C287" s="208" t="s">
        <v>686</v>
      </c>
      <c r="D287" s="193" t="s">
        <v>263</v>
      </c>
      <c r="E287" s="193" t="s">
        <v>109</v>
      </c>
      <c r="F287" s="461" t="s">
        <v>63</v>
      </c>
      <c r="G287" s="462" t="s">
        <v>54</v>
      </c>
      <c r="H287" s="462" t="s">
        <v>61</v>
      </c>
      <c r="I287" s="463" t="s">
        <v>72</v>
      </c>
      <c r="J287" s="193" t="s">
        <v>74</v>
      </c>
      <c r="K287" s="209">
        <v>8166.2</v>
      </c>
      <c r="L287" s="651">
        <f t="shared" ref="L287:L289" si="60">M287-K287</f>
        <v>0</v>
      </c>
      <c r="M287" s="209">
        <v>8166.2</v>
      </c>
      <c r="N287" s="209">
        <v>8166.2</v>
      </c>
    </row>
    <row r="288" spans="1:14" s="471" customFormat="1" ht="56.25">
      <c r="A288" s="194"/>
      <c r="B288" s="207" t="s">
        <v>79</v>
      </c>
      <c r="C288" s="208" t="s">
        <v>686</v>
      </c>
      <c r="D288" s="193" t="s">
        <v>263</v>
      </c>
      <c r="E288" s="193" t="s">
        <v>109</v>
      </c>
      <c r="F288" s="461" t="s">
        <v>63</v>
      </c>
      <c r="G288" s="462" t="s">
        <v>54</v>
      </c>
      <c r="H288" s="462" t="s">
        <v>61</v>
      </c>
      <c r="I288" s="463" t="s">
        <v>72</v>
      </c>
      <c r="J288" s="193" t="s">
        <v>80</v>
      </c>
      <c r="K288" s="209">
        <v>777.7</v>
      </c>
      <c r="L288" s="651">
        <f t="shared" si="60"/>
        <v>0</v>
      </c>
      <c r="M288" s="209">
        <v>777.7</v>
      </c>
      <c r="N288" s="209">
        <v>533.4</v>
      </c>
    </row>
    <row r="289" spans="1:14" s="471" customFormat="1" ht="18.75">
      <c r="A289" s="194"/>
      <c r="B289" s="207" t="s">
        <v>81</v>
      </c>
      <c r="C289" s="208" t="s">
        <v>686</v>
      </c>
      <c r="D289" s="193" t="s">
        <v>263</v>
      </c>
      <c r="E289" s="193" t="s">
        <v>109</v>
      </c>
      <c r="F289" s="461" t="s">
        <v>63</v>
      </c>
      <c r="G289" s="462" t="s">
        <v>54</v>
      </c>
      <c r="H289" s="462" t="s">
        <v>61</v>
      </c>
      <c r="I289" s="463" t="s">
        <v>72</v>
      </c>
      <c r="J289" s="193" t="s">
        <v>82</v>
      </c>
      <c r="K289" s="209">
        <v>14.6</v>
      </c>
      <c r="L289" s="651">
        <f t="shared" si="60"/>
        <v>0</v>
      </c>
      <c r="M289" s="209">
        <v>14.6</v>
      </c>
      <c r="N289" s="209">
        <v>14.4</v>
      </c>
    </row>
    <row r="290" spans="1:14" s="471" customFormat="1" ht="93.75">
      <c r="A290" s="194"/>
      <c r="B290" s="207" t="s">
        <v>121</v>
      </c>
      <c r="C290" s="208" t="s">
        <v>686</v>
      </c>
      <c r="D290" s="193" t="s">
        <v>263</v>
      </c>
      <c r="E290" s="193" t="s">
        <v>109</v>
      </c>
      <c r="F290" s="461" t="s">
        <v>63</v>
      </c>
      <c r="G290" s="462" t="s">
        <v>54</v>
      </c>
      <c r="H290" s="462" t="s">
        <v>61</v>
      </c>
      <c r="I290" s="463" t="s">
        <v>123</v>
      </c>
      <c r="J290" s="193"/>
      <c r="K290" s="209">
        <v>44078.299999999996</v>
      </c>
      <c r="L290" s="209">
        <f>L291+L292+L294+L293</f>
        <v>0</v>
      </c>
      <c r="M290" s="209">
        <f>M291+M292+M294+M293</f>
        <v>44078.299999999996</v>
      </c>
      <c r="N290" s="209">
        <f>N291+N292+N294+N293</f>
        <v>43354.2</v>
      </c>
    </row>
    <row r="291" spans="1:14" s="471" customFormat="1" ht="112.5">
      <c r="A291" s="194"/>
      <c r="B291" s="207" t="s">
        <v>73</v>
      </c>
      <c r="C291" s="208" t="s">
        <v>686</v>
      </c>
      <c r="D291" s="193" t="s">
        <v>263</v>
      </c>
      <c r="E291" s="193" t="s">
        <v>109</v>
      </c>
      <c r="F291" s="461" t="s">
        <v>63</v>
      </c>
      <c r="G291" s="462" t="s">
        <v>54</v>
      </c>
      <c r="H291" s="462" t="s">
        <v>61</v>
      </c>
      <c r="I291" s="463" t="s">
        <v>123</v>
      </c>
      <c r="J291" s="193" t="s">
        <v>74</v>
      </c>
      <c r="K291" s="209">
        <v>25962.199999999997</v>
      </c>
      <c r="L291" s="651">
        <f t="shared" ref="L291:L294" si="61">M291-K291</f>
        <v>0</v>
      </c>
      <c r="M291" s="209">
        <f>22683.1+3279.1</f>
        <v>25962.199999999997</v>
      </c>
      <c r="N291" s="209">
        <f>M291</f>
        <v>25962.199999999997</v>
      </c>
    </row>
    <row r="292" spans="1:14" s="471" customFormat="1" ht="56.25">
      <c r="A292" s="194"/>
      <c r="B292" s="207" t="s">
        <v>79</v>
      </c>
      <c r="C292" s="208" t="s">
        <v>686</v>
      </c>
      <c r="D292" s="193" t="s">
        <v>263</v>
      </c>
      <c r="E292" s="193" t="s">
        <v>109</v>
      </c>
      <c r="F292" s="461" t="s">
        <v>63</v>
      </c>
      <c r="G292" s="462" t="s">
        <v>54</v>
      </c>
      <c r="H292" s="462" t="s">
        <v>61</v>
      </c>
      <c r="I292" s="463" t="s">
        <v>123</v>
      </c>
      <c r="J292" s="193" t="s">
        <v>80</v>
      </c>
      <c r="K292" s="209">
        <v>2705.8</v>
      </c>
      <c r="L292" s="651">
        <f t="shared" si="61"/>
        <v>0</v>
      </c>
      <c r="M292" s="209">
        <v>2705.8</v>
      </c>
      <c r="N292" s="209">
        <v>2232.3000000000002</v>
      </c>
    </row>
    <row r="293" spans="1:14" s="471" customFormat="1" ht="56.25">
      <c r="A293" s="194"/>
      <c r="B293" s="207" t="s">
        <v>105</v>
      </c>
      <c r="C293" s="208" t="s">
        <v>686</v>
      </c>
      <c r="D293" s="193" t="s">
        <v>263</v>
      </c>
      <c r="E293" s="193" t="s">
        <v>109</v>
      </c>
      <c r="F293" s="461" t="s">
        <v>63</v>
      </c>
      <c r="G293" s="462" t="s">
        <v>54</v>
      </c>
      <c r="H293" s="462" t="s">
        <v>61</v>
      </c>
      <c r="I293" s="463" t="s">
        <v>123</v>
      </c>
      <c r="J293" s="193" t="s">
        <v>106</v>
      </c>
      <c r="K293" s="209">
        <v>15403.9</v>
      </c>
      <c r="L293" s="651">
        <f t="shared" si="61"/>
        <v>0</v>
      </c>
      <c r="M293" s="209">
        <v>15403.9</v>
      </c>
      <c r="N293" s="209">
        <v>15153.9</v>
      </c>
    </row>
    <row r="294" spans="1:14" s="471" customFormat="1" ht="18.75">
      <c r="A294" s="194"/>
      <c r="B294" s="207" t="s">
        <v>81</v>
      </c>
      <c r="C294" s="208" t="s">
        <v>686</v>
      </c>
      <c r="D294" s="193" t="s">
        <v>263</v>
      </c>
      <c r="E294" s="193" t="s">
        <v>109</v>
      </c>
      <c r="F294" s="461" t="s">
        <v>63</v>
      </c>
      <c r="G294" s="462" t="s">
        <v>54</v>
      </c>
      <c r="H294" s="462" t="s">
        <v>61</v>
      </c>
      <c r="I294" s="463" t="s">
        <v>123</v>
      </c>
      <c r="J294" s="193" t="s">
        <v>82</v>
      </c>
      <c r="K294" s="209">
        <v>6.4</v>
      </c>
      <c r="L294" s="651">
        <f t="shared" si="61"/>
        <v>0</v>
      </c>
      <c r="M294" s="209">
        <v>6.4</v>
      </c>
      <c r="N294" s="209">
        <v>5.8</v>
      </c>
    </row>
    <row r="295" spans="1:14" s="471" customFormat="1" ht="114" customHeight="1">
      <c r="A295" s="194"/>
      <c r="B295" s="207" t="s">
        <v>439</v>
      </c>
      <c r="C295" s="208" t="s">
        <v>686</v>
      </c>
      <c r="D295" s="193" t="s">
        <v>263</v>
      </c>
      <c r="E295" s="193" t="s">
        <v>109</v>
      </c>
      <c r="F295" s="461" t="s">
        <v>63</v>
      </c>
      <c r="G295" s="462" t="s">
        <v>54</v>
      </c>
      <c r="H295" s="462" t="s">
        <v>61</v>
      </c>
      <c r="I295" s="463" t="s">
        <v>332</v>
      </c>
      <c r="J295" s="193"/>
      <c r="K295" s="209">
        <v>6161.4000000000005</v>
      </c>
      <c r="L295" s="209">
        <f>L296+L297</f>
        <v>0</v>
      </c>
      <c r="M295" s="209">
        <f>M296+M297</f>
        <v>6161.4000000000005</v>
      </c>
      <c r="N295" s="209">
        <f>N296+N297</f>
        <v>6161.4000000000005</v>
      </c>
    </row>
    <row r="296" spans="1:14" s="471" customFormat="1" ht="112.5">
      <c r="A296" s="194"/>
      <c r="B296" s="207" t="s">
        <v>73</v>
      </c>
      <c r="C296" s="208" t="s">
        <v>686</v>
      </c>
      <c r="D296" s="193" t="s">
        <v>263</v>
      </c>
      <c r="E296" s="193" t="s">
        <v>109</v>
      </c>
      <c r="F296" s="461" t="s">
        <v>63</v>
      </c>
      <c r="G296" s="462" t="s">
        <v>54</v>
      </c>
      <c r="H296" s="462" t="s">
        <v>61</v>
      </c>
      <c r="I296" s="463" t="s">
        <v>332</v>
      </c>
      <c r="J296" s="193" t="s">
        <v>74</v>
      </c>
      <c r="K296" s="209">
        <v>5804.3</v>
      </c>
      <c r="L296" s="651">
        <f t="shared" ref="L296:L297" si="62">M296-K296</f>
        <v>0</v>
      </c>
      <c r="M296" s="209">
        <v>5804.3</v>
      </c>
      <c r="N296" s="209">
        <v>5804.3</v>
      </c>
    </row>
    <row r="297" spans="1:14" s="471" customFormat="1" ht="56.25">
      <c r="A297" s="194"/>
      <c r="B297" s="207" t="s">
        <v>79</v>
      </c>
      <c r="C297" s="208" t="s">
        <v>686</v>
      </c>
      <c r="D297" s="193" t="s">
        <v>263</v>
      </c>
      <c r="E297" s="193" t="s">
        <v>109</v>
      </c>
      <c r="F297" s="461" t="s">
        <v>63</v>
      </c>
      <c r="G297" s="462" t="s">
        <v>54</v>
      </c>
      <c r="H297" s="462" t="s">
        <v>61</v>
      </c>
      <c r="I297" s="463" t="s">
        <v>332</v>
      </c>
      <c r="J297" s="193" t="s">
        <v>80</v>
      </c>
      <c r="K297" s="209">
        <v>357.1</v>
      </c>
      <c r="L297" s="651">
        <f t="shared" si="62"/>
        <v>0</v>
      </c>
      <c r="M297" s="209">
        <v>357.1</v>
      </c>
      <c r="N297" s="209">
        <v>357.1</v>
      </c>
    </row>
    <row r="298" spans="1:14" s="471" customFormat="1" ht="18.75">
      <c r="A298" s="194"/>
      <c r="B298" s="212" t="s">
        <v>151</v>
      </c>
      <c r="C298" s="208" t="s">
        <v>686</v>
      </c>
      <c r="D298" s="193" t="s">
        <v>136</v>
      </c>
      <c r="E298" s="193"/>
      <c r="F298" s="461"/>
      <c r="G298" s="462"/>
      <c r="H298" s="462"/>
      <c r="I298" s="463"/>
      <c r="J298" s="193"/>
      <c r="K298" s="209">
        <v>7904.9000000000005</v>
      </c>
      <c r="L298" s="209">
        <f t="shared" ref="L298:N299" si="63">L299</f>
        <v>0</v>
      </c>
      <c r="M298" s="209">
        <f t="shared" si="63"/>
        <v>7904.9000000000005</v>
      </c>
      <c r="N298" s="209">
        <f t="shared" si="63"/>
        <v>7904.9000000000005</v>
      </c>
    </row>
    <row r="299" spans="1:14" s="471" customFormat="1" ht="18.75">
      <c r="A299" s="194"/>
      <c r="B299" s="212" t="s">
        <v>232</v>
      </c>
      <c r="C299" s="208" t="s">
        <v>686</v>
      </c>
      <c r="D299" s="193" t="s">
        <v>136</v>
      </c>
      <c r="E299" s="193" t="s">
        <v>76</v>
      </c>
      <c r="F299" s="461"/>
      <c r="G299" s="462"/>
      <c r="H299" s="462"/>
      <c r="I299" s="463"/>
      <c r="J299" s="193"/>
      <c r="K299" s="209">
        <v>7904.9000000000005</v>
      </c>
      <c r="L299" s="209">
        <f t="shared" si="63"/>
        <v>0</v>
      </c>
      <c r="M299" s="209">
        <f t="shared" si="63"/>
        <v>7904.9000000000005</v>
      </c>
      <c r="N299" s="209">
        <f t="shared" si="63"/>
        <v>7904.9000000000005</v>
      </c>
    </row>
    <row r="300" spans="1:14" s="471" customFormat="1" ht="56.25">
      <c r="A300" s="194"/>
      <c r="B300" s="207" t="s">
        <v>244</v>
      </c>
      <c r="C300" s="208" t="s">
        <v>686</v>
      </c>
      <c r="D300" s="193" t="s">
        <v>136</v>
      </c>
      <c r="E300" s="193" t="s">
        <v>76</v>
      </c>
      <c r="F300" s="461" t="s">
        <v>63</v>
      </c>
      <c r="G300" s="462" t="s">
        <v>66</v>
      </c>
      <c r="H300" s="462" t="s">
        <v>67</v>
      </c>
      <c r="I300" s="463" t="s">
        <v>68</v>
      </c>
      <c r="J300" s="193"/>
      <c r="K300" s="209">
        <v>7904.9000000000005</v>
      </c>
      <c r="L300" s="209">
        <f t="shared" ref="L300:N302" si="64">L301</f>
        <v>0</v>
      </c>
      <c r="M300" s="209">
        <f t="shared" si="64"/>
        <v>7904.9000000000005</v>
      </c>
      <c r="N300" s="209">
        <f t="shared" si="64"/>
        <v>7904.9000000000005</v>
      </c>
    </row>
    <row r="301" spans="1:14" s="471" customFormat="1" ht="37.5">
      <c r="A301" s="194"/>
      <c r="B301" s="207" t="s">
        <v>245</v>
      </c>
      <c r="C301" s="208" t="s">
        <v>686</v>
      </c>
      <c r="D301" s="193" t="s">
        <v>136</v>
      </c>
      <c r="E301" s="193" t="s">
        <v>76</v>
      </c>
      <c r="F301" s="461" t="s">
        <v>63</v>
      </c>
      <c r="G301" s="462" t="s">
        <v>69</v>
      </c>
      <c r="H301" s="462" t="s">
        <v>67</v>
      </c>
      <c r="I301" s="463" t="s">
        <v>68</v>
      </c>
      <c r="J301" s="193"/>
      <c r="K301" s="209">
        <v>7904.9000000000005</v>
      </c>
      <c r="L301" s="209">
        <f t="shared" si="64"/>
        <v>0</v>
      </c>
      <c r="M301" s="209">
        <f t="shared" si="64"/>
        <v>7904.9000000000005</v>
      </c>
      <c r="N301" s="209">
        <f t="shared" si="64"/>
        <v>7904.9000000000005</v>
      </c>
    </row>
    <row r="302" spans="1:14" s="471" customFormat="1" ht="37.5">
      <c r="A302" s="194"/>
      <c r="B302" s="207" t="s">
        <v>329</v>
      </c>
      <c r="C302" s="208" t="s">
        <v>686</v>
      </c>
      <c r="D302" s="193" t="s">
        <v>136</v>
      </c>
      <c r="E302" s="193" t="s">
        <v>76</v>
      </c>
      <c r="F302" s="461" t="s">
        <v>63</v>
      </c>
      <c r="G302" s="462" t="s">
        <v>69</v>
      </c>
      <c r="H302" s="462" t="s">
        <v>61</v>
      </c>
      <c r="I302" s="463" t="s">
        <v>68</v>
      </c>
      <c r="J302" s="193"/>
      <c r="K302" s="209">
        <v>7904.9000000000005</v>
      </c>
      <c r="L302" s="209">
        <f t="shared" si="64"/>
        <v>0</v>
      </c>
      <c r="M302" s="209">
        <f t="shared" si="64"/>
        <v>7904.9000000000005</v>
      </c>
      <c r="N302" s="209">
        <f t="shared" si="64"/>
        <v>7904.9000000000005</v>
      </c>
    </row>
    <row r="303" spans="1:14" s="471" customFormat="1" ht="133.5" customHeight="1">
      <c r="A303" s="194"/>
      <c r="B303" s="207" t="s">
        <v>345</v>
      </c>
      <c r="C303" s="208" t="s">
        <v>686</v>
      </c>
      <c r="D303" s="193" t="s">
        <v>136</v>
      </c>
      <c r="E303" s="193" t="s">
        <v>76</v>
      </c>
      <c r="F303" s="461" t="s">
        <v>63</v>
      </c>
      <c r="G303" s="462" t="s">
        <v>69</v>
      </c>
      <c r="H303" s="462" t="s">
        <v>61</v>
      </c>
      <c r="I303" s="463" t="s">
        <v>346</v>
      </c>
      <c r="J303" s="193"/>
      <c r="K303" s="209">
        <v>7904.9000000000005</v>
      </c>
      <c r="L303" s="209">
        <f>L304+L305</f>
        <v>0</v>
      </c>
      <c r="M303" s="209">
        <f>M304+M305</f>
        <v>7904.9000000000005</v>
      </c>
      <c r="N303" s="209">
        <f>N304+N305</f>
        <v>7904.9000000000005</v>
      </c>
    </row>
    <row r="304" spans="1:14" s="471" customFormat="1" ht="56.25">
      <c r="A304" s="194"/>
      <c r="B304" s="207" t="s">
        <v>79</v>
      </c>
      <c r="C304" s="208" t="s">
        <v>686</v>
      </c>
      <c r="D304" s="193" t="s">
        <v>136</v>
      </c>
      <c r="E304" s="193" t="s">
        <v>76</v>
      </c>
      <c r="F304" s="461" t="s">
        <v>63</v>
      </c>
      <c r="G304" s="462" t="s">
        <v>69</v>
      </c>
      <c r="H304" s="462" t="s">
        <v>61</v>
      </c>
      <c r="I304" s="463" t="s">
        <v>346</v>
      </c>
      <c r="J304" s="193" t="s">
        <v>80</v>
      </c>
      <c r="K304" s="209">
        <v>116.8</v>
      </c>
      <c r="L304" s="651">
        <f t="shared" ref="L304:L305" si="65">M304-K304</f>
        <v>0</v>
      </c>
      <c r="M304" s="209">
        <v>116.8</v>
      </c>
      <c r="N304" s="209">
        <v>116.8</v>
      </c>
    </row>
    <row r="305" spans="1:15" s="471" customFormat="1" ht="37.5">
      <c r="A305" s="194"/>
      <c r="B305" s="211" t="s">
        <v>152</v>
      </c>
      <c r="C305" s="208" t="s">
        <v>686</v>
      </c>
      <c r="D305" s="193" t="s">
        <v>136</v>
      </c>
      <c r="E305" s="193" t="s">
        <v>76</v>
      </c>
      <c r="F305" s="461" t="s">
        <v>63</v>
      </c>
      <c r="G305" s="462" t="s">
        <v>69</v>
      </c>
      <c r="H305" s="462" t="s">
        <v>61</v>
      </c>
      <c r="I305" s="463" t="s">
        <v>346</v>
      </c>
      <c r="J305" s="193" t="s">
        <v>153</v>
      </c>
      <c r="K305" s="209">
        <v>7788.1</v>
      </c>
      <c r="L305" s="651">
        <f t="shared" si="65"/>
        <v>0</v>
      </c>
      <c r="M305" s="209">
        <v>7788.1</v>
      </c>
      <c r="N305" s="209">
        <v>7788.1</v>
      </c>
    </row>
    <row r="306" spans="1:15" s="473" customFormat="1" ht="18.75">
      <c r="A306" s="194"/>
      <c r="B306" s="207"/>
      <c r="C306" s="208"/>
      <c r="D306" s="193"/>
      <c r="E306" s="193"/>
      <c r="F306" s="461"/>
      <c r="G306" s="462"/>
      <c r="H306" s="462"/>
      <c r="I306" s="463"/>
      <c r="J306" s="193"/>
      <c r="K306" s="209"/>
      <c r="L306" s="209"/>
      <c r="M306" s="209"/>
      <c r="N306" s="209"/>
    </row>
    <row r="307" spans="1:15" s="465" customFormat="1" ht="56.25">
      <c r="A307" s="464">
        <v>6</v>
      </c>
      <c r="B307" s="504" t="s">
        <v>29</v>
      </c>
      <c r="C307" s="202" t="s">
        <v>399</v>
      </c>
      <c r="D307" s="203"/>
      <c r="E307" s="203"/>
      <c r="F307" s="204"/>
      <c r="G307" s="205"/>
      <c r="H307" s="205"/>
      <c r="I307" s="206"/>
      <c r="J307" s="203"/>
      <c r="K307" s="235">
        <v>86183.6</v>
      </c>
      <c r="L307" s="235">
        <f>L308+L315</f>
        <v>0</v>
      </c>
      <c r="M307" s="235">
        <f>M308+M315</f>
        <v>86183.6</v>
      </c>
      <c r="N307" s="235">
        <f>N308+N315</f>
        <v>84945.5</v>
      </c>
    </row>
    <row r="308" spans="1:15" s="190" customFormat="1" ht="18.75">
      <c r="A308" s="194"/>
      <c r="B308" s="213" t="s">
        <v>218</v>
      </c>
      <c r="C308" s="208" t="s">
        <v>399</v>
      </c>
      <c r="D308" s="193" t="s">
        <v>263</v>
      </c>
      <c r="E308" s="193"/>
      <c r="F308" s="461"/>
      <c r="G308" s="462"/>
      <c r="H308" s="462"/>
      <c r="I308" s="463"/>
      <c r="J308" s="193"/>
      <c r="K308" s="209">
        <v>53408.9</v>
      </c>
      <c r="L308" s="209">
        <f t="shared" ref="L308:N309" si="66">L309</f>
        <v>0</v>
      </c>
      <c r="M308" s="209">
        <f t="shared" si="66"/>
        <v>53408.9</v>
      </c>
      <c r="N308" s="209">
        <f t="shared" si="66"/>
        <v>53138</v>
      </c>
    </row>
    <row r="309" spans="1:15" s="465" customFormat="1" ht="18.75">
      <c r="A309" s="194"/>
      <c r="B309" s="213" t="s">
        <v>448</v>
      </c>
      <c r="C309" s="208" t="s">
        <v>399</v>
      </c>
      <c r="D309" s="193" t="s">
        <v>263</v>
      </c>
      <c r="E309" s="193" t="s">
        <v>89</v>
      </c>
      <c r="F309" s="461"/>
      <c r="G309" s="462"/>
      <c r="H309" s="462"/>
      <c r="I309" s="463"/>
      <c r="J309" s="193"/>
      <c r="K309" s="209">
        <v>53408.9</v>
      </c>
      <c r="L309" s="209">
        <f t="shared" si="66"/>
        <v>0</v>
      </c>
      <c r="M309" s="209">
        <f t="shared" si="66"/>
        <v>53408.9</v>
      </c>
      <c r="N309" s="209">
        <f t="shared" si="66"/>
        <v>53138</v>
      </c>
    </row>
    <row r="310" spans="1:15" s="465" customFormat="1" ht="56.25">
      <c r="A310" s="194"/>
      <c r="B310" s="213" t="s">
        <v>252</v>
      </c>
      <c r="C310" s="208" t="s">
        <v>399</v>
      </c>
      <c r="D310" s="193" t="s">
        <v>263</v>
      </c>
      <c r="E310" s="193" t="s">
        <v>89</v>
      </c>
      <c r="F310" s="461" t="s">
        <v>89</v>
      </c>
      <c r="G310" s="462" t="s">
        <v>66</v>
      </c>
      <c r="H310" s="462" t="s">
        <v>67</v>
      </c>
      <c r="I310" s="463" t="s">
        <v>68</v>
      </c>
      <c r="J310" s="193"/>
      <c r="K310" s="209">
        <v>53408.9</v>
      </c>
      <c r="L310" s="209">
        <f>L311+L329</f>
        <v>0</v>
      </c>
      <c r="M310" s="209">
        <f>M311+M329</f>
        <v>53408.9</v>
      </c>
      <c r="N310" s="209">
        <f>N311+N329</f>
        <v>53138</v>
      </c>
    </row>
    <row r="311" spans="1:15" s="465" customFormat="1" ht="75">
      <c r="A311" s="194"/>
      <c r="B311" s="213" t="s">
        <v>253</v>
      </c>
      <c r="C311" s="208" t="s">
        <v>399</v>
      </c>
      <c r="D311" s="193" t="s">
        <v>263</v>
      </c>
      <c r="E311" s="193" t="s">
        <v>89</v>
      </c>
      <c r="F311" s="461" t="s">
        <v>89</v>
      </c>
      <c r="G311" s="462" t="s">
        <v>69</v>
      </c>
      <c r="H311" s="462" t="s">
        <v>67</v>
      </c>
      <c r="I311" s="463" t="s">
        <v>68</v>
      </c>
      <c r="J311" s="193"/>
      <c r="K311" s="209">
        <v>53366.8</v>
      </c>
      <c r="L311" s="209">
        <f t="shared" ref="L311:N313" si="67">L312</f>
        <v>0</v>
      </c>
      <c r="M311" s="209">
        <f t="shared" si="67"/>
        <v>53366.8</v>
      </c>
      <c r="N311" s="209">
        <f t="shared" si="67"/>
        <v>53095.9</v>
      </c>
    </row>
    <row r="312" spans="1:15" s="465" customFormat="1" ht="37.5">
      <c r="A312" s="194"/>
      <c r="B312" s="213" t="s">
        <v>338</v>
      </c>
      <c r="C312" s="208" t="s">
        <v>399</v>
      </c>
      <c r="D312" s="193" t="s">
        <v>263</v>
      </c>
      <c r="E312" s="193" t="s">
        <v>89</v>
      </c>
      <c r="F312" s="461" t="s">
        <v>89</v>
      </c>
      <c r="G312" s="462" t="s">
        <v>69</v>
      </c>
      <c r="H312" s="462" t="s">
        <v>61</v>
      </c>
      <c r="I312" s="463" t="s">
        <v>68</v>
      </c>
      <c r="J312" s="193"/>
      <c r="K312" s="209">
        <v>53366.8</v>
      </c>
      <c r="L312" s="209">
        <f t="shared" si="67"/>
        <v>0</v>
      </c>
      <c r="M312" s="209">
        <f t="shared" si="67"/>
        <v>53366.8</v>
      </c>
      <c r="N312" s="209">
        <f t="shared" si="67"/>
        <v>53095.9</v>
      </c>
    </row>
    <row r="313" spans="1:15" s="465" customFormat="1" ht="93.75">
      <c r="A313" s="194"/>
      <c r="B313" s="210" t="s">
        <v>400</v>
      </c>
      <c r="C313" s="208" t="s">
        <v>399</v>
      </c>
      <c r="D313" s="193" t="s">
        <v>263</v>
      </c>
      <c r="E313" s="193" t="s">
        <v>89</v>
      </c>
      <c r="F313" s="461" t="s">
        <v>89</v>
      </c>
      <c r="G313" s="462" t="s">
        <v>69</v>
      </c>
      <c r="H313" s="462" t="s">
        <v>61</v>
      </c>
      <c r="I313" s="463" t="s">
        <v>123</v>
      </c>
      <c r="J313" s="193"/>
      <c r="K313" s="209">
        <v>53366.8</v>
      </c>
      <c r="L313" s="209">
        <f t="shared" si="67"/>
        <v>0</v>
      </c>
      <c r="M313" s="209">
        <f t="shared" si="67"/>
        <v>53366.8</v>
      </c>
      <c r="N313" s="209">
        <f t="shared" si="67"/>
        <v>53095.9</v>
      </c>
    </row>
    <row r="314" spans="1:15" s="190" customFormat="1" ht="56.25">
      <c r="A314" s="194"/>
      <c r="B314" s="211" t="s">
        <v>105</v>
      </c>
      <c r="C314" s="208" t="s">
        <v>399</v>
      </c>
      <c r="D314" s="193" t="s">
        <v>263</v>
      </c>
      <c r="E314" s="193" t="s">
        <v>89</v>
      </c>
      <c r="F314" s="461" t="s">
        <v>89</v>
      </c>
      <c r="G314" s="462" t="s">
        <v>69</v>
      </c>
      <c r="H314" s="462" t="s">
        <v>61</v>
      </c>
      <c r="I314" s="463" t="s">
        <v>123</v>
      </c>
      <c r="J314" s="193" t="s">
        <v>106</v>
      </c>
      <c r="K314" s="209">
        <v>53366.8</v>
      </c>
      <c r="L314" s="651">
        <f>M314-K314</f>
        <v>0</v>
      </c>
      <c r="M314" s="209">
        <v>53366.8</v>
      </c>
      <c r="N314" s="209">
        <f>53093.3+2.6</f>
        <v>53095.9</v>
      </c>
      <c r="O314" s="190">
        <f>-13-45.2-4.7+2.6</f>
        <v>-60.300000000000004</v>
      </c>
    </row>
    <row r="315" spans="1:15" s="190" customFormat="1" ht="18.75">
      <c r="A315" s="194"/>
      <c r="B315" s="207" t="s">
        <v>227</v>
      </c>
      <c r="C315" s="208" t="s">
        <v>399</v>
      </c>
      <c r="D315" s="193" t="s">
        <v>265</v>
      </c>
      <c r="E315" s="193"/>
      <c r="F315" s="461"/>
      <c r="G315" s="462"/>
      <c r="H315" s="462"/>
      <c r="I315" s="463"/>
      <c r="J315" s="193"/>
      <c r="K315" s="209">
        <v>32774.699999999997</v>
      </c>
      <c r="L315" s="209">
        <f>L316+L333</f>
        <v>0</v>
      </c>
      <c r="M315" s="209">
        <f>M316+M333</f>
        <v>32774.699999999997</v>
      </c>
      <c r="N315" s="209">
        <f>N316+N333</f>
        <v>31807.499999999996</v>
      </c>
    </row>
    <row r="316" spans="1:15" s="190" customFormat="1" ht="18.75">
      <c r="A316" s="194"/>
      <c r="B316" s="207" t="s">
        <v>229</v>
      </c>
      <c r="C316" s="208" t="s">
        <v>399</v>
      </c>
      <c r="D316" s="193" t="s">
        <v>265</v>
      </c>
      <c r="E316" s="193" t="s">
        <v>61</v>
      </c>
      <c r="F316" s="461"/>
      <c r="G316" s="462"/>
      <c r="H316" s="462"/>
      <c r="I316" s="463"/>
      <c r="J316" s="193"/>
      <c r="K316" s="209">
        <v>23711.199999999997</v>
      </c>
      <c r="L316" s="209">
        <f t="shared" ref="L316:N317" si="68">L317</f>
        <v>0</v>
      </c>
      <c r="M316" s="209">
        <f t="shared" si="68"/>
        <v>23711.199999999997</v>
      </c>
      <c r="N316" s="209">
        <f t="shared" si="68"/>
        <v>23240.699999999997</v>
      </c>
    </row>
    <row r="317" spans="1:15" s="190" customFormat="1" ht="56.25">
      <c r="A317" s="194"/>
      <c r="B317" s="213" t="s">
        <v>252</v>
      </c>
      <c r="C317" s="208" t="s">
        <v>399</v>
      </c>
      <c r="D317" s="193" t="s">
        <v>265</v>
      </c>
      <c r="E317" s="193" t="s">
        <v>61</v>
      </c>
      <c r="F317" s="461" t="s">
        <v>89</v>
      </c>
      <c r="G317" s="462" t="s">
        <v>66</v>
      </c>
      <c r="H317" s="462" t="s">
        <v>67</v>
      </c>
      <c r="I317" s="463" t="s">
        <v>68</v>
      </c>
      <c r="J317" s="193"/>
      <c r="K317" s="209">
        <v>23711.199999999997</v>
      </c>
      <c r="L317" s="209">
        <f t="shared" si="68"/>
        <v>0</v>
      </c>
      <c r="M317" s="209">
        <f t="shared" si="68"/>
        <v>23711.199999999997</v>
      </c>
      <c r="N317" s="209">
        <f t="shared" si="68"/>
        <v>23240.699999999997</v>
      </c>
    </row>
    <row r="318" spans="1:15" s="190" customFormat="1" ht="75">
      <c r="A318" s="194"/>
      <c r="B318" s="213" t="s">
        <v>253</v>
      </c>
      <c r="C318" s="208" t="s">
        <v>399</v>
      </c>
      <c r="D318" s="193" t="s">
        <v>265</v>
      </c>
      <c r="E318" s="193" t="s">
        <v>61</v>
      </c>
      <c r="F318" s="223" t="s">
        <v>89</v>
      </c>
      <c r="G318" s="385" t="s">
        <v>69</v>
      </c>
      <c r="H318" s="385" t="s">
        <v>67</v>
      </c>
      <c r="I318" s="386" t="s">
        <v>68</v>
      </c>
      <c r="J318" s="387"/>
      <c r="K318" s="209">
        <v>23711.199999999997</v>
      </c>
      <c r="L318" s="209">
        <f>L319+L324</f>
        <v>0</v>
      </c>
      <c r="M318" s="209">
        <f>M319+M324</f>
        <v>23711.199999999997</v>
      </c>
      <c r="N318" s="209">
        <f>N319+N324</f>
        <v>23240.699999999997</v>
      </c>
    </row>
    <row r="319" spans="1:15" s="190" customFormat="1" ht="18.75">
      <c r="A319" s="194"/>
      <c r="B319" s="207" t="s">
        <v>403</v>
      </c>
      <c r="C319" s="208" t="s">
        <v>399</v>
      </c>
      <c r="D319" s="193" t="s">
        <v>265</v>
      </c>
      <c r="E319" s="193" t="s">
        <v>61</v>
      </c>
      <c r="F319" s="223" t="s">
        <v>89</v>
      </c>
      <c r="G319" s="385" t="s">
        <v>69</v>
      </c>
      <c r="H319" s="385" t="s">
        <v>89</v>
      </c>
      <c r="I319" s="386" t="s">
        <v>68</v>
      </c>
      <c r="J319" s="387"/>
      <c r="K319" s="209">
        <v>11242.199999999999</v>
      </c>
      <c r="L319" s="209">
        <f>L320+L322</f>
        <v>0</v>
      </c>
      <c r="M319" s="209">
        <f t="shared" ref="M319:N319" si="69">M320+M322</f>
        <v>11242.199999999999</v>
      </c>
      <c r="N319" s="209">
        <f t="shared" si="69"/>
        <v>10949.9</v>
      </c>
    </row>
    <row r="320" spans="1:15" s="190" customFormat="1" ht="93.75">
      <c r="A320" s="194"/>
      <c r="B320" s="210" t="s">
        <v>404</v>
      </c>
      <c r="C320" s="208" t="s">
        <v>399</v>
      </c>
      <c r="D320" s="193" t="s">
        <v>265</v>
      </c>
      <c r="E320" s="193" t="s">
        <v>61</v>
      </c>
      <c r="F320" s="223" t="s">
        <v>89</v>
      </c>
      <c r="G320" s="385" t="s">
        <v>69</v>
      </c>
      <c r="H320" s="385" t="s">
        <v>89</v>
      </c>
      <c r="I320" s="386" t="s">
        <v>123</v>
      </c>
      <c r="J320" s="387"/>
      <c r="K320" s="209">
        <v>11190.9</v>
      </c>
      <c r="L320" s="209">
        <f>L321</f>
        <v>0</v>
      </c>
      <c r="M320" s="209">
        <f>M321</f>
        <v>11190.9</v>
      </c>
      <c r="N320" s="209">
        <f>N321</f>
        <v>10949.9</v>
      </c>
    </row>
    <row r="321" spans="1:14" s="190" customFormat="1" ht="56.25">
      <c r="A321" s="194"/>
      <c r="B321" s="211" t="s">
        <v>105</v>
      </c>
      <c r="C321" s="208" t="s">
        <v>399</v>
      </c>
      <c r="D321" s="193" t="s">
        <v>265</v>
      </c>
      <c r="E321" s="193" t="s">
        <v>61</v>
      </c>
      <c r="F321" s="461" t="s">
        <v>89</v>
      </c>
      <c r="G321" s="462" t="s">
        <v>69</v>
      </c>
      <c r="H321" s="462" t="s">
        <v>89</v>
      </c>
      <c r="I321" s="463" t="s">
        <v>123</v>
      </c>
      <c r="J321" s="193" t="s">
        <v>106</v>
      </c>
      <c r="K321" s="209">
        <v>11190.9</v>
      </c>
      <c r="L321" s="651">
        <f>M321-K321</f>
        <v>0</v>
      </c>
      <c r="M321" s="209">
        <v>11190.9</v>
      </c>
      <c r="N321" s="209">
        <v>10949.9</v>
      </c>
    </row>
    <row r="322" spans="1:14" s="190" customFormat="1" ht="93.75">
      <c r="A322" s="194"/>
      <c r="B322" s="211" t="s">
        <v>886</v>
      </c>
      <c r="C322" s="208" t="s">
        <v>399</v>
      </c>
      <c r="D322" s="193" t="s">
        <v>265</v>
      </c>
      <c r="E322" s="193" t="s">
        <v>61</v>
      </c>
      <c r="F322" s="656" t="s">
        <v>89</v>
      </c>
      <c r="G322" s="657" t="s">
        <v>69</v>
      </c>
      <c r="H322" s="657" t="s">
        <v>89</v>
      </c>
      <c r="I322" s="658" t="s">
        <v>885</v>
      </c>
      <c r="J322" s="193"/>
      <c r="K322" s="209">
        <v>51.3</v>
      </c>
      <c r="L322" s="209">
        <f>L323</f>
        <v>0</v>
      </c>
      <c r="M322" s="209">
        <f>M323</f>
        <v>51.3</v>
      </c>
      <c r="N322" s="209">
        <f>N323</f>
        <v>0</v>
      </c>
    </row>
    <row r="323" spans="1:14" s="190" customFormat="1" ht="56.25">
      <c r="A323" s="194"/>
      <c r="B323" s="211" t="s">
        <v>105</v>
      </c>
      <c r="C323" s="208" t="s">
        <v>399</v>
      </c>
      <c r="D323" s="193" t="s">
        <v>265</v>
      </c>
      <c r="E323" s="193" t="s">
        <v>61</v>
      </c>
      <c r="F323" s="656" t="s">
        <v>89</v>
      </c>
      <c r="G323" s="657" t="s">
        <v>69</v>
      </c>
      <c r="H323" s="657" t="s">
        <v>89</v>
      </c>
      <c r="I323" s="658" t="s">
        <v>885</v>
      </c>
      <c r="J323" s="193" t="s">
        <v>106</v>
      </c>
      <c r="K323" s="209">
        <v>51.3</v>
      </c>
      <c r="L323" s="651">
        <f>M323-K323</f>
        <v>0</v>
      </c>
      <c r="M323" s="209">
        <f>51.3</f>
        <v>51.3</v>
      </c>
      <c r="N323" s="209">
        <v>0</v>
      </c>
    </row>
    <row r="324" spans="1:14" s="190" customFormat="1" ht="37.5">
      <c r="A324" s="194"/>
      <c r="B324" s="211" t="s">
        <v>406</v>
      </c>
      <c r="C324" s="208" t="s">
        <v>399</v>
      </c>
      <c r="D324" s="193" t="s">
        <v>265</v>
      </c>
      <c r="E324" s="193" t="s">
        <v>61</v>
      </c>
      <c r="F324" s="223" t="s">
        <v>89</v>
      </c>
      <c r="G324" s="385" t="s">
        <v>69</v>
      </c>
      <c r="H324" s="385" t="s">
        <v>76</v>
      </c>
      <c r="I324" s="463" t="s">
        <v>68</v>
      </c>
      <c r="J324" s="193"/>
      <c r="K324" s="209">
        <v>12469</v>
      </c>
      <c r="L324" s="209">
        <f>L325</f>
        <v>0</v>
      </c>
      <c r="M324" s="209">
        <f>M325</f>
        <v>12469</v>
      </c>
      <c r="N324" s="209">
        <f>N325</f>
        <v>12290.8</v>
      </c>
    </row>
    <row r="325" spans="1:14" s="190" customFormat="1" ht="93.75">
      <c r="A325" s="194"/>
      <c r="B325" s="210" t="s">
        <v>404</v>
      </c>
      <c r="C325" s="208" t="s">
        <v>399</v>
      </c>
      <c r="D325" s="193" t="s">
        <v>265</v>
      </c>
      <c r="E325" s="193" t="s">
        <v>61</v>
      </c>
      <c r="F325" s="223" t="s">
        <v>89</v>
      </c>
      <c r="G325" s="385" t="s">
        <v>69</v>
      </c>
      <c r="H325" s="385" t="s">
        <v>76</v>
      </c>
      <c r="I325" s="386" t="s">
        <v>123</v>
      </c>
      <c r="J325" s="387"/>
      <c r="K325" s="209">
        <v>12469</v>
      </c>
      <c r="L325" s="209">
        <f>L326+L327+L328</f>
        <v>0</v>
      </c>
      <c r="M325" s="209">
        <f>M326+M327+M328</f>
        <v>12469</v>
      </c>
      <c r="N325" s="209">
        <f>N326+N327+N328</f>
        <v>12290.8</v>
      </c>
    </row>
    <row r="326" spans="1:14" s="190" customFormat="1" ht="112.5">
      <c r="A326" s="194"/>
      <c r="B326" s="207" t="s">
        <v>73</v>
      </c>
      <c r="C326" s="208" t="s">
        <v>399</v>
      </c>
      <c r="D326" s="193" t="s">
        <v>265</v>
      </c>
      <c r="E326" s="193" t="s">
        <v>61</v>
      </c>
      <c r="F326" s="461" t="s">
        <v>89</v>
      </c>
      <c r="G326" s="462" t="s">
        <v>69</v>
      </c>
      <c r="H326" s="462" t="s">
        <v>76</v>
      </c>
      <c r="I326" s="463" t="s">
        <v>123</v>
      </c>
      <c r="J326" s="193" t="s">
        <v>74</v>
      </c>
      <c r="K326" s="209">
        <v>11430.4</v>
      </c>
      <c r="L326" s="651">
        <f t="shared" ref="L326:L328" si="70">M326-K326</f>
        <v>0</v>
      </c>
      <c r="M326" s="209">
        <v>11430.4</v>
      </c>
      <c r="N326" s="209">
        <v>11430.4</v>
      </c>
    </row>
    <row r="327" spans="1:14" s="190" customFormat="1" ht="56.25">
      <c r="A327" s="194"/>
      <c r="B327" s="207" t="s">
        <v>79</v>
      </c>
      <c r="C327" s="208" t="s">
        <v>399</v>
      </c>
      <c r="D327" s="193" t="s">
        <v>265</v>
      </c>
      <c r="E327" s="193" t="s">
        <v>61</v>
      </c>
      <c r="F327" s="461" t="s">
        <v>89</v>
      </c>
      <c r="G327" s="462" t="s">
        <v>69</v>
      </c>
      <c r="H327" s="462" t="s">
        <v>76</v>
      </c>
      <c r="I327" s="463" t="s">
        <v>123</v>
      </c>
      <c r="J327" s="193" t="s">
        <v>80</v>
      </c>
      <c r="K327" s="209">
        <v>1017.2</v>
      </c>
      <c r="L327" s="651">
        <f t="shared" si="70"/>
        <v>0</v>
      </c>
      <c r="M327" s="209">
        <v>1017.2</v>
      </c>
      <c r="N327" s="209">
        <v>839</v>
      </c>
    </row>
    <row r="328" spans="1:14" s="190" customFormat="1" ht="18.75">
      <c r="A328" s="194"/>
      <c r="B328" s="207" t="s">
        <v>81</v>
      </c>
      <c r="C328" s="208" t="s">
        <v>399</v>
      </c>
      <c r="D328" s="193" t="s">
        <v>265</v>
      </c>
      <c r="E328" s="193" t="s">
        <v>61</v>
      </c>
      <c r="F328" s="461" t="s">
        <v>89</v>
      </c>
      <c r="G328" s="462" t="s">
        <v>69</v>
      </c>
      <c r="H328" s="462" t="s">
        <v>76</v>
      </c>
      <c r="I328" s="463" t="s">
        <v>123</v>
      </c>
      <c r="J328" s="193" t="s">
        <v>82</v>
      </c>
      <c r="K328" s="209">
        <v>21.4</v>
      </c>
      <c r="L328" s="651">
        <f t="shared" si="70"/>
        <v>0</v>
      </c>
      <c r="M328" s="209">
        <v>21.4</v>
      </c>
      <c r="N328" s="209">
        <v>21.4</v>
      </c>
    </row>
    <row r="329" spans="1:14" s="190" customFormat="1" ht="42" customHeight="1">
      <c r="A329" s="194"/>
      <c r="B329" s="207" t="s">
        <v>415</v>
      </c>
      <c r="C329" s="208" t="s">
        <v>399</v>
      </c>
      <c r="D329" s="193" t="s">
        <v>265</v>
      </c>
      <c r="E329" s="193" t="s">
        <v>61</v>
      </c>
      <c r="F329" s="223" t="s">
        <v>89</v>
      </c>
      <c r="G329" s="385" t="s">
        <v>120</v>
      </c>
      <c r="H329" s="385" t="s">
        <v>67</v>
      </c>
      <c r="I329" s="463" t="s">
        <v>68</v>
      </c>
      <c r="J329" s="193"/>
      <c r="K329" s="209">
        <v>42.1</v>
      </c>
      <c r="L329" s="209">
        <f t="shared" ref="L329:N331" si="71">L330</f>
        <v>0</v>
      </c>
      <c r="M329" s="209">
        <f t="shared" si="71"/>
        <v>42.1</v>
      </c>
      <c r="N329" s="209">
        <f t="shared" si="71"/>
        <v>42.1</v>
      </c>
    </row>
    <row r="330" spans="1:14" s="190" customFormat="1" ht="96.75" customHeight="1">
      <c r="A330" s="194"/>
      <c r="B330" s="211" t="s">
        <v>407</v>
      </c>
      <c r="C330" s="208" t="s">
        <v>399</v>
      </c>
      <c r="D330" s="193" t="s">
        <v>265</v>
      </c>
      <c r="E330" s="193" t="s">
        <v>61</v>
      </c>
      <c r="F330" s="223" t="s">
        <v>89</v>
      </c>
      <c r="G330" s="385" t="s">
        <v>120</v>
      </c>
      <c r="H330" s="385" t="s">
        <v>89</v>
      </c>
      <c r="I330" s="463" t="s">
        <v>68</v>
      </c>
      <c r="J330" s="193"/>
      <c r="K330" s="209">
        <v>42.1</v>
      </c>
      <c r="L330" s="209">
        <f t="shared" si="71"/>
        <v>0</v>
      </c>
      <c r="M330" s="209">
        <f t="shared" si="71"/>
        <v>42.1</v>
      </c>
      <c r="N330" s="209">
        <f t="shared" si="71"/>
        <v>42.1</v>
      </c>
    </row>
    <row r="331" spans="1:14" s="190" customFormat="1" ht="56.25">
      <c r="A331" s="194"/>
      <c r="B331" s="211" t="s">
        <v>649</v>
      </c>
      <c r="C331" s="208" t="s">
        <v>399</v>
      </c>
      <c r="D331" s="193" t="s">
        <v>265</v>
      </c>
      <c r="E331" s="193" t="s">
        <v>61</v>
      </c>
      <c r="F331" s="461" t="s">
        <v>89</v>
      </c>
      <c r="G331" s="462" t="s">
        <v>120</v>
      </c>
      <c r="H331" s="462" t="s">
        <v>89</v>
      </c>
      <c r="I331" s="463" t="s">
        <v>650</v>
      </c>
      <c r="J331" s="193"/>
      <c r="K331" s="209">
        <v>42.1</v>
      </c>
      <c r="L331" s="209">
        <f t="shared" si="71"/>
        <v>0</v>
      </c>
      <c r="M331" s="209">
        <f t="shared" si="71"/>
        <v>42.1</v>
      </c>
      <c r="N331" s="209">
        <f t="shared" si="71"/>
        <v>42.1</v>
      </c>
    </row>
    <row r="332" spans="1:14" s="190" customFormat="1" ht="56.25">
      <c r="A332" s="194"/>
      <c r="B332" s="211" t="s">
        <v>105</v>
      </c>
      <c r="C332" s="208" t="s">
        <v>399</v>
      </c>
      <c r="D332" s="193" t="s">
        <v>265</v>
      </c>
      <c r="E332" s="193" t="s">
        <v>61</v>
      </c>
      <c r="F332" s="461" t="s">
        <v>89</v>
      </c>
      <c r="G332" s="462" t="s">
        <v>120</v>
      </c>
      <c r="H332" s="462" t="s">
        <v>89</v>
      </c>
      <c r="I332" s="463" t="s">
        <v>650</v>
      </c>
      <c r="J332" s="193" t="s">
        <v>106</v>
      </c>
      <c r="K332" s="209">
        <v>42.1</v>
      </c>
      <c r="L332" s="651">
        <f>M332-K332</f>
        <v>0</v>
      </c>
      <c r="M332" s="209">
        <v>42.1</v>
      </c>
      <c r="N332" s="209">
        <v>42.1</v>
      </c>
    </row>
    <row r="333" spans="1:14" s="190" customFormat="1" ht="37.5">
      <c r="A333" s="194"/>
      <c r="B333" s="207" t="s">
        <v>408</v>
      </c>
      <c r="C333" s="208" t="s">
        <v>399</v>
      </c>
      <c r="D333" s="193" t="s">
        <v>265</v>
      </c>
      <c r="E333" s="193" t="s">
        <v>76</v>
      </c>
      <c r="F333" s="223"/>
      <c r="G333" s="385"/>
      <c r="H333" s="385"/>
      <c r="I333" s="386"/>
      <c r="J333" s="387"/>
      <c r="K333" s="209">
        <v>9063.5</v>
      </c>
      <c r="L333" s="209">
        <f t="shared" ref="L333:N335" si="72">L334</f>
        <v>0</v>
      </c>
      <c r="M333" s="209">
        <f t="shared" si="72"/>
        <v>9063.5</v>
      </c>
      <c r="N333" s="209">
        <f t="shared" si="72"/>
        <v>8566.7999999999993</v>
      </c>
    </row>
    <row r="334" spans="1:14" s="190" customFormat="1" ht="56.25">
      <c r="A334" s="194"/>
      <c r="B334" s="213" t="s">
        <v>252</v>
      </c>
      <c r="C334" s="208" t="s">
        <v>399</v>
      </c>
      <c r="D334" s="193" t="s">
        <v>265</v>
      </c>
      <c r="E334" s="193" t="s">
        <v>76</v>
      </c>
      <c r="F334" s="223" t="s">
        <v>89</v>
      </c>
      <c r="G334" s="385" t="s">
        <v>66</v>
      </c>
      <c r="H334" s="385" t="s">
        <v>67</v>
      </c>
      <c r="I334" s="386" t="s">
        <v>68</v>
      </c>
      <c r="J334" s="387"/>
      <c r="K334" s="209">
        <v>9063.5</v>
      </c>
      <c r="L334" s="209">
        <f t="shared" si="72"/>
        <v>0</v>
      </c>
      <c r="M334" s="209">
        <f t="shared" si="72"/>
        <v>9063.5</v>
      </c>
      <c r="N334" s="209">
        <f t="shared" si="72"/>
        <v>8566.7999999999993</v>
      </c>
    </row>
    <row r="335" spans="1:14" s="190" customFormat="1" ht="56.25">
      <c r="A335" s="194"/>
      <c r="B335" s="207" t="s">
        <v>255</v>
      </c>
      <c r="C335" s="208" t="s">
        <v>399</v>
      </c>
      <c r="D335" s="193" t="s">
        <v>265</v>
      </c>
      <c r="E335" s="193" t="s">
        <v>76</v>
      </c>
      <c r="F335" s="461" t="s">
        <v>89</v>
      </c>
      <c r="G335" s="462" t="s">
        <v>54</v>
      </c>
      <c r="H335" s="462" t="s">
        <v>67</v>
      </c>
      <c r="I335" s="463" t="s">
        <v>68</v>
      </c>
      <c r="J335" s="193"/>
      <c r="K335" s="209">
        <v>9063.5</v>
      </c>
      <c r="L335" s="209">
        <f t="shared" si="72"/>
        <v>0</v>
      </c>
      <c r="M335" s="209">
        <f t="shared" si="72"/>
        <v>9063.5</v>
      </c>
      <c r="N335" s="209">
        <f t="shared" si="72"/>
        <v>8566.7999999999993</v>
      </c>
    </row>
    <row r="336" spans="1:14" s="190" customFormat="1" ht="37.5">
      <c r="A336" s="194"/>
      <c r="B336" s="207" t="s">
        <v>344</v>
      </c>
      <c r="C336" s="208" t="s">
        <v>399</v>
      </c>
      <c r="D336" s="193" t="s">
        <v>265</v>
      </c>
      <c r="E336" s="193" t="s">
        <v>76</v>
      </c>
      <c r="F336" s="461" t="s">
        <v>89</v>
      </c>
      <c r="G336" s="462" t="s">
        <v>54</v>
      </c>
      <c r="H336" s="462" t="s">
        <v>61</v>
      </c>
      <c r="I336" s="463" t="s">
        <v>68</v>
      </c>
      <c r="J336" s="193"/>
      <c r="K336" s="209">
        <v>9063.5</v>
      </c>
      <c r="L336" s="209">
        <f>L337+L341</f>
        <v>0</v>
      </c>
      <c r="M336" s="209">
        <f>M337+M341</f>
        <v>9063.5</v>
      </c>
      <c r="N336" s="209">
        <f>N337+N341</f>
        <v>8566.7999999999993</v>
      </c>
    </row>
    <row r="337" spans="1:14" s="190" customFormat="1" ht="37.5">
      <c r="A337" s="194"/>
      <c r="B337" s="207" t="s">
        <v>71</v>
      </c>
      <c r="C337" s="208" t="s">
        <v>399</v>
      </c>
      <c r="D337" s="193" t="s">
        <v>265</v>
      </c>
      <c r="E337" s="193" t="s">
        <v>76</v>
      </c>
      <c r="F337" s="461" t="s">
        <v>89</v>
      </c>
      <c r="G337" s="462" t="s">
        <v>54</v>
      </c>
      <c r="H337" s="462" t="s">
        <v>61</v>
      </c>
      <c r="I337" s="463" t="s">
        <v>72</v>
      </c>
      <c r="J337" s="387"/>
      <c r="K337" s="209">
        <v>2779.6</v>
      </c>
      <c r="L337" s="209">
        <f>L338+L339+L340</f>
        <v>0</v>
      </c>
      <c r="M337" s="209">
        <f>M338+M339+M340</f>
        <v>2779.6</v>
      </c>
      <c r="N337" s="209">
        <f>N338+N339+N340</f>
        <v>2530.1999999999998</v>
      </c>
    </row>
    <row r="338" spans="1:14" s="190" customFormat="1" ht="112.5">
      <c r="A338" s="194"/>
      <c r="B338" s="207" t="s">
        <v>73</v>
      </c>
      <c r="C338" s="208" t="s">
        <v>399</v>
      </c>
      <c r="D338" s="193" t="s">
        <v>265</v>
      </c>
      <c r="E338" s="193" t="s">
        <v>76</v>
      </c>
      <c r="F338" s="461" t="s">
        <v>89</v>
      </c>
      <c r="G338" s="462" t="s">
        <v>54</v>
      </c>
      <c r="H338" s="462" t="s">
        <v>61</v>
      </c>
      <c r="I338" s="463" t="s">
        <v>72</v>
      </c>
      <c r="J338" s="387" t="s">
        <v>74</v>
      </c>
      <c r="K338" s="209">
        <v>2505.1999999999998</v>
      </c>
      <c r="L338" s="651">
        <f t="shared" ref="L338:L340" si="73">M338-K338</f>
        <v>0</v>
      </c>
      <c r="M338" s="209">
        <v>2505.1999999999998</v>
      </c>
      <c r="N338" s="209">
        <v>2505.1999999999998</v>
      </c>
    </row>
    <row r="339" spans="1:14" s="190" customFormat="1" ht="56.25">
      <c r="A339" s="194"/>
      <c r="B339" s="207" t="s">
        <v>79</v>
      </c>
      <c r="C339" s="208" t="s">
        <v>399</v>
      </c>
      <c r="D339" s="193" t="s">
        <v>265</v>
      </c>
      <c r="E339" s="193" t="s">
        <v>76</v>
      </c>
      <c r="F339" s="461" t="s">
        <v>89</v>
      </c>
      <c r="G339" s="462" t="s">
        <v>54</v>
      </c>
      <c r="H339" s="462" t="s">
        <v>61</v>
      </c>
      <c r="I339" s="463" t="s">
        <v>72</v>
      </c>
      <c r="J339" s="387" t="s">
        <v>80</v>
      </c>
      <c r="K339" s="209">
        <v>270</v>
      </c>
      <c r="L339" s="651">
        <f t="shared" si="73"/>
        <v>0</v>
      </c>
      <c r="M339" s="209">
        <v>270</v>
      </c>
      <c r="N339" s="209">
        <v>20.6</v>
      </c>
    </row>
    <row r="340" spans="1:14" s="190" customFormat="1" ht="18.75">
      <c r="A340" s="194"/>
      <c r="B340" s="207" t="s">
        <v>81</v>
      </c>
      <c r="C340" s="208" t="s">
        <v>399</v>
      </c>
      <c r="D340" s="193" t="s">
        <v>265</v>
      </c>
      <c r="E340" s="193" t="s">
        <v>76</v>
      </c>
      <c r="F340" s="461" t="s">
        <v>89</v>
      </c>
      <c r="G340" s="462" t="s">
        <v>54</v>
      </c>
      <c r="H340" s="462" t="s">
        <v>61</v>
      </c>
      <c r="I340" s="463" t="s">
        <v>72</v>
      </c>
      <c r="J340" s="193" t="s">
        <v>82</v>
      </c>
      <c r="K340" s="209">
        <v>4.4000000000000004</v>
      </c>
      <c r="L340" s="651">
        <f t="shared" si="73"/>
        <v>0</v>
      </c>
      <c r="M340" s="209">
        <v>4.4000000000000004</v>
      </c>
      <c r="N340" s="209">
        <v>4.4000000000000004</v>
      </c>
    </row>
    <row r="341" spans="1:14" s="190" customFormat="1" ht="93.75">
      <c r="A341" s="194"/>
      <c r="B341" s="210" t="s">
        <v>404</v>
      </c>
      <c r="C341" s="208" t="s">
        <v>399</v>
      </c>
      <c r="D341" s="193" t="s">
        <v>265</v>
      </c>
      <c r="E341" s="193" t="s">
        <v>76</v>
      </c>
      <c r="F341" s="461" t="s">
        <v>89</v>
      </c>
      <c r="G341" s="462" t="s">
        <v>54</v>
      </c>
      <c r="H341" s="462" t="s">
        <v>61</v>
      </c>
      <c r="I341" s="463" t="s">
        <v>123</v>
      </c>
      <c r="J341" s="193"/>
      <c r="K341" s="209">
        <v>6283.9000000000005</v>
      </c>
      <c r="L341" s="209">
        <f>L342+L343+L344</f>
        <v>0</v>
      </c>
      <c r="M341" s="209">
        <f>M342+M343+M344</f>
        <v>6283.9000000000005</v>
      </c>
      <c r="N341" s="209">
        <f>N342+N343+N344</f>
        <v>6036.6</v>
      </c>
    </row>
    <row r="342" spans="1:14" s="190" customFormat="1" ht="112.5">
      <c r="A342" s="194"/>
      <c r="B342" s="207" t="s">
        <v>73</v>
      </c>
      <c r="C342" s="505" t="s">
        <v>399</v>
      </c>
      <c r="D342" s="387" t="s">
        <v>265</v>
      </c>
      <c r="E342" s="387" t="s">
        <v>76</v>
      </c>
      <c r="F342" s="461" t="s">
        <v>89</v>
      </c>
      <c r="G342" s="462" t="s">
        <v>54</v>
      </c>
      <c r="H342" s="462" t="s">
        <v>61</v>
      </c>
      <c r="I342" s="463" t="s">
        <v>123</v>
      </c>
      <c r="J342" s="387" t="s">
        <v>74</v>
      </c>
      <c r="K342" s="209">
        <v>5729.1</v>
      </c>
      <c r="L342" s="651">
        <f t="shared" ref="L342:L344" si="74">M342-K342</f>
        <v>0</v>
      </c>
      <c r="M342" s="209">
        <v>5729.1</v>
      </c>
      <c r="N342" s="209">
        <v>5729.1</v>
      </c>
    </row>
    <row r="343" spans="1:14" s="190" customFormat="1" ht="56.25">
      <c r="A343" s="194"/>
      <c r="B343" s="207" t="s">
        <v>79</v>
      </c>
      <c r="C343" s="505" t="s">
        <v>399</v>
      </c>
      <c r="D343" s="387" t="s">
        <v>265</v>
      </c>
      <c r="E343" s="387" t="s">
        <v>76</v>
      </c>
      <c r="F343" s="461" t="s">
        <v>89</v>
      </c>
      <c r="G343" s="462" t="s">
        <v>54</v>
      </c>
      <c r="H343" s="462" t="s">
        <v>61</v>
      </c>
      <c r="I343" s="463" t="s">
        <v>123</v>
      </c>
      <c r="J343" s="387" t="s">
        <v>80</v>
      </c>
      <c r="K343" s="209">
        <v>553.1</v>
      </c>
      <c r="L343" s="651">
        <f t="shared" si="74"/>
        <v>0</v>
      </c>
      <c r="M343" s="209">
        <v>553.1</v>
      </c>
      <c r="N343" s="209">
        <f>305.9</f>
        <v>305.89999999999998</v>
      </c>
    </row>
    <row r="344" spans="1:14" s="190" customFormat="1" ht="18.75">
      <c r="A344" s="194"/>
      <c r="B344" s="207" t="s">
        <v>81</v>
      </c>
      <c r="C344" s="505" t="s">
        <v>399</v>
      </c>
      <c r="D344" s="387" t="s">
        <v>265</v>
      </c>
      <c r="E344" s="387" t="s">
        <v>76</v>
      </c>
      <c r="F344" s="461" t="s">
        <v>89</v>
      </c>
      <c r="G344" s="462" t="s">
        <v>54</v>
      </c>
      <c r="H344" s="462" t="s">
        <v>61</v>
      </c>
      <c r="I344" s="463" t="s">
        <v>123</v>
      </c>
      <c r="J344" s="193" t="s">
        <v>82</v>
      </c>
      <c r="K344" s="209">
        <v>1.7</v>
      </c>
      <c r="L344" s="651">
        <f t="shared" si="74"/>
        <v>0</v>
      </c>
      <c r="M344" s="209">
        <v>1.7</v>
      </c>
      <c r="N344" s="209">
        <v>1.6</v>
      </c>
    </row>
    <row r="345" spans="1:14" s="472" customFormat="1" ht="18.75">
      <c r="A345" s="194"/>
      <c r="B345" s="207"/>
      <c r="C345" s="505"/>
      <c r="D345" s="387"/>
      <c r="E345" s="387"/>
      <c r="F345" s="461"/>
      <c r="G345" s="462"/>
      <c r="H345" s="462"/>
      <c r="I345" s="463"/>
      <c r="J345" s="193"/>
      <c r="K345" s="209"/>
      <c r="L345" s="209"/>
      <c r="M345" s="209"/>
      <c r="N345" s="209"/>
    </row>
    <row r="346" spans="1:14" s="465" customFormat="1" ht="56.25">
      <c r="A346" s="464">
        <v>7</v>
      </c>
      <c r="B346" s="201" t="s">
        <v>30</v>
      </c>
      <c r="C346" s="202" t="s">
        <v>353</v>
      </c>
      <c r="D346" s="203"/>
      <c r="E346" s="203"/>
      <c r="F346" s="204"/>
      <c r="G346" s="205"/>
      <c r="H346" s="205"/>
      <c r="I346" s="206"/>
      <c r="J346" s="203"/>
      <c r="K346" s="235">
        <v>27781.599999999999</v>
      </c>
      <c r="L346" s="235">
        <f>L347</f>
        <v>0</v>
      </c>
      <c r="M346" s="235">
        <f>M347</f>
        <v>27781.599999999999</v>
      </c>
      <c r="N346" s="235">
        <f>N347</f>
        <v>25637.5</v>
      </c>
    </row>
    <row r="347" spans="1:14" s="190" customFormat="1" ht="18.75">
      <c r="A347" s="194"/>
      <c r="B347" s="213" t="s">
        <v>409</v>
      </c>
      <c r="C347" s="208" t="s">
        <v>353</v>
      </c>
      <c r="D347" s="193" t="s">
        <v>93</v>
      </c>
      <c r="E347" s="193"/>
      <c r="F347" s="461"/>
      <c r="G347" s="462"/>
      <c r="H347" s="462"/>
      <c r="I347" s="463"/>
      <c r="J347" s="193"/>
      <c r="K347" s="209">
        <v>27781.599999999999</v>
      </c>
      <c r="L347" s="209">
        <f>L348+L363+L374</f>
        <v>0</v>
      </c>
      <c r="M347" s="209">
        <f>M348+M363+M374</f>
        <v>27781.599999999999</v>
      </c>
      <c r="N347" s="209">
        <f>N348+N363+N374</f>
        <v>25637.5</v>
      </c>
    </row>
    <row r="348" spans="1:14" s="465" customFormat="1" ht="18.75">
      <c r="A348" s="194"/>
      <c r="B348" s="213" t="s">
        <v>468</v>
      </c>
      <c r="C348" s="208" t="s">
        <v>353</v>
      </c>
      <c r="D348" s="193" t="s">
        <v>93</v>
      </c>
      <c r="E348" s="193" t="s">
        <v>61</v>
      </c>
      <c r="F348" s="461"/>
      <c r="G348" s="462"/>
      <c r="H348" s="462"/>
      <c r="I348" s="463"/>
      <c r="J348" s="193"/>
      <c r="K348" s="209">
        <v>23721.200000000001</v>
      </c>
      <c r="L348" s="209">
        <f>L349</f>
        <v>0</v>
      </c>
      <c r="M348" s="209">
        <f>M349</f>
        <v>23721.200000000001</v>
      </c>
      <c r="N348" s="209">
        <f>N349</f>
        <v>23289.200000000001</v>
      </c>
    </row>
    <row r="349" spans="1:14" s="465" customFormat="1" ht="61.5" customHeight="1">
      <c r="A349" s="194"/>
      <c r="B349" s="207" t="s">
        <v>256</v>
      </c>
      <c r="C349" s="208" t="s">
        <v>353</v>
      </c>
      <c r="D349" s="193" t="s">
        <v>93</v>
      </c>
      <c r="E349" s="193" t="s">
        <v>61</v>
      </c>
      <c r="F349" s="461" t="s">
        <v>76</v>
      </c>
      <c r="G349" s="462" t="s">
        <v>66</v>
      </c>
      <c r="H349" s="462" t="s">
        <v>67</v>
      </c>
      <c r="I349" s="463" t="s">
        <v>68</v>
      </c>
      <c r="J349" s="193"/>
      <c r="K349" s="209">
        <v>23721.200000000001</v>
      </c>
      <c r="L349" s="209">
        <f>L350+L354</f>
        <v>0</v>
      </c>
      <c r="M349" s="209">
        <f>M350+M354</f>
        <v>23721.200000000001</v>
      </c>
      <c r="N349" s="209">
        <f>N350+N354</f>
        <v>23289.200000000001</v>
      </c>
    </row>
    <row r="350" spans="1:14" s="465" customFormat="1" ht="37.5">
      <c r="A350" s="194"/>
      <c r="B350" s="213" t="s">
        <v>257</v>
      </c>
      <c r="C350" s="208" t="s">
        <v>353</v>
      </c>
      <c r="D350" s="193" t="s">
        <v>93</v>
      </c>
      <c r="E350" s="193" t="s">
        <v>61</v>
      </c>
      <c r="F350" s="461" t="s">
        <v>76</v>
      </c>
      <c r="G350" s="462" t="s">
        <v>69</v>
      </c>
      <c r="H350" s="462" t="s">
        <v>67</v>
      </c>
      <c r="I350" s="463" t="s">
        <v>68</v>
      </c>
      <c r="J350" s="193"/>
      <c r="K350" s="209">
        <v>180</v>
      </c>
      <c r="L350" s="209">
        <f>L351</f>
        <v>0</v>
      </c>
      <c r="M350" s="209">
        <f>M351</f>
        <v>180</v>
      </c>
      <c r="N350" s="209">
        <f>N351</f>
        <v>180</v>
      </c>
    </row>
    <row r="351" spans="1:14" s="465" customFormat="1" ht="18.75">
      <c r="A351" s="194"/>
      <c r="B351" s="207" t="s">
        <v>339</v>
      </c>
      <c r="C351" s="208" t="s">
        <v>353</v>
      </c>
      <c r="D351" s="193" t="s">
        <v>93</v>
      </c>
      <c r="E351" s="193" t="s">
        <v>61</v>
      </c>
      <c r="F351" s="461" t="s">
        <v>76</v>
      </c>
      <c r="G351" s="462" t="s">
        <v>69</v>
      </c>
      <c r="H351" s="462" t="s">
        <v>61</v>
      </c>
      <c r="I351" s="463" t="s">
        <v>68</v>
      </c>
      <c r="J351" s="193"/>
      <c r="K351" s="209">
        <v>180</v>
      </c>
      <c r="L351" s="209">
        <f t="shared" ref="L351:N352" si="75">L352</f>
        <v>0</v>
      </c>
      <c r="M351" s="209">
        <f t="shared" si="75"/>
        <v>180</v>
      </c>
      <c r="N351" s="209">
        <f t="shared" si="75"/>
        <v>180</v>
      </c>
    </row>
    <row r="352" spans="1:14" s="465" customFormat="1" ht="41.25" customHeight="1">
      <c r="A352" s="194"/>
      <c r="B352" s="207" t="s">
        <v>340</v>
      </c>
      <c r="C352" s="208" t="s">
        <v>353</v>
      </c>
      <c r="D352" s="193" t="s">
        <v>93</v>
      </c>
      <c r="E352" s="193" t="s">
        <v>61</v>
      </c>
      <c r="F352" s="461" t="s">
        <v>76</v>
      </c>
      <c r="G352" s="462" t="s">
        <v>69</v>
      </c>
      <c r="H352" s="462" t="s">
        <v>61</v>
      </c>
      <c r="I352" s="463" t="s">
        <v>341</v>
      </c>
      <c r="J352" s="193"/>
      <c r="K352" s="209">
        <v>180</v>
      </c>
      <c r="L352" s="209">
        <f t="shared" si="75"/>
        <v>0</v>
      </c>
      <c r="M352" s="209">
        <f t="shared" si="75"/>
        <v>180</v>
      </c>
      <c r="N352" s="209">
        <f t="shared" si="75"/>
        <v>180</v>
      </c>
    </row>
    <row r="353" spans="1:14" s="465" customFormat="1" ht="37.5">
      <c r="A353" s="194"/>
      <c r="B353" s="207" t="s">
        <v>152</v>
      </c>
      <c r="C353" s="208" t="s">
        <v>353</v>
      </c>
      <c r="D353" s="193" t="s">
        <v>93</v>
      </c>
      <c r="E353" s="193" t="s">
        <v>61</v>
      </c>
      <c r="F353" s="461" t="s">
        <v>76</v>
      </c>
      <c r="G353" s="462" t="s">
        <v>69</v>
      </c>
      <c r="H353" s="462" t="s">
        <v>61</v>
      </c>
      <c r="I353" s="463" t="s">
        <v>341</v>
      </c>
      <c r="J353" s="193" t="s">
        <v>153</v>
      </c>
      <c r="K353" s="209">
        <v>180</v>
      </c>
      <c r="L353" s="651">
        <f>M353-K353</f>
        <v>0</v>
      </c>
      <c r="M353" s="209">
        <v>180</v>
      </c>
      <c r="N353" s="209">
        <v>180</v>
      </c>
    </row>
    <row r="354" spans="1:14" s="190" customFormat="1" ht="37.5">
      <c r="A354" s="194"/>
      <c r="B354" s="207" t="s">
        <v>259</v>
      </c>
      <c r="C354" s="208" t="s">
        <v>353</v>
      </c>
      <c r="D354" s="193" t="s">
        <v>93</v>
      </c>
      <c r="E354" s="193" t="s">
        <v>61</v>
      </c>
      <c r="F354" s="461" t="s">
        <v>76</v>
      </c>
      <c r="G354" s="462" t="s">
        <v>120</v>
      </c>
      <c r="H354" s="462" t="s">
        <v>67</v>
      </c>
      <c r="I354" s="463" t="s">
        <v>68</v>
      </c>
      <c r="J354" s="193"/>
      <c r="K354" s="209">
        <v>23541.200000000001</v>
      </c>
      <c r="L354" s="209">
        <f t="shared" ref="L354:N354" si="76">L355</f>
        <v>0</v>
      </c>
      <c r="M354" s="209">
        <f t="shared" si="76"/>
        <v>23541.200000000001</v>
      </c>
      <c r="N354" s="209">
        <f t="shared" si="76"/>
        <v>23109.200000000001</v>
      </c>
    </row>
    <row r="355" spans="1:14" s="465" customFormat="1" ht="24" customHeight="1">
      <c r="A355" s="194"/>
      <c r="B355" s="207" t="s">
        <v>469</v>
      </c>
      <c r="C355" s="208" t="s">
        <v>353</v>
      </c>
      <c r="D355" s="193" t="s">
        <v>93</v>
      </c>
      <c r="E355" s="193" t="s">
        <v>61</v>
      </c>
      <c r="F355" s="461" t="s">
        <v>76</v>
      </c>
      <c r="G355" s="462" t="s">
        <v>120</v>
      </c>
      <c r="H355" s="462" t="s">
        <v>63</v>
      </c>
      <c r="I355" s="463" t="s">
        <v>68</v>
      </c>
      <c r="J355" s="193"/>
      <c r="K355" s="209">
        <v>23541.200000000001</v>
      </c>
      <c r="L355" s="209">
        <f>L356+L360</f>
        <v>0</v>
      </c>
      <c r="M355" s="209">
        <f>M356+M360</f>
        <v>23541.200000000001</v>
      </c>
      <c r="N355" s="209">
        <f>N356+N360</f>
        <v>23109.200000000001</v>
      </c>
    </row>
    <row r="356" spans="1:14" s="465" customFormat="1" ht="93.75">
      <c r="A356" s="194"/>
      <c r="B356" s="207" t="s">
        <v>121</v>
      </c>
      <c r="C356" s="208" t="s">
        <v>353</v>
      </c>
      <c r="D356" s="193" t="s">
        <v>93</v>
      </c>
      <c r="E356" s="193" t="s">
        <v>61</v>
      </c>
      <c r="F356" s="461" t="s">
        <v>76</v>
      </c>
      <c r="G356" s="462" t="s">
        <v>120</v>
      </c>
      <c r="H356" s="462" t="s">
        <v>63</v>
      </c>
      <c r="I356" s="463" t="s">
        <v>123</v>
      </c>
      <c r="J356" s="193"/>
      <c r="K356" s="209">
        <v>23259.9</v>
      </c>
      <c r="L356" s="209">
        <f>L357+L358+L359</f>
        <v>0</v>
      </c>
      <c r="M356" s="209">
        <f>M357+M358+M359</f>
        <v>23259.9</v>
      </c>
      <c r="N356" s="209">
        <f>N357+N358+N359</f>
        <v>23109.200000000001</v>
      </c>
    </row>
    <row r="357" spans="1:14" s="465" customFormat="1" ht="112.5">
      <c r="A357" s="194"/>
      <c r="B357" s="207" t="s">
        <v>73</v>
      </c>
      <c r="C357" s="208" t="s">
        <v>353</v>
      </c>
      <c r="D357" s="193" t="s">
        <v>93</v>
      </c>
      <c r="E357" s="193" t="s">
        <v>61</v>
      </c>
      <c r="F357" s="461" t="s">
        <v>76</v>
      </c>
      <c r="G357" s="462" t="s">
        <v>120</v>
      </c>
      <c r="H357" s="462" t="s">
        <v>63</v>
      </c>
      <c r="I357" s="463" t="s">
        <v>123</v>
      </c>
      <c r="J357" s="193" t="s">
        <v>74</v>
      </c>
      <c r="K357" s="209">
        <v>20854.2</v>
      </c>
      <c r="L357" s="651">
        <f t="shared" ref="L357:L359" si="77">M357-K357</f>
        <v>0</v>
      </c>
      <c r="M357" s="209">
        <v>20854.2</v>
      </c>
      <c r="N357" s="209">
        <v>20854.2</v>
      </c>
    </row>
    <row r="358" spans="1:14" s="190" customFormat="1" ht="56.25">
      <c r="A358" s="194"/>
      <c r="B358" s="207" t="s">
        <v>79</v>
      </c>
      <c r="C358" s="208" t="s">
        <v>353</v>
      </c>
      <c r="D358" s="193" t="s">
        <v>93</v>
      </c>
      <c r="E358" s="193" t="s">
        <v>61</v>
      </c>
      <c r="F358" s="461" t="s">
        <v>76</v>
      </c>
      <c r="G358" s="462" t="s">
        <v>120</v>
      </c>
      <c r="H358" s="462" t="s">
        <v>63</v>
      </c>
      <c r="I358" s="463" t="s">
        <v>123</v>
      </c>
      <c r="J358" s="193" t="s">
        <v>80</v>
      </c>
      <c r="K358" s="209">
        <v>2338.6999999999998</v>
      </c>
      <c r="L358" s="651">
        <f t="shared" si="77"/>
        <v>0</v>
      </c>
      <c r="M358" s="209">
        <v>2338.6999999999998</v>
      </c>
      <c r="N358" s="209">
        <v>2189.9</v>
      </c>
    </row>
    <row r="359" spans="1:14" s="465" customFormat="1" ht="18.75">
      <c r="A359" s="194"/>
      <c r="B359" s="207" t="s">
        <v>81</v>
      </c>
      <c r="C359" s="208" t="s">
        <v>353</v>
      </c>
      <c r="D359" s="193" t="s">
        <v>93</v>
      </c>
      <c r="E359" s="193" t="s">
        <v>61</v>
      </c>
      <c r="F359" s="461" t="s">
        <v>76</v>
      </c>
      <c r="G359" s="462" t="s">
        <v>120</v>
      </c>
      <c r="H359" s="462" t="s">
        <v>63</v>
      </c>
      <c r="I359" s="463" t="s">
        <v>123</v>
      </c>
      <c r="J359" s="193" t="s">
        <v>82</v>
      </c>
      <c r="K359" s="209">
        <v>67</v>
      </c>
      <c r="L359" s="651">
        <f t="shared" si="77"/>
        <v>0</v>
      </c>
      <c r="M359" s="209">
        <v>67</v>
      </c>
      <c r="N359" s="209">
        <v>65.099999999999994</v>
      </c>
    </row>
    <row r="360" spans="1:14" s="465" customFormat="1" ht="56.25">
      <c r="A360" s="194"/>
      <c r="B360" s="207" t="s">
        <v>258</v>
      </c>
      <c r="C360" s="208" t="s">
        <v>353</v>
      </c>
      <c r="D360" s="193" t="s">
        <v>93</v>
      </c>
      <c r="E360" s="193" t="s">
        <v>61</v>
      </c>
      <c r="F360" s="461" t="s">
        <v>76</v>
      </c>
      <c r="G360" s="462" t="s">
        <v>120</v>
      </c>
      <c r="H360" s="462" t="s">
        <v>63</v>
      </c>
      <c r="I360" s="463" t="s">
        <v>355</v>
      </c>
      <c r="J360" s="193"/>
      <c r="K360" s="209">
        <v>281.3</v>
      </c>
      <c r="L360" s="209">
        <f>L361+L362</f>
        <v>0</v>
      </c>
      <c r="M360" s="209">
        <f>M361+M362</f>
        <v>281.3</v>
      </c>
      <c r="N360" s="209">
        <f>N361+N362</f>
        <v>0</v>
      </c>
    </row>
    <row r="361" spans="1:14" s="465" customFormat="1" ht="112.5">
      <c r="A361" s="194"/>
      <c r="B361" s="207" t="s">
        <v>73</v>
      </c>
      <c r="C361" s="208" t="s">
        <v>353</v>
      </c>
      <c r="D361" s="193" t="s">
        <v>93</v>
      </c>
      <c r="E361" s="193" t="s">
        <v>61</v>
      </c>
      <c r="F361" s="461" t="s">
        <v>76</v>
      </c>
      <c r="G361" s="462" t="s">
        <v>120</v>
      </c>
      <c r="H361" s="462" t="s">
        <v>63</v>
      </c>
      <c r="I361" s="463" t="s">
        <v>355</v>
      </c>
      <c r="J361" s="193" t="s">
        <v>74</v>
      </c>
      <c r="K361" s="209">
        <v>44.9</v>
      </c>
      <c r="L361" s="651">
        <f t="shared" ref="L361:L362" si="78">M361-K361</f>
        <v>0</v>
      </c>
      <c r="M361" s="209">
        <v>44.9</v>
      </c>
      <c r="N361" s="466">
        <v>0</v>
      </c>
    </row>
    <row r="362" spans="1:14" s="190" customFormat="1" ht="56.25">
      <c r="A362" s="194"/>
      <c r="B362" s="207" t="s">
        <v>79</v>
      </c>
      <c r="C362" s="208" t="s">
        <v>353</v>
      </c>
      <c r="D362" s="193" t="s">
        <v>93</v>
      </c>
      <c r="E362" s="193" t="s">
        <v>61</v>
      </c>
      <c r="F362" s="461" t="s">
        <v>76</v>
      </c>
      <c r="G362" s="462" t="s">
        <v>120</v>
      </c>
      <c r="H362" s="462" t="s">
        <v>63</v>
      </c>
      <c r="I362" s="463" t="s">
        <v>355</v>
      </c>
      <c r="J362" s="193" t="s">
        <v>80</v>
      </c>
      <c r="K362" s="209">
        <v>236.4</v>
      </c>
      <c r="L362" s="651">
        <f t="shared" si="78"/>
        <v>0</v>
      </c>
      <c r="M362" s="209">
        <v>236.4</v>
      </c>
      <c r="N362" s="467">
        <v>0</v>
      </c>
    </row>
    <row r="363" spans="1:14" s="190" customFormat="1" ht="18.75">
      <c r="A363" s="194"/>
      <c r="B363" s="213" t="s">
        <v>356</v>
      </c>
      <c r="C363" s="208" t="s">
        <v>353</v>
      </c>
      <c r="D363" s="193" t="s">
        <v>93</v>
      </c>
      <c r="E363" s="193" t="s">
        <v>63</v>
      </c>
      <c r="F363" s="461"/>
      <c r="G363" s="462"/>
      <c r="H363" s="462"/>
      <c r="I363" s="463"/>
      <c r="J363" s="193"/>
      <c r="K363" s="209">
        <v>1620.3</v>
      </c>
      <c r="L363" s="209">
        <f>L364</f>
        <v>0</v>
      </c>
      <c r="M363" s="209">
        <f>M364</f>
        <v>1620.3</v>
      </c>
      <c r="N363" s="209">
        <f>N364</f>
        <v>0</v>
      </c>
    </row>
    <row r="364" spans="1:14" s="190" customFormat="1" ht="60" customHeight="1">
      <c r="A364" s="194"/>
      <c r="B364" s="207" t="s">
        <v>256</v>
      </c>
      <c r="C364" s="208" t="s">
        <v>353</v>
      </c>
      <c r="D364" s="193" t="s">
        <v>93</v>
      </c>
      <c r="E364" s="193" t="s">
        <v>63</v>
      </c>
      <c r="F364" s="461" t="s">
        <v>76</v>
      </c>
      <c r="G364" s="462" t="s">
        <v>66</v>
      </c>
      <c r="H364" s="462" t="s">
        <v>67</v>
      </c>
      <c r="I364" s="463" t="s">
        <v>68</v>
      </c>
      <c r="J364" s="193"/>
      <c r="K364" s="209">
        <v>1620.3</v>
      </c>
      <c r="L364" s="209">
        <f t="shared" ref="L364" si="79">L365+L370</f>
        <v>0</v>
      </c>
      <c r="M364" s="209">
        <f t="shared" ref="M364:N364" si="80">M365+M370</f>
        <v>1620.3</v>
      </c>
      <c r="N364" s="209">
        <f t="shared" si="80"/>
        <v>0</v>
      </c>
    </row>
    <row r="365" spans="1:14" s="190" customFormat="1" ht="37.5">
      <c r="A365" s="194"/>
      <c r="B365" s="213" t="s">
        <v>257</v>
      </c>
      <c r="C365" s="208" t="s">
        <v>353</v>
      </c>
      <c r="D365" s="193" t="s">
        <v>93</v>
      </c>
      <c r="E365" s="193" t="s">
        <v>63</v>
      </c>
      <c r="F365" s="461" t="s">
        <v>76</v>
      </c>
      <c r="G365" s="462" t="s">
        <v>69</v>
      </c>
      <c r="H365" s="462" t="s">
        <v>67</v>
      </c>
      <c r="I365" s="463" t="s">
        <v>68</v>
      </c>
      <c r="J365" s="193"/>
      <c r="K365" s="209">
        <v>597.09999999999991</v>
      </c>
      <c r="L365" s="209">
        <f t="shared" ref="L365:N366" si="81">L366</f>
        <v>0</v>
      </c>
      <c r="M365" s="209">
        <f t="shared" si="81"/>
        <v>597.09999999999991</v>
      </c>
      <c r="N365" s="209">
        <f t="shared" si="81"/>
        <v>0</v>
      </c>
    </row>
    <row r="366" spans="1:14" s="190" customFormat="1" ht="56.25">
      <c r="A366" s="194"/>
      <c r="B366" s="207" t="s">
        <v>354</v>
      </c>
      <c r="C366" s="208" t="s">
        <v>353</v>
      </c>
      <c r="D366" s="193" t="s">
        <v>93</v>
      </c>
      <c r="E366" s="193" t="s">
        <v>63</v>
      </c>
      <c r="F366" s="461" t="s">
        <v>76</v>
      </c>
      <c r="G366" s="462" t="s">
        <v>69</v>
      </c>
      <c r="H366" s="462" t="s">
        <v>63</v>
      </c>
      <c r="I366" s="463" t="s">
        <v>68</v>
      </c>
      <c r="J366" s="193"/>
      <c r="K366" s="209">
        <v>597.09999999999991</v>
      </c>
      <c r="L366" s="209">
        <f t="shared" si="81"/>
        <v>0</v>
      </c>
      <c r="M366" s="209">
        <f t="shared" si="81"/>
        <v>597.09999999999991</v>
      </c>
      <c r="N366" s="209">
        <f t="shared" si="81"/>
        <v>0</v>
      </c>
    </row>
    <row r="367" spans="1:14" s="190" customFormat="1" ht="56.25">
      <c r="A367" s="194"/>
      <c r="B367" s="207" t="s">
        <v>258</v>
      </c>
      <c r="C367" s="208" t="s">
        <v>353</v>
      </c>
      <c r="D367" s="193" t="s">
        <v>93</v>
      </c>
      <c r="E367" s="193" t="s">
        <v>63</v>
      </c>
      <c r="F367" s="461" t="s">
        <v>76</v>
      </c>
      <c r="G367" s="462" t="s">
        <v>69</v>
      </c>
      <c r="H367" s="462" t="s">
        <v>63</v>
      </c>
      <c r="I367" s="463" t="s">
        <v>355</v>
      </c>
      <c r="J367" s="193"/>
      <c r="K367" s="209">
        <v>597.09999999999991</v>
      </c>
      <c r="L367" s="209">
        <f t="shared" ref="L367" si="82">SUM(L368:L369)</f>
        <v>0</v>
      </c>
      <c r="M367" s="209">
        <f t="shared" ref="M367:N367" si="83">SUM(M368:M369)</f>
        <v>597.09999999999991</v>
      </c>
      <c r="N367" s="209">
        <f t="shared" si="83"/>
        <v>0</v>
      </c>
    </row>
    <row r="368" spans="1:14" s="190" customFormat="1" ht="112.5">
      <c r="A368" s="194"/>
      <c r="B368" s="207" t="s">
        <v>73</v>
      </c>
      <c r="C368" s="208" t="s">
        <v>353</v>
      </c>
      <c r="D368" s="193" t="s">
        <v>93</v>
      </c>
      <c r="E368" s="193" t="s">
        <v>63</v>
      </c>
      <c r="F368" s="461" t="s">
        <v>76</v>
      </c>
      <c r="G368" s="462" t="s">
        <v>69</v>
      </c>
      <c r="H368" s="462" t="s">
        <v>63</v>
      </c>
      <c r="I368" s="463" t="s">
        <v>355</v>
      </c>
      <c r="J368" s="193" t="s">
        <v>74</v>
      </c>
      <c r="K368" s="209">
        <v>549.79999999999995</v>
      </c>
      <c r="L368" s="651">
        <f t="shared" ref="L368:L369" si="84">M368-K368</f>
        <v>0</v>
      </c>
      <c r="M368" s="209">
        <v>549.79999999999995</v>
      </c>
      <c r="N368" s="209">
        <v>0</v>
      </c>
    </row>
    <row r="369" spans="1:14" s="190" customFormat="1" ht="56.25">
      <c r="A369" s="194"/>
      <c r="B369" s="207" t="s">
        <v>79</v>
      </c>
      <c r="C369" s="208" t="s">
        <v>353</v>
      </c>
      <c r="D369" s="193" t="s">
        <v>93</v>
      </c>
      <c r="E369" s="193" t="s">
        <v>63</v>
      </c>
      <c r="F369" s="461" t="s">
        <v>76</v>
      </c>
      <c r="G369" s="462" t="s">
        <v>69</v>
      </c>
      <c r="H369" s="462" t="s">
        <v>63</v>
      </c>
      <c r="I369" s="463" t="s">
        <v>355</v>
      </c>
      <c r="J369" s="193" t="s">
        <v>80</v>
      </c>
      <c r="K369" s="209">
        <v>47.3</v>
      </c>
      <c r="L369" s="651">
        <f t="shared" si="84"/>
        <v>0</v>
      </c>
      <c r="M369" s="209">
        <v>47.3</v>
      </c>
      <c r="N369" s="209">
        <v>0</v>
      </c>
    </row>
    <row r="370" spans="1:14" s="190" customFormat="1" ht="37.9" customHeight="1">
      <c r="A370" s="194"/>
      <c r="B370" s="207" t="s">
        <v>428</v>
      </c>
      <c r="C370" s="208" t="s">
        <v>353</v>
      </c>
      <c r="D370" s="193" t="s">
        <v>93</v>
      </c>
      <c r="E370" s="193" t="s">
        <v>63</v>
      </c>
      <c r="F370" s="461" t="s">
        <v>76</v>
      </c>
      <c r="G370" s="462" t="s">
        <v>55</v>
      </c>
      <c r="H370" s="462" t="s">
        <v>67</v>
      </c>
      <c r="I370" s="463" t="s">
        <v>68</v>
      </c>
      <c r="J370" s="193"/>
      <c r="K370" s="209">
        <v>1023.2</v>
      </c>
      <c r="L370" s="209">
        <f t="shared" ref="L370:N372" si="85">L371</f>
        <v>0</v>
      </c>
      <c r="M370" s="209">
        <f t="shared" si="85"/>
        <v>1023.2</v>
      </c>
      <c r="N370" s="209">
        <f t="shared" si="85"/>
        <v>0</v>
      </c>
    </row>
    <row r="371" spans="1:14" s="190" customFormat="1" ht="75" customHeight="1">
      <c r="A371" s="194"/>
      <c r="B371" s="207" t="s">
        <v>490</v>
      </c>
      <c r="C371" s="208" t="s">
        <v>353</v>
      </c>
      <c r="D371" s="193" t="s">
        <v>93</v>
      </c>
      <c r="E371" s="193" t="s">
        <v>63</v>
      </c>
      <c r="F371" s="461" t="s">
        <v>76</v>
      </c>
      <c r="G371" s="462" t="s">
        <v>55</v>
      </c>
      <c r="H371" s="462" t="s">
        <v>76</v>
      </c>
      <c r="I371" s="463" t="s">
        <v>68</v>
      </c>
      <c r="J371" s="193"/>
      <c r="K371" s="209">
        <v>1023.2</v>
      </c>
      <c r="L371" s="209">
        <f t="shared" si="85"/>
        <v>0</v>
      </c>
      <c r="M371" s="209">
        <f t="shared" si="85"/>
        <v>1023.2</v>
      </c>
      <c r="N371" s="209">
        <f t="shared" si="85"/>
        <v>0</v>
      </c>
    </row>
    <row r="372" spans="1:14" s="190" customFormat="1" ht="55.9" customHeight="1">
      <c r="A372" s="194"/>
      <c r="B372" s="207" t="s">
        <v>103</v>
      </c>
      <c r="C372" s="208" t="s">
        <v>353</v>
      </c>
      <c r="D372" s="193" t="s">
        <v>93</v>
      </c>
      <c r="E372" s="193" t="s">
        <v>63</v>
      </c>
      <c r="F372" s="461" t="s">
        <v>76</v>
      </c>
      <c r="G372" s="462" t="s">
        <v>55</v>
      </c>
      <c r="H372" s="462" t="s">
        <v>76</v>
      </c>
      <c r="I372" s="463" t="s">
        <v>104</v>
      </c>
      <c r="J372" s="193"/>
      <c r="K372" s="209">
        <v>1023.2</v>
      </c>
      <c r="L372" s="209">
        <f t="shared" si="85"/>
        <v>0</v>
      </c>
      <c r="M372" s="209">
        <f t="shared" si="85"/>
        <v>1023.2</v>
      </c>
      <c r="N372" s="209">
        <f t="shared" si="85"/>
        <v>0</v>
      </c>
    </row>
    <row r="373" spans="1:14" s="190" customFormat="1" ht="56.25">
      <c r="A373" s="194"/>
      <c r="B373" s="214" t="s">
        <v>105</v>
      </c>
      <c r="C373" s="208" t="s">
        <v>353</v>
      </c>
      <c r="D373" s="193" t="s">
        <v>93</v>
      </c>
      <c r="E373" s="193" t="s">
        <v>63</v>
      </c>
      <c r="F373" s="461" t="s">
        <v>76</v>
      </c>
      <c r="G373" s="462" t="s">
        <v>55</v>
      </c>
      <c r="H373" s="462" t="s">
        <v>76</v>
      </c>
      <c r="I373" s="463" t="s">
        <v>104</v>
      </c>
      <c r="J373" s="193" t="s">
        <v>106</v>
      </c>
      <c r="K373" s="209">
        <v>1023.2</v>
      </c>
      <c r="L373" s="651">
        <f>M373-K373</f>
        <v>0</v>
      </c>
      <c r="M373" s="209">
        <v>1023.2</v>
      </c>
      <c r="N373" s="209">
        <v>0</v>
      </c>
    </row>
    <row r="374" spans="1:14" s="190" customFormat="1" ht="37.5">
      <c r="A374" s="194"/>
      <c r="B374" s="213" t="s">
        <v>238</v>
      </c>
      <c r="C374" s="208" t="s">
        <v>353</v>
      </c>
      <c r="D374" s="193" t="s">
        <v>93</v>
      </c>
      <c r="E374" s="193" t="s">
        <v>91</v>
      </c>
      <c r="F374" s="461"/>
      <c r="G374" s="462"/>
      <c r="H374" s="462"/>
      <c r="I374" s="463"/>
      <c r="J374" s="193"/>
      <c r="K374" s="209">
        <v>2440.1000000000004</v>
      </c>
      <c r="L374" s="209">
        <f t="shared" ref="L374:N377" si="86">L375</f>
        <v>0</v>
      </c>
      <c r="M374" s="209">
        <f t="shared" si="86"/>
        <v>2440.1000000000004</v>
      </c>
      <c r="N374" s="209">
        <f t="shared" si="86"/>
        <v>2348.3000000000002</v>
      </c>
    </row>
    <row r="375" spans="1:14" s="190" customFormat="1" ht="60" customHeight="1">
      <c r="A375" s="194"/>
      <c r="B375" s="207" t="s">
        <v>256</v>
      </c>
      <c r="C375" s="208" t="s">
        <v>353</v>
      </c>
      <c r="D375" s="193" t="s">
        <v>93</v>
      </c>
      <c r="E375" s="193" t="s">
        <v>91</v>
      </c>
      <c r="F375" s="461" t="s">
        <v>76</v>
      </c>
      <c r="G375" s="462" t="s">
        <v>66</v>
      </c>
      <c r="H375" s="462" t="s">
        <v>67</v>
      </c>
      <c r="I375" s="463" t="s">
        <v>68</v>
      </c>
      <c r="J375" s="193"/>
      <c r="K375" s="209">
        <v>2440.1000000000004</v>
      </c>
      <c r="L375" s="209">
        <f t="shared" si="86"/>
        <v>0</v>
      </c>
      <c r="M375" s="209">
        <f t="shared" si="86"/>
        <v>2440.1000000000004</v>
      </c>
      <c r="N375" s="209">
        <f t="shared" si="86"/>
        <v>2348.3000000000002</v>
      </c>
    </row>
    <row r="376" spans="1:14" s="190" customFormat="1" ht="37.5">
      <c r="A376" s="194"/>
      <c r="B376" s="211" t="s">
        <v>259</v>
      </c>
      <c r="C376" s="208" t="s">
        <v>353</v>
      </c>
      <c r="D376" s="193" t="s">
        <v>93</v>
      </c>
      <c r="E376" s="193" t="s">
        <v>91</v>
      </c>
      <c r="F376" s="461" t="s">
        <v>76</v>
      </c>
      <c r="G376" s="462" t="s">
        <v>120</v>
      </c>
      <c r="H376" s="462" t="s">
        <v>67</v>
      </c>
      <c r="I376" s="463" t="s">
        <v>68</v>
      </c>
      <c r="J376" s="193"/>
      <c r="K376" s="209">
        <v>2440.1000000000004</v>
      </c>
      <c r="L376" s="209">
        <f t="shared" si="86"/>
        <v>0</v>
      </c>
      <c r="M376" s="209">
        <f t="shared" si="86"/>
        <v>2440.1000000000004</v>
      </c>
      <c r="N376" s="209">
        <f t="shared" si="86"/>
        <v>2348.3000000000002</v>
      </c>
    </row>
    <row r="377" spans="1:14" s="190" customFormat="1" ht="37.5">
      <c r="A377" s="194"/>
      <c r="B377" s="207" t="s">
        <v>344</v>
      </c>
      <c r="C377" s="208" t="s">
        <v>353</v>
      </c>
      <c r="D377" s="193" t="s">
        <v>93</v>
      </c>
      <c r="E377" s="193" t="s">
        <v>91</v>
      </c>
      <c r="F377" s="461" t="s">
        <v>76</v>
      </c>
      <c r="G377" s="462" t="s">
        <v>120</v>
      </c>
      <c r="H377" s="462" t="s">
        <v>61</v>
      </c>
      <c r="I377" s="463" t="s">
        <v>68</v>
      </c>
      <c r="J377" s="193"/>
      <c r="K377" s="209">
        <v>2440.1000000000004</v>
      </c>
      <c r="L377" s="209">
        <f t="shared" si="86"/>
        <v>0</v>
      </c>
      <c r="M377" s="209">
        <f t="shared" si="86"/>
        <v>2440.1000000000004</v>
      </c>
      <c r="N377" s="209">
        <f t="shared" si="86"/>
        <v>2348.3000000000002</v>
      </c>
    </row>
    <row r="378" spans="1:14" s="190" customFormat="1" ht="37.5">
      <c r="A378" s="194"/>
      <c r="B378" s="207" t="s">
        <v>71</v>
      </c>
      <c r="C378" s="208" t="s">
        <v>353</v>
      </c>
      <c r="D378" s="193" t="s">
        <v>93</v>
      </c>
      <c r="E378" s="193" t="s">
        <v>91</v>
      </c>
      <c r="F378" s="461" t="s">
        <v>76</v>
      </c>
      <c r="G378" s="462" t="s">
        <v>120</v>
      </c>
      <c r="H378" s="462" t="s">
        <v>61</v>
      </c>
      <c r="I378" s="463" t="s">
        <v>72</v>
      </c>
      <c r="J378" s="193"/>
      <c r="K378" s="209">
        <v>2440.1000000000004</v>
      </c>
      <c r="L378" s="209">
        <f>L379+L380+L381</f>
        <v>0</v>
      </c>
      <c r="M378" s="209">
        <f>M379+M380+M381</f>
        <v>2440.1000000000004</v>
      </c>
      <c r="N378" s="209">
        <f>N379+N380+N381</f>
        <v>2348.3000000000002</v>
      </c>
    </row>
    <row r="379" spans="1:14" s="190" customFormat="1" ht="112.5">
      <c r="A379" s="194"/>
      <c r="B379" s="207" t="s">
        <v>73</v>
      </c>
      <c r="C379" s="208" t="s">
        <v>353</v>
      </c>
      <c r="D379" s="193" t="s">
        <v>93</v>
      </c>
      <c r="E379" s="193" t="s">
        <v>91</v>
      </c>
      <c r="F379" s="461" t="s">
        <v>76</v>
      </c>
      <c r="G379" s="462" t="s">
        <v>120</v>
      </c>
      <c r="H379" s="462" t="s">
        <v>61</v>
      </c>
      <c r="I379" s="463" t="s">
        <v>72</v>
      </c>
      <c r="J379" s="193" t="s">
        <v>74</v>
      </c>
      <c r="K379" s="209">
        <v>2348.3000000000002</v>
      </c>
      <c r="L379" s="651">
        <f t="shared" ref="L379:L381" si="87">M379-K379</f>
        <v>0</v>
      </c>
      <c r="M379" s="209">
        <v>2348.3000000000002</v>
      </c>
      <c r="N379" s="209">
        <v>2348.3000000000002</v>
      </c>
    </row>
    <row r="380" spans="1:14" s="190" customFormat="1" ht="56.25">
      <c r="A380" s="194"/>
      <c r="B380" s="207" t="s">
        <v>79</v>
      </c>
      <c r="C380" s="208" t="s">
        <v>353</v>
      </c>
      <c r="D380" s="193" t="s">
        <v>93</v>
      </c>
      <c r="E380" s="193" t="s">
        <v>91</v>
      </c>
      <c r="F380" s="461" t="s">
        <v>76</v>
      </c>
      <c r="G380" s="462" t="s">
        <v>120</v>
      </c>
      <c r="H380" s="462" t="s">
        <v>61</v>
      </c>
      <c r="I380" s="463" t="s">
        <v>72</v>
      </c>
      <c r="J380" s="193" t="s">
        <v>80</v>
      </c>
      <c r="K380" s="209">
        <v>89.8</v>
      </c>
      <c r="L380" s="651">
        <f t="shared" si="87"/>
        <v>0</v>
      </c>
      <c r="M380" s="209">
        <v>89.8</v>
      </c>
      <c r="N380" s="209">
        <v>0</v>
      </c>
    </row>
    <row r="381" spans="1:14" s="190" customFormat="1" ht="18.75">
      <c r="A381" s="194"/>
      <c r="B381" s="207" t="s">
        <v>81</v>
      </c>
      <c r="C381" s="208" t="s">
        <v>353</v>
      </c>
      <c r="D381" s="193" t="s">
        <v>93</v>
      </c>
      <c r="E381" s="193" t="s">
        <v>91</v>
      </c>
      <c r="F381" s="461" t="s">
        <v>76</v>
      </c>
      <c r="G381" s="462" t="s">
        <v>120</v>
      </c>
      <c r="H381" s="462" t="s">
        <v>61</v>
      </c>
      <c r="I381" s="463" t="s">
        <v>72</v>
      </c>
      <c r="J381" s="193" t="s">
        <v>82</v>
      </c>
      <c r="K381" s="209">
        <v>2</v>
      </c>
      <c r="L381" s="651">
        <f t="shared" si="87"/>
        <v>0</v>
      </c>
      <c r="M381" s="209">
        <v>2</v>
      </c>
      <c r="N381" s="209">
        <v>0</v>
      </c>
    </row>
    <row r="382" spans="1:14" s="190" customFormat="1" ht="18.75">
      <c r="A382" s="194"/>
      <c r="B382" s="207"/>
      <c r="C382" s="208"/>
      <c r="D382" s="193"/>
      <c r="E382" s="193"/>
      <c r="F382" s="461"/>
      <c r="G382" s="462"/>
      <c r="H382" s="462"/>
      <c r="I382" s="463"/>
      <c r="J382" s="193"/>
      <c r="K382" s="209"/>
      <c r="L382" s="209"/>
      <c r="M382" s="209"/>
      <c r="N382" s="209"/>
    </row>
    <row r="383" spans="1:14" s="465" customFormat="1" ht="56.25">
      <c r="A383" s="464">
        <v>8</v>
      </c>
      <c r="B383" s="201" t="s">
        <v>31</v>
      </c>
      <c r="C383" s="202" t="s">
        <v>349</v>
      </c>
      <c r="D383" s="203"/>
      <c r="E383" s="203"/>
      <c r="F383" s="204"/>
      <c r="G383" s="205"/>
      <c r="H383" s="205"/>
      <c r="I383" s="206"/>
      <c r="J383" s="203"/>
      <c r="K383" s="235">
        <v>5307</v>
      </c>
      <c r="L383" s="235">
        <f>L384</f>
        <v>0</v>
      </c>
      <c r="M383" s="235">
        <f>M384</f>
        <v>5307</v>
      </c>
      <c r="N383" s="235">
        <f>N384</f>
        <v>4825</v>
      </c>
    </row>
    <row r="384" spans="1:14" s="190" customFormat="1" ht="18.75">
      <c r="A384" s="464"/>
      <c r="B384" s="207" t="s">
        <v>218</v>
      </c>
      <c r="C384" s="208" t="s">
        <v>349</v>
      </c>
      <c r="D384" s="193" t="s">
        <v>263</v>
      </c>
      <c r="E384" s="193"/>
      <c r="F384" s="461"/>
      <c r="G384" s="462"/>
      <c r="H384" s="462"/>
      <c r="I384" s="463"/>
      <c r="J384" s="193"/>
      <c r="K384" s="209">
        <v>5307</v>
      </c>
      <c r="L384" s="209">
        <f>L385+L393</f>
        <v>0</v>
      </c>
      <c r="M384" s="209">
        <f>M385+M393</f>
        <v>5307</v>
      </c>
      <c r="N384" s="209">
        <f>N385+N393</f>
        <v>4825</v>
      </c>
    </row>
    <row r="385" spans="1:14" s="465" customFormat="1" ht="18.75">
      <c r="A385" s="464"/>
      <c r="B385" s="207" t="s">
        <v>449</v>
      </c>
      <c r="C385" s="208" t="s">
        <v>349</v>
      </c>
      <c r="D385" s="193" t="s">
        <v>263</v>
      </c>
      <c r="E385" s="193" t="s">
        <v>263</v>
      </c>
      <c r="F385" s="461"/>
      <c r="G385" s="462"/>
      <c r="H385" s="462"/>
      <c r="I385" s="463"/>
      <c r="J385" s="193"/>
      <c r="K385" s="209">
        <v>2233.8000000000002</v>
      </c>
      <c r="L385" s="209">
        <f>L386</f>
        <v>0</v>
      </c>
      <c r="M385" s="209">
        <f>M386</f>
        <v>2233.8000000000002</v>
      </c>
      <c r="N385" s="209">
        <f>N386</f>
        <v>2194.9</v>
      </c>
    </row>
    <row r="386" spans="1:14" s="465" customFormat="1" ht="56.25">
      <c r="A386" s="464"/>
      <c r="B386" s="207" t="s">
        <v>260</v>
      </c>
      <c r="C386" s="208" t="s">
        <v>349</v>
      </c>
      <c r="D386" s="193" t="s">
        <v>263</v>
      </c>
      <c r="E386" s="193" t="s">
        <v>263</v>
      </c>
      <c r="F386" s="461" t="s">
        <v>91</v>
      </c>
      <c r="G386" s="462" t="s">
        <v>66</v>
      </c>
      <c r="H386" s="462" t="s">
        <v>67</v>
      </c>
      <c r="I386" s="463" t="s">
        <v>68</v>
      </c>
      <c r="J386" s="193"/>
      <c r="K386" s="209">
        <v>2233.8000000000002</v>
      </c>
      <c r="L386" s="209">
        <f t="shared" ref="L386:N388" si="88">L387</f>
        <v>0</v>
      </c>
      <c r="M386" s="209">
        <f t="shared" si="88"/>
        <v>2233.8000000000002</v>
      </c>
      <c r="N386" s="209">
        <f t="shared" si="88"/>
        <v>2194.9</v>
      </c>
    </row>
    <row r="387" spans="1:14" s="465" customFormat="1" ht="18.75">
      <c r="A387" s="464"/>
      <c r="B387" s="207" t="s">
        <v>261</v>
      </c>
      <c r="C387" s="208" t="s">
        <v>349</v>
      </c>
      <c r="D387" s="193" t="s">
        <v>263</v>
      </c>
      <c r="E387" s="193" t="s">
        <v>263</v>
      </c>
      <c r="F387" s="461" t="s">
        <v>91</v>
      </c>
      <c r="G387" s="462" t="s">
        <v>69</v>
      </c>
      <c r="H387" s="462" t="s">
        <v>67</v>
      </c>
      <c r="I387" s="463" t="s">
        <v>68</v>
      </c>
      <c r="J387" s="193"/>
      <c r="K387" s="209">
        <v>2233.8000000000002</v>
      </c>
      <c r="L387" s="209">
        <f t="shared" si="88"/>
        <v>0</v>
      </c>
      <c r="M387" s="209">
        <f t="shared" si="88"/>
        <v>2233.8000000000002</v>
      </c>
      <c r="N387" s="209">
        <f t="shared" si="88"/>
        <v>2194.9</v>
      </c>
    </row>
    <row r="388" spans="1:14" s="465" customFormat="1" ht="78" customHeight="1">
      <c r="A388" s="464"/>
      <c r="B388" s="207" t="s">
        <v>350</v>
      </c>
      <c r="C388" s="208" t="s">
        <v>349</v>
      </c>
      <c r="D388" s="193" t="s">
        <v>263</v>
      </c>
      <c r="E388" s="193" t="s">
        <v>263</v>
      </c>
      <c r="F388" s="461" t="s">
        <v>91</v>
      </c>
      <c r="G388" s="462" t="s">
        <v>69</v>
      </c>
      <c r="H388" s="462" t="s">
        <v>61</v>
      </c>
      <c r="I388" s="463" t="s">
        <v>68</v>
      </c>
      <c r="J388" s="193"/>
      <c r="K388" s="209">
        <v>2233.8000000000002</v>
      </c>
      <c r="L388" s="209">
        <f t="shared" si="88"/>
        <v>0</v>
      </c>
      <c r="M388" s="209">
        <f t="shared" si="88"/>
        <v>2233.8000000000002</v>
      </c>
      <c r="N388" s="209">
        <f t="shared" si="88"/>
        <v>2194.9</v>
      </c>
    </row>
    <row r="389" spans="1:14" s="465" customFormat="1" ht="93.75">
      <c r="A389" s="464"/>
      <c r="B389" s="207" t="s">
        <v>121</v>
      </c>
      <c r="C389" s="208" t="s">
        <v>349</v>
      </c>
      <c r="D389" s="193" t="s">
        <v>263</v>
      </c>
      <c r="E389" s="193" t="s">
        <v>263</v>
      </c>
      <c r="F389" s="461" t="s">
        <v>91</v>
      </c>
      <c r="G389" s="462" t="s">
        <v>69</v>
      </c>
      <c r="H389" s="462" t="s">
        <v>61</v>
      </c>
      <c r="I389" s="463" t="s">
        <v>123</v>
      </c>
      <c r="J389" s="193"/>
      <c r="K389" s="209">
        <v>2233.8000000000002</v>
      </c>
      <c r="L389" s="209">
        <f>L390+L391</f>
        <v>0</v>
      </c>
      <c r="M389" s="209">
        <f>M390+M391</f>
        <v>2233.8000000000002</v>
      </c>
      <c r="N389" s="209">
        <f>N390+N391</f>
        <v>2194.9</v>
      </c>
    </row>
    <row r="390" spans="1:14" s="465" customFormat="1" ht="112.5">
      <c r="A390" s="194"/>
      <c r="B390" s="207" t="s">
        <v>73</v>
      </c>
      <c r="C390" s="208" t="s">
        <v>349</v>
      </c>
      <c r="D390" s="193" t="s">
        <v>263</v>
      </c>
      <c r="E390" s="193" t="s">
        <v>263</v>
      </c>
      <c r="F390" s="461" t="s">
        <v>91</v>
      </c>
      <c r="G390" s="462" t="s">
        <v>69</v>
      </c>
      <c r="H390" s="462" t="s">
        <v>61</v>
      </c>
      <c r="I390" s="463" t="s">
        <v>123</v>
      </c>
      <c r="J390" s="193" t="s">
        <v>74</v>
      </c>
      <c r="K390" s="209">
        <v>2195.5</v>
      </c>
      <c r="L390" s="651">
        <f t="shared" ref="L390:L392" si="89">M390-K390</f>
        <v>0</v>
      </c>
      <c r="M390" s="209">
        <v>2195.5</v>
      </c>
      <c r="N390" s="209">
        <v>2194.9</v>
      </c>
    </row>
    <row r="391" spans="1:14" s="190" customFormat="1" ht="56.25">
      <c r="A391" s="194"/>
      <c r="B391" s="207" t="s">
        <v>79</v>
      </c>
      <c r="C391" s="208" t="s">
        <v>349</v>
      </c>
      <c r="D391" s="193" t="s">
        <v>263</v>
      </c>
      <c r="E391" s="193" t="s">
        <v>263</v>
      </c>
      <c r="F391" s="461" t="s">
        <v>91</v>
      </c>
      <c r="G391" s="462" t="s">
        <v>69</v>
      </c>
      <c r="H391" s="462" t="s">
        <v>61</v>
      </c>
      <c r="I391" s="463" t="s">
        <v>123</v>
      </c>
      <c r="J391" s="193" t="s">
        <v>80</v>
      </c>
      <c r="K391" s="209">
        <v>38.299999999999997</v>
      </c>
      <c r="L391" s="651">
        <f t="shared" si="89"/>
        <v>0</v>
      </c>
      <c r="M391" s="209">
        <v>38.299999999999997</v>
      </c>
      <c r="N391" s="209">
        <v>0</v>
      </c>
    </row>
    <row r="392" spans="1:14" s="190" customFormat="1" ht="56.25">
      <c r="A392" s="194"/>
      <c r="B392" s="207" t="s">
        <v>79</v>
      </c>
      <c r="C392" s="505" t="s">
        <v>349</v>
      </c>
      <c r="D392" s="387" t="s">
        <v>263</v>
      </c>
      <c r="E392" s="387" t="s">
        <v>263</v>
      </c>
      <c r="F392" s="461" t="s">
        <v>645</v>
      </c>
      <c r="G392" s="462" t="s">
        <v>69</v>
      </c>
      <c r="H392" s="462" t="s">
        <v>61</v>
      </c>
      <c r="I392" s="463" t="s">
        <v>646</v>
      </c>
      <c r="J392" s="193" t="s">
        <v>80</v>
      </c>
      <c r="K392" s="209"/>
      <c r="L392" s="651">
        <f t="shared" si="89"/>
        <v>0</v>
      </c>
      <c r="M392" s="209"/>
      <c r="N392" s="209"/>
    </row>
    <row r="393" spans="1:14" s="190" customFormat="1" ht="18.75">
      <c r="A393" s="194"/>
      <c r="B393" s="207" t="s">
        <v>225</v>
      </c>
      <c r="C393" s="505" t="s">
        <v>349</v>
      </c>
      <c r="D393" s="193" t="s">
        <v>263</v>
      </c>
      <c r="E393" s="193" t="s">
        <v>109</v>
      </c>
      <c r="F393" s="461"/>
      <c r="G393" s="462"/>
      <c r="H393" s="462"/>
      <c r="I393" s="463"/>
      <c r="J393" s="193"/>
      <c r="K393" s="209">
        <v>3073.2000000000003</v>
      </c>
      <c r="L393" s="209">
        <f t="shared" ref="L393:N396" si="90">L394</f>
        <v>0</v>
      </c>
      <c r="M393" s="209">
        <f t="shared" si="90"/>
        <v>3073.2000000000003</v>
      </c>
      <c r="N393" s="209">
        <f t="shared" si="90"/>
        <v>2630.1</v>
      </c>
    </row>
    <row r="394" spans="1:14" s="190" customFormat="1" ht="56.25">
      <c r="A394" s="194"/>
      <c r="B394" s="207" t="s">
        <v>260</v>
      </c>
      <c r="C394" s="505" t="s">
        <v>349</v>
      </c>
      <c r="D394" s="193" t="s">
        <v>263</v>
      </c>
      <c r="E394" s="193" t="s">
        <v>109</v>
      </c>
      <c r="F394" s="461" t="s">
        <v>91</v>
      </c>
      <c r="G394" s="462" t="s">
        <v>66</v>
      </c>
      <c r="H394" s="462" t="s">
        <v>67</v>
      </c>
      <c r="I394" s="463" t="s">
        <v>68</v>
      </c>
      <c r="J394" s="193"/>
      <c r="K394" s="209">
        <v>3073.2000000000003</v>
      </c>
      <c r="L394" s="209">
        <f t="shared" si="90"/>
        <v>0</v>
      </c>
      <c r="M394" s="209">
        <f t="shared" si="90"/>
        <v>3073.2000000000003</v>
      </c>
      <c r="N394" s="209">
        <f t="shared" si="90"/>
        <v>2630.1</v>
      </c>
    </row>
    <row r="395" spans="1:14" s="190" customFormat="1" ht="37.5">
      <c r="A395" s="194"/>
      <c r="B395" s="207" t="s">
        <v>259</v>
      </c>
      <c r="C395" s="208" t="s">
        <v>349</v>
      </c>
      <c r="D395" s="193" t="s">
        <v>263</v>
      </c>
      <c r="E395" s="193" t="s">
        <v>109</v>
      </c>
      <c r="F395" s="461" t="s">
        <v>91</v>
      </c>
      <c r="G395" s="462" t="s">
        <v>120</v>
      </c>
      <c r="H395" s="462" t="s">
        <v>67</v>
      </c>
      <c r="I395" s="463" t="s">
        <v>68</v>
      </c>
      <c r="J395" s="193"/>
      <c r="K395" s="209">
        <v>3073.2000000000003</v>
      </c>
      <c r="L395" s="209">
        <f t="shared" si="90"/>
        <v>0</v>
      </c>
      <c r="M395" s="209">
        <f t="shared" si="90"/>
        <v>3073.2000000000003</v>
      </c>
      <c r="N395" s="209">
        <f t="shared" si="90"/>
        <v>2630.1</v>
      </c>
    </row>
    <row r="396" spans="1:14" s="465" customFormat="1" ht="37.5">
      <c r="A396" s="194"/>
      <c r="B396" s="207" t="s">
        <v>344</v>
      </c>
      <c r="C396" s="208" t="s">
        <v>349</v>
      </c>
      <c r="D396" s="193" t="s">
        <v>263</v>
      </c>
      <c r="E396" s="193" t="s">
        <v>109</v>
      </c>
      <c r="F396" s="461" t="s">
        <v>91</v>
      </c>
      <c r="G396" s="462" t="s">
        <v>120</v>
      </c>
      <c r="H396" s="462" t="s">
        <v>61</v>
      </c>
      <c r="I396" s="463" t="s">
        <v>68</v>
      </c>
      <c r="J396" s="193"/>
      <c r="K396" s="209">
        <v>3073.2000000000003</v>
      </c>
      <c r="L396" s="209">
        <f t="shared" si="90"/>
        <v>0</v>
      </c>
      <c r="M396" s="209">
        <f t="shared" si="90"/>
        <v>3073.2000000000003</v>
      </c>
      <c r="N396" s="209">
        <f t="shared" si="90"/>
        <v>2630.1</v>
      </c>
    </row>
    <row r="397" spans="1:14" s="190" customFormat="1" ht="37.5">
      <c r="A397" s="194"/>
      <c r="B397" s="207" t="s">
        <v>71</v>
      </c>
      <c r="C397" s="208" t="s">
        <v>349</v>
      </c>
      <c r="D397" s="193" t="s">
        <v>263</v>
      </c>
      <c r="E397" s="193" t="s">
        <v>109</v>
      </c>
      <c r="F397" s="461" t="s">
        <v>91</v>
      </c>
      <c r="G397" s="462" t="s">
        <v>120</v>
      </c>
      <c r="H397" s="462" t="s">
        <v>61</v>
      </c>
      <c r="I397" s="463" t="s">
        <v>72</v>
      </c>
      <c r="J397" s="193"/>
      <c r="K397" s="209">
        <v>3073.2000000000003</v>
      </c>
      <c r="L397" s="209">
        <f>L398+L399+L400</f>
        <v>0</v>
      </c>
      <c r="M397" s="209">
        <f>M398+M399+M400</f>
        <v>3073.2000000000003</v>
      </c>
      <c r="N397" s="209">
        <f>N398+N399+N400</f>
        <v>2630.1</v>
      </c>
    </row>
    <row r="398" spans="1:14" s="190" customFormat="1" ht="112.5">
      <c r="A398" s="194"/>
      <c r="B398" s="207" t="s">
        <v>73</v>
      </c>
      <c r="C398" s="208" t="s">
        <v>349</v>
      </c>
      <c r="D398" s="193" t="s">
        <v>263</v>
      </c>
      <c r="E398" s="193" t="s">
        <v>109</v>
      </c>
      <c r="F398" s="461" t="s">
        <v>91</v>
      </c>
      <c r="G398" s="462" t="s">
        <v>120</v>
      </c>
      <c r="H398" s="462" t="s">
        <v>61</v>
      </c>
      <c r="I398" s="463" t="s">
        <v>72</v>
      </c>
      <c r="J398" s="193" t="s">
        <v>74</v>
      </c>
      <c r="K398" s="209">
        <v>2630.1</v>
      </c>
      <c r="L398" s="651">
        <f t="shared" ref="L398:L400" si="91">M398-K398</f>
        <v>0</v>
      </c>
      <c r="M398" s="209">
        <v>2630.1</v>
      </c>
      <c r="N398" s="209">
        <v>2630.1</v>
      </c>
    </row>
    <row r="399" spans="1:14" s="190" customFormat="1" ht="56.25">
      <c r="A399" s="194"/>
      <c r="B399" s="207" t="s">
        <v>79</v>
      </c>
      <c r="C399" s="505" t="s">
        <v>349</v>
      </c>
      <c r="D399" s="387" t="s">
        <v>263</v>
      </c>
      <c r="E399" s="387" t="s">
        <v>109</v>
      </c>
      <c r="F399" s="461" t="s">
        <v>91</v>
      </c>
      <c r="G399" s="462" t="s">
        <v>120</v>
      </c>
      <c r="H399" s="462" t="s">
        <v>61</v>
      </c>
      <c r="I399" s="463" t="s">
        <v>72</v>
      </c>
      <c r="J399" s="193" t="s">
        <v>80</v>
      </c>
      <c r="K399" s="209">
        <v>442.8</v>
      </c>
      <c r="L399" s="651">
        <f t="shared" si="91"/>
        <v>0</v>
      </c>
      <c r="M399" s="209">
        <v>442.8</v>
      </c>
      <c r="N399" s="209">
        <v>0</v>
      </c>
    </row>
    <row r="400" spans="1:14" s="190" customFormat="1" ht="18.75">
      <c r="A400" s="194"/>
      <c r="B400" s="207" t="s">
        <v>81</v>
      </c>
      <c r="C400" s="505" t="s">
        <v>349</v>
      </c>
      <c r="D400" s="387" t="s">
        <v>263</v>
      </c>
      <c r="E400" s="387" t="s">
        <v>109</v>
      </c>
      <c r="F400" s="461" t="s">
        <v>91</v>
      </c>
      <c r="G400" s="462" t="s">
        <v>120</v>
      </c>
      <c r="H400" s="462" t="s">
        <v>61</v>
      </c>
      <c r="I400" s="463" t="s">
        <v>72</v>
      </c>
      <c r="J400" s="193" t="s">
        <v>82</v>
      </c>
      <c r="K400" s="209">
        <v>0.3</v>
      </c>
      <c r="L400" s="651">
        <f t="shared" si="91"/>
        <v>0</v>
      </c>
      <c r="M400" s="209">
        <v>0.3</v>
      </c>
      <c r="N400" s="209">
        <v>0</v>
      </c>
    </row>
    <row r="401" spans="1:14" s="190" customFormat="1" ht="18.75">
      <c r="A401" s="194"/>
      <c r="B401" s="207"/>
      <c r="C401" s="505"/>
      <c r="D401" s="387"/>
      <c r="E401" s="387"/>
      <c r="F401" s="461"/>
      <c r="G401" s="462"/>
      <c r="H401" s="462"/>
      <c r="I401" s="463"/>
      <c r="J401" s="193"/>
      <c r="K401" s="209"/>
      <c r="L401" s="209"/>
      <c r="M401" s="209"/>
      <c r="N401" s="209"/>
    </row>
    <row r="402" spans="1:14" s="465" customFormat="1" ht="56.25">
      <c r="A402" s="464">
        <v>9</v>
      </c>
      <c r="B402" s="201" t="s">
        <v>32</v>
      </c>
      <c r="C402" s="202" t="s">
        <v>360</v>
      </c>
      <c r="D402" s="203"/>
      <c r="E402" s="203"/>
      <c r="F402" s="204"/>
      <c r="G402" s="205"/>
      <c r="H402" s="205"/>
      <c r="I402" s="206"/>
      <c r="J402" s="203"/>
      <c r="K402" s="235">
        <v>77671.7</v>
      </c>
      <c r="L402" s="235">
        <f>L403+L410</f>
        <v>0</v>
      </c>
      <c r="M402" s="235">
        <f>M403+M410</f>
        <v>77671.7</v>
      </c>
      <c r="N402" s="235">
        <f>N403+N410</f>
        <v>80885.099999999991</v>
      </c>
    </row>
    <row r="403" spans="1:14" s="190" customFormat="1" ht="18.75">
      <c r="A403" s="194"/>
      <c r="B403" s="213" t="s">
        <v>218</v>
      </c>
      <c r="C403" s="208" t="s">
        <v>360</v>
      </c>
      <c r="D403" s="193" t="s">
        <v>263</v>
      </c>
      <c r="E403" s="193"/>
      <c r="F403" s="461"/>
      <c r="G403" s="462"/>
      <c r="H403" s="462"/>
      <c r="I403" s="463"/>
      <c r="J403" s="193"/>
      <c r="K403" s="209">
        <v>16.3</v>
      </c>
      <c r="L403" s="209">
        <f t="shared" ref="L403:N408" si="92">L404</f>
        <v>0</v>
      </c>
      <c r="M403" s="209">
        <f t="shared" si="92"/>
        <v>16.3</v>
      </c>
      <c r="N403" s="209">
        <f t="shared" si="92"/>
        <v>16.3</v>
      </c>
    </row>
    <row r="404" spans="1:14" s="465" customFormat="1" ht="18.75">
      <c r="A404" s="194"/>
      <c r="B404" s="207" t="s">
        <v>449</v>
      </c>
      <c r="C404" s="208" t="s">
        <v>360</v>
      </c>
      <c r="D404" s="193" t="s">
        <v>263</v>
      </c>
      <c r="E404" s="193" t="s">
        <v>263</v>
      </c>
      <c r="F404" s="461"/>
      <c r="G404" s="462"/>
      <c r="H404" s="462"/>
      <c r="I404" s="463"/>
      <c r="J404" s="193"/>
      <c r="K404" s="209">
        <v>16.3</v>
      </c>
      <c r="L404" s="209">
        <f t="shared" si="92"/>
        <v>0</v>
      </c>
      <c r="M404" s="209">
        <f t="shared" si="92"/>
        <v>16.3</v>
      </c>
      <c r="N404" s="209">
        <f t="shared" si="92"/>
        <v>16.3</v>
      </c>
    </row>
    <row r="405" spans="1:14" s="465" customFormat="1" ht="56.25">
      <c r="A405" s="194"/>
      <c r="B405" s="207" t="s">
        <v>361</v>
      </c>
      <c r="C405" s="208" t="s">
        <v>360</v>
      </c>
      <c r="D405" s="193" t="s">
        <v>263</v>
      </c>
      <c r="E405" s="193" t="s">
        <v>263</v>
      </c>
      <c r="F405" s="461" t="s">
        <v>109</v>
      </c>
      <c r="G405" s="462" t="s">
        <v>66</v>
      </c>
      <c r="H405" s="462" t="s">
        <v>67</v>
      </c>
      <c r="I405" s="463" t="s">
        <v>68</v>
      </c>
      <c r="J405" s="193"/>
      <c r="K405" s="209">
        <v>16.3</v>
      </c>
      <c r="L405" s="209">
        <f t="shared" si="92"/>
        <v>0</v>
      </c>
      <c r="M405" s="209">
        <f t="shared" si="92"/>
        <v>16.3</v>
      </c>
      <c r="N405" s="209">
        <f t="shared" si="92"/>
        <v>16.3</v>
      </c>
    </row>
    <row r="406" spans="1:14" s="465" customFormat="1" ht="37.5">
      <c r="A406" s="194"/>
      <c r="B406" s="207" t="s">
        <v>428</v>
      </c>
      <c r="C406" s="208" t="s">
        <v>360</v>
      </c>
      <c r="D406" s="193" t="s">
        <v>263</v>
      </c>
      <c r="E406" s="193" t="s">
        <v>263</v>
      </c>
      <c r="F406" s="461" t="s">
        <v>109</v>
      </c>
      <c r="G406" s="462" t="s">
        <v>69</v>
      </c>
      <c r="H406" s="462" t="s">
        <v>67</v>
      </c>
      <c r="I406" s="463" t="s">
        <v>68</v>
      </c>
      <c r="J406" s="193"/>
      <c r="K406" s="209">
        <v>16.3</v>
      </c>
      <c r="L406" s="209">
        <f t="shared" si="92"/>
        <v>0</v>
      </c>
      <c r="M406" s="209">
        <f t="shared" si="92"/>
        <v>16.3</v>
      </c>
      <c r="N406" s="209">
        <f t="shared" si="92"/>
        <v>16.3</v>
      </c>
    </row>
    <row r="407" spans="1:14" s="465" customFormat="1" ht="37.5">
      <c r="A407" s="194"/>
      <c r="B407" s="207" t="s">
        <v>347</v>
      </c>
      <c r="C407" s="208" t="s">
        <v>360</v>
      </c>
      <c r="D407" s="193" t="s">
        <v>263</v>
      </c>
      <c r="E407" s="193" t="s">
        <v>263</v>
      </c>
      <c r="F407" s="461" t="s">
        <v>109</v>
      </c>
      <c r="G407" s="462" t="s">
        <v>69</v>
      </c>
      <c r="H407" s="462" t="s">
        <v>61</v>
      </c>
      <c r="I407" s="463" t="s">
        <v>68</v>
      </c>
      <c r="J407" s="193"/>
      <c r="K407" s="209">
        <v>16.3</v>
      </c>
      <c r="L407" s="209">
        <f t="shared" si="92"/>
        <v>0</v>
      </c>
      <c r="M407" s="209">
        <f t="shared" si="92"/>
        <v>16.3</v>
      </c>
      <c r="N407" s="209">
        <f t="shared" si="92"/>
        <v>16.3</v>
      </c>
    </row>
    <row r="408" spans="1:14" s="465" customFormat="1" ht="153.75" customHeight="1">
      <c r="A408" s="194"/>
      <c r="B408" s="507" t="s">
        <v>464</v>
      </c>
      <c r="C408" s="208" t="s">
        <v>360</v>
      </c>
      <c r="D408" s="193" t="s">
        <v>263</v>
      </c>
      <c r="E408" s="193" t="s">
        <v>263</v>
      </c>
      <c r="F408" s="461" t="s">
        <v>109</v>
      </c>
      <c r="G408" s="462" t="s">
        <v>69</v>
      </c>
      <c r="H408" s="462" t="s">
        <v>61</v>
      </c>
      <c r="I408" s="463" t="s">
        <v>362</v>
      </c>
      <c r="J408" s="193"/>
      <c r="K408" s="209">
        <v>16.3</v>
      </c>
      <c r="L408" s="209">
        <f t="shared" si="92"/>
        <v>0</v>
      </c>
      <c r="M408" s="209">
        <f t="shared" si="92"/>
        <v>16.3</v>
      </c>
      <c r="N408" s="209">
        <f t="shared" si="92"/>
        <v>16.3</v>
      </c>
    </row>
    <row r="409" spans="1:14" s="465" customFormat="1" ht="37.5">
      <c r="A409" s="194"/>
      <c r="B409" s="207" t="s">
        <v>152</v>
      </c>
      <c r="C409" s="208" t="s">
        <v>360</v>
      </c>
      <c r="D409" s="193" t="s">
        <v>263</v>
      </c>
      <c r="E409" s="193" t="s">
        <v>263</v>
      </c>
      <c r="F409" s="461" t="s">
        <v>109</v>
      </c>
      <c r="G409" s="462" t="s">
        <v>69</v>
      </c>
      <c r="H409" s="462" t="s">
        <v>61</v>
      </c>
      <c r="I409" s="463" t="s">
        <v>362</v>
      </c>
      <c r="J409" s="193" t="s">
        <v>153</v>
      </c>
      <c r="K409" s="209">
        <v>16.3</v>
      </c>
      <c r="L409" s="651">
        <f>M409-K409</f>
        <v>0</v>
      </c>
      <c r="M409" s="209">
        <v>16.3</v>
      </c>
      <c r="N409" s="209">
        <v>16.3</v>
      </c>
    </row>
    <row r="410" spans="1:14" s="190" customFormat="1" ht="18.75">
      <c r="A410" s="194"/>
      <c r="B410" s="213" t="s">
        <v>151</v>
      </c>
      <c r="C410" s="208" t="s">
        <v>360</v>
      </c>
      <c r="D410" s="193" t="s">
        <v>136</v>
      </c>
      <c r="E410" s="193"/>
      <c r="F410" s="461"/>
      <c r="G410" s="462"/>
      <c r="H410" s="462"/>
      <c r="I410" s="463"/>
      <c r="J410" s="193"/>
      <c r="K410" s="209">
        <v>77655.399999999994</v>
      </c>
      <c r="L410" s="209">
        <f>L411+L427</f>
        <v>0</v>
      </c>
      <c r="M410" s="209">
        <f>M411+M427</f>
        <v>77655.399999999994</v>
      </c>
      <c r="N410" s="209">
        <f>N411+N427</f>
        <v>80868.799999999988</v>
      </c>
    </row>
    <row r="411" spans="1:14" s="190" customFormat="1" ht="18.75">
      <c r="A411" s="194"/>
      <c r="B411" s="207" t="s">
        <v>232</v>
      </c>
      <c r="C411" s="208" t="s">
        <v>360</v>
      </c>
      <c r="D411" s="193" t="s">
        <v>136</v>
      </c>
      <c r="E411" s="193" t="s">
        <v>76</v>
      </c>
      <c r="F411" s="461"/>
      <c r="G411" s="462"/>
      <c r="H411" s="462"/>
      <c r="I411" s="463"/>
      <c r="J411" s="193"/>
      <c r="K411" s="209">
        <v>69310.299999999988</v>
      </c>
      <c r="L411" s="209">
        <f t="shared" ref="L411:N413" si="93">L412</f>
        <v>0</v>
      </c>
      <c r="M411" s="209">
        <f t="shared" si="93"/>
        <v>69310.299999999988</v>
      </c>
      <c r="N411" s="209">
        <f t="shared" si="93"/>
        <v>72084.099999999991</v>
      </c>
    </row>
    <row r="412" spans="1:14" s="190" customFormat="1" ht="56.25">
      <c r="A412" s="194"/>
      <c r="B412" s="211" t="s">
        <v>269</v>
      </c>
      <c r="C412" s="208" t="s">
        <v>360</v>
      </c>
      <c r="D412" s="193" t="s">
        <v>136</v>
      </c>
      <c r="E412" s="193" t="s">
        <v>76</v>
      </c>
      <c r="F412" s="461" t="s">
        <v>109</v>
      </c>
      <c r="G412" s="462" t="s">
        <v>66</v>
      </c>
      <c r="H412" s="462" t="s">
        <v>67</v>
      </c>
      <c r="I412" s="463" t="s">
        <v>68</v>
      </c>
      <c r="J412" s="193"/>
      <c r="K412" s="209">
        <v>69310.299999999988</v>
      </c>
      <c r="L412" s="209">
        <f t="shared" si="93"/>
        <v>0</v>
      </c>
      <c r="M412" s="209">
        <f t="shared" si="93"/>
        <v>69310.299999999988</v>
      </c>
      <c r="N412" s="209">
        <f t="shared" si="93"/>
        <v>72084.099999999991</v>
      </c>
    </row>
    <row r="413" spans="1:14" s="190" customFormat="1" ht="37.5">
      <c r="A413" s="194"/>
      <c r="B413" s="207" t="s">
        <v>428</v>
      </c>
      <c r="C413" s="208" t="s">
        <v>360</v>
      </c>
      <c r="D413" s="193" t="s">
        <v>136</v>
      </c>
      <c r="E413" s="193" t="s">
        <v>76</v>
      </c>
      <c r="F413" s="461" t="s">
        <v>109</v>
      </c>
      <c r="G413" s="462" t="s">
        <v>69</v>
      </c>
      <c r="H413" s="462" t="s">
        <v>67</v>
      </c>
      <c r="I413" s="463" t="s">
        <v>68</v>
      </c>
      <c r="J413" s="193"/>
      <c r="K413" s="209">
        <v>69310.299999999988</v>
      </c>
      <c r="L413" s="209">
        <f t="shared" si="93"/>
        <v>0</v>
      </c>
      <c r="M413" s="209">
        <f t="shared" si="93"/>
        <v>69310.299999999988</v>
      </c>
      <c r="N413" s="209">
        <f t="shared" si="93"/>
        <v>72084.099999999991</v>
      </c>
    </row>
    <row r="414" spans="1:14" s="465" customFormat="1" ht="37.5">
      <c r="A414" s="194"/>
      <c r="B414" s="207" t="s">
        <v>347</v>
      </c>
      <c r="C414" s="208" t="s">
        <v>360</v>
      </c>
      <c r="D414" s="193" t="s">
        <v>136</v>
      </c>
      <c r="E414" s="193" t="s">
        <v>76</v>
      </c>
      <c r="F414" s="461" t="s">
        <v>109</v>
      </c>
      <c r="G414" s="462" t="s">
        <v>69</v>
      </c>
      <c r="H414" s="462" t="s">
        <v>61</v>
      </c>
      <c r="I414" s="463" t="s">
        <v>68</v>
      </c>
      <c r="J414" s="193"/>
      <c r="K414" s="209">
        <v>69310.299999999988</v>
      </c>
      <c r="L414" s="209">
        <f>L415+L418+L421+L424</f>
        <v>0</v>
      </c>
      <c r="M414" s="209">
        <f>M415+M418+M421+M424</f>
        <v>69310.299999999988</v>
      </c>
      <c r="N414" s="209">
        <f>N415+N418+N421+N424</f>
        <v>72084.099999999991</v>
      </c>
    </row>
    <row r="415" spans="1:14" s="465" customFormat="1" ht="152.25" customHeight="1">
      <c r="A415" s="194"/>
      <c r="B415" s="507" t="s">
        <v>465</v>
      </c>
      <c r="C415" s="208" t="s">
        <v>360</v>
      </c>
      <c r="D415" s="193" t="s">
        <v>136</v>
      </c>
      <c r="E415" s="193" t="s">
        <v>76</v>
      </c>
      <c r="F415" s="461" t="s">
        <v>109</v>
      </c>
      <c r="G415" s="462" t="s">
        <v>69</v>
      </c>
      <c r="H415" s="462" t="s">
        <v>61</v>
      </c>
      <c r="I415" s="463" t="s">
        <v>363</v>
      </c>
      <c r="J415" s="193"/>
      <c r="K415" s="209">
        <v>37672</v>
      </c>
      <c r="L415" s="209">
        <f>SUM(L416:L417)</f>
        <v>0</v>
      </c>
      <c r="M415" s="209">
        <f>SUM(M416:M417)</f>
        <v>37672</v>
      </c>
      <c r="N415" s="209">
        <f>SUM(N416:N417)</f>
        <v>39179.199999999997</v>
      </c>
    </row>
    <row r="416" spans="1:14" s="465" customFormat="1" ht="56.25">
      <c r="A416" s="194"/>
      <c r="B416" s="207" t="s">
        <v>79</v>
      </c>
      <c r="C416" s="208" t="s">
        <v>360</v>
      </c>
      <c r="D416" s="193" t="s">
        <v>136</v>
      </c>
      <c r="E416" s="193" t="s">
        <v>76</v>
      </c>
      <c r="F416" s="461" t="s">
        <v>109</v>
      </c>
      <c r="G416" s="462" t="s">
        <v>69</v>
      </c>
      <c r="H416" s="462" t="s">
        <v>61</v>
      </c>
      <c r="I416" s="463" t="s">
        <v>363</v>
      </c>
      <c r="J416" s="193" t="s">
        <v>80</v>
      </c>
      <c r="K416" s="209">
        <v>188</v>
      </c>
      <c r="L416" s="651">
        <f t="shared" ref="L416:L417" si="94">M416-K416</f>
        <v>0</v>
      </c>
      <c r="M416" s="209">
        <v>188</v>
      </c>
      <c r="N416" s="209">
        <v>196.2</v>
      </c>
    </row>
    <row r="417" spans="1:14" s="465" customFormat="1" ht="37.5">
      <c r="A417" s="194"/>
      <c r="B417" s="207" t="s">
        <v>152</v>
      </c>
      <c r="C417" s="208" t="s">
        <v>360</v>
      </c>
      <c r="D417" s="193" t="s">
        <v>136</v>
      </c>
      <c r="E417" s="193" t="s">
        <v>76</v>
      </c>
      <c r="F417" s="461" t="s">
        <v>109</v>
      </c>
      <c r="G417" s="462" t="s">
        <v>69</v>
      </c>
      <c r="H417" s="462" t="s">
        <v>61</v>
      </c>
      <c r="I417" s="463" t="s">
        <v>363</v>
      </c>
      <c r="J417" s="193" t="s">
        <v>153</v>
      </c>
      <c r="K417" s="209">
        <v>37484</v>
      </c>
      <c r="L417" s="651">
        <f t="shared" si="94"/>
        <v>0</v>
      </c>
      <c r="M417" s="209">
        <v>37484</v>
      </c>
      <c r="N417" s="209">
        <v>38983</v>
      </c>
    </row>
    <row r="418" spans="1:14" s="465" customFormat="1" ht="93.75" customHeight="1">
      <c r="A418" s="194"/>
      <c r="B418" s="207" t="s">
        <v>466</v>
      </c>
      <c r="C418" s="208" t="s">
        <v>360</v>
      </c>
      <c r="D418" s="193" t="s">
        <v>136</v>
      </c>
      <c r="E418" s="193" t="s">
        <v>76</v>
      </c>
      <c r="F418" s="461" t="s">
        <v>109</v>
      </c>
      <c r="G418" s="462" t="s">
        <v>69</v>
      </c>
      <c r="H418" s="462" t="s">
        <v>61</v>
      </c>
      <c r="I418" s="463" t="s">
        <v>364</v>
      </c>
      <c r="J418" s="193"/>
      <c r="K418" s="209">
        <v>30353.4</v>
      </c>
      <c r="L418" s="209">
        <f>SUM(L419:L420)</f>
        <v>0</v>
      </c>
      <c r="M418" s="209">
        <f>SUM(M419:M420)</f>
        <v>30353.4</v>
      </c>
      <c r="N418" s="209">
        <f>SUM(N419:N420)</f>
        <v>31568.6</v>
      </c>
    </row>
    <row r="419" spans="1:14" s="465" customFormat="1" ht="56.25">
      <c r="A419" s="194"/>
      <c r="B419" s="207" t="s">
        <v>79</v>
      </c>
      <c r="C419" s="208" t="s">
        <v>360</v>
      </c>
      <c r="D419" s="193" t="s">
        <v>136</v>
      </c>
      <c r="E419" s="193" t="s">
        <v>76</v>
      </c>
      <c r="F419" s="461" t="s">
        <v>109</v>
      </c>
      <c r="G419" s="462" t="s">
        <v>69</v>
      </c>
      <c r="H419" s="462" t="s">
        <v>61</v>
      </c>
      <c r="I419" s="463" t="s">
        <v>364</v>
      </c>
      <c r="J419" s="193" t="s">
        <v>80</v>
      </c>
      <c r="K419" s="209">
        <v>151.4</v>
      </c>
      <c r="L419" s="651">
        <f t="shared" ref="L419:L420" si="95">M419-K419</f>
        <v>0</v>
      </c>
      <c r="M419" s="209">
        <v>151.4</v>
      </c>
      <c r="N419" s="209">
        <v>157.6</v>
      </c>
    </row>
    <row r="420" spans="1:14" s="465" customFormat="1" ht="37.5">
      <c r="A420" s="194"/>
      <c r="B420" s="207" t="s">
        <v>152</v>
      </c>
      <c r="C420" s="208" t="s">
        <v>360</v>
      </c>
      <c r="D420" s="193" t="s">
        <v>136</v>
      </c>
      <c r="E420" s="193" t="s">
        <v>76</v>
      </c>
      <c r="F420" s="461" t="s">
        <v>109</v>
      </c>
      <c r="G420" s="462" t="s">
        <v>69</v>
      </c>
      <c r="H420" s="462" t="s">
        <v>61</v>
      </c>
      <c r="I420" s="463" t="s">
        <v>364</v>
      </c>
      <c r="J420" s="193" t="s">
        <v>153</v>
      </c>
      <c r="K420" s="209">
        <v>30202</v>
      </c>
      <c r="L420" s="651">
        <f t="shared" si="95"/>
        <v>0</v>
      </c>
      <c r="M420" s="209">
        <v>30202</v>
      </c>
      <c r="N420" s="209">
        <v>31411</v>
      </c>
    </row>
    <row r="421" spans="1:14" s="465" customFormat="1" ht="94.5" customHeight="1">
      <c r="A421" s="194"/>
      <c r="B421" s="207" t="s">
        <v>467</v>
      </c>
      <c r="C421" s="208" t="s">
        <v>360</v>
      </c>
      <c r="D421" s="193" t="s">
        <v>136</v>
      </c>
      <c r="E421" s="193" t="s">
        <v>76</v>
      </c>
      <c r="F421" s="461" t="s">
        <v>109</v>
      </c>
      <c r="G421" s="462" t="s">
        <v>69</v>
      </c>
      <c r="H421" s="462" t="s">
        <v>61</v>
      </c>
      <c r="I421" s="463" t="s">
        <v>365</v>
      </c>
      <c r="J421" s="193"/>
      <c r="K421" s="209">
        <v>529.5</v>
      </c>
      <c r="L421" s="209">
        <f>SUM(L422:L423)</f>
        <v>0</v>
      </c>
      <c r="M421" s="209">
        <f>SUM(M422:M423)</f>
        <v>529.5</v>
      </c>
      <c r="N421" s="209">
        <f>SUM(N422:N423)</f>
        <v>550.70000000000005</v>
      </c>
    </row>
    <row r="422" spans="1:14" s="465" customFormat="1" ht="56.25">
      <c r="A422" s="194"/>
      <c r="B422" s="207" t="s">
        <v>79</v>
      </c>
      <c r="C422" s="208" t="s">
        <v>360</v>
      </c>
      <c r="D422" s="193" t="s">
        <v>136</v>
      </c>
      <c r="E422" s="193" t="s">
        <v>76</v>
      </c>
      <c r="F422" s="461" t="s">
        <v>109</v>
      </c>
      <c r="G422" s="462" t="s">
        <v>69</v>
      </c>
      <c r="H422" s="462" t="s">
        <v>61</v>
      </c>
      <c r="I422" s="463" t="s">
        <v>365</v>
      </c>
      <c r="J422" s="193" t="s">
        <v>80</v>
      </c>
      <c r="K422" s="209">
        <v>2.7</v>
      </c>
      <c r="L422" s="651">
        <f t="shared" ref="L422:L423" si="96">M422-K422</f>
        <v>0</v>
      </c>
      <c r="M422" s="209">
        <v>2.7</v>
      </c>
      <c r="N422" s="209">
        <v>2.7</v>
      </c>
    </row>
    <row r="423" spans="1:14" s="465" customFormat="1" ht="37.5">
      <c r="A423" s="194"/>
      <c r="B423" s="207" t="s">
        <v>152</v>
      </c>
      <c r="C423" s="208" t="s">
        <v>360</v>
      </c>
      <c r="D423" s="193" t="s">
        <v>136</v>
      </c>
      <c r="E423" s="193" t="s">
        <v>76</v>
      </c>
      <c r="F423" s="461" t="s">
        <v>109</v>
      </c>
      <c r="G423" s="462" t="s">
        <v>69</v>
      </c>
      <c r="H423" s="462" t="s">
        <v>61</v>
      </c>
      <c r="I423" s="463" t="s">
        <v>365</v>
      </c>
      <c r="J423" s="193" t="s">
        <v>153</v>
      </c>
      <c r="K423" s="209">
        <v>526.79999999999995</v>
      </c>
      <c r="L423" s="651">
        <f t="shared" si="96"/>
        <v>0</v>
      </c>
      <c r="M423" s="209">
        <v>526.79999999999995</v>
      </c>
      <c r="N423" s="209">
        <v>548</v>
      </c>
    </row>
    <row r="424" spans="1:14" s="465" customFormat="1" ht="116.25" customHeight="1">
      <c r="A424" s="194"/>
      <c r="B424" s="207" t="s">
        <v>474</v>
      </c>
      <c r="C424" s="208" t="s">
        <v>360</v>
      </c>
      <c r="D424" s="193" t="s">
        <v>136</v>
      </c>
      <c r="E424" s="193" t="s">
        <v>76</v>
      </c>
      <c r="F424" s="461" t="s">
        <v>109</v>
      </c>
      <c r="G424" s="462" t="s">
        <v>69</v>
      </c>
      <c r="H424" s="462" t="s">
        <v>61</v>
      </c>
      <c r="I424" s="463" t="s">
        <v>366</v>
      </c>
      <c r="J424" s="193"/>
      <c r="K424" s="209">
        <v>755.4</v>
      </c>
      <c r="L424" s="209">
        <f>SUM(L425:L426)</f>
        <v>0</v>
      </c>
      <c r="M424" s="209">
        <f>SUM(M425:M426)</f>
        <v>755.4</v>
      </c>
      <c r="N424" s="209">
        <f>SUM(N425:N426)</f>
        <v>785.6</v>
      </c>
    </row>
    <row r="425" spans="1:14" s="465" customFormat="1" ht="56.25">
      <c r="A425" s="194"/>
      <c r="B425" s="207" t="s">
        <v>79</v>
      </c>
      <c r="C425" s="208" t="s">
        <v>360</v>
      </c>
      <c r="D425" s="193" t="s">
        <v>136</v>
      </c>
      <c r="E425" s="193" t="s">
        <v>76</v>
      </c>
      <c r="F425" s="461" t="s">
        <v>109</v>
      </c>
      <c r="G425" s="462" t="s">
        <v>69</v>
      </c>
      <c r="H425" s="462" t="s">
        <v>61</v>
      </c>
      <c r="I425" s="463" t="s">
        <v>366</v>
      </c>
      <c r="J425" s="193" t="s">
        <v>80</v>
      </c>
      <c r="K425" s="209">
        <v>3.4</v>
      </c>
      <c r="L425" s="651">
        <f t="shared" ref="L425:L426" si="97">M425-K425</f>
        <v>0</v>
      </c>
      <c r="M425" s="209">
        <v>3.4</v>
      </c>
      <c r="N425" s="209">
        <v>3.6</v>
      </c>
    </row>
    <row r="426" spans="1:14" s="465" customFormat="1" ht="37.5">
      <c r="A426" s="194"/>
      <c r="B426" s="207" t="s">
        <v>152</v>
      </c>
      <c r="C426" s="208" t="s">
        <v>360</v>
      </c>
      <c r="D426" s="193" t="s">
        <v>136</v>
      </c>
      <c r="E426" s="193" t="s">
        <v>76</v>
      </c>
      <c r="F426" s="461" t="s">
        <v>109</v>
      </c>
      <c r="G426" s="462" t="s">
        <v>69</v>
      </c>
      <c r="H426" s="462" t="s">
        <v>61</v>
      </c>
      <c r="I426" s="463" t="s">
        <v>366</v>
      </c>
      <c r="J426" s="193" t="s">
        <v>153</v>
      </c>
      <c r="K426" s="209">
        <v>752</v>
      </c>
      <c r="L426" s="651">
        <f t="shared" si="97"/>
        <v>0</v>
      </c>
      <c r="M426" s="209">
        <v>752</v>
      </c>
      <c r="N426" s="209">
        <v>782</v>
      </c>
    </row>
    <row r="427" spans="1:14" s="190" customFormat="1" ht="37.5">
      <c r="A427" s="194"/>
      <c r="B427" s="207" t="s">
        <v>367</v>
      </c>
      <c r="C427" s="208" t="s">
        <v>360</v>
      </c>
      <c r="D427" s="193" t="s">
        <v>136</v>
      </c>
      <c r="E427" s="193" t="s">
        <v>111</v>
      </c>
      <c r="F427" s="461"/>
      <c r="G427" s="462"/>
      <c r="H427" s="462"/>
      <c r="I427" s="463"/>
      <c r="J427" s="193"/>
      <c r="K427" s="209">
        <v>8345.1</v>
      </c>
      <c r="L427" s="209">
        <f t="shared" ref="L427:N429" si="98">L428</f>
        <v>0</v>
      </c>
      <c r="M427" s="209">
        <f t="shared" si="98"/>
        <v>8345.1</v>
      </c>
      <c r="N427" s="209">
        <f t="shared" si="98"/>
        <v>8784.7000000000007</v>
      </c>
    </row>
    <row r="428" spans="1:14" s="190" customFormat="1" ht="56.25">
      <c r="A428" s="194"/>
      <c r="B428" s="211" t="s">
        <v>269</v>
      </c>
      <c r="C428" s="208" t="s">
        <v>360</v>
      </c>
      <c r="D428" s="193" t="s">
        <v>136</v>
      </c>
      <c r="E428" s="193" t="s">
        <v>111</v>
      </c>
      <c r="F428" s="461" t="s">
        <v>109</v>
      </c>
      <c r="G428" s="462" t="s">
        <v>66</v>
      </c>
      <c r="H428" s="462" t="s">
        <v>67</v>
      </c>
      <c r="I428" s="463" t="s">
        <v>68</v>
      </c>
      <c r="J428" s="193"/>
      <c r="K428" s="209">
        <v>8345.1</v>
      </c>
      <c r="L428" s="209">
        <f t="shared" si="98"/>
        <v>0</v>
      </c>
      <c r="M428" s="209">
        <f t="shared" si="98"/>
        <v>8345.1</v>
      </c>
      <c r="N428" s="209">
        <f t="shared" si="98"/>
        <v>8784.7000000000007</v>
      </c>
    </row>
    <row r="429" spans="1:14" s="190" customFormat="1" ht="37.5">
      <c r="A429" s="194"/>
      <c r="B429" s="207" t="s">
        <v>428</v>
      </c>
      <c r="C429" s="208" t="s">
        <v>360</v>
      </c>
      <c r="D429" s="193" t="s">
        <v>136</v>
      </c>
      <c r="E429" s="193" t="s">
        <v>111</v>
      </c>
      <c r="F429" s="461" t="s">
        <v>109</v>
      </c>
      <c r="G429" s="462" t="s">
        <v>69</v>
      </c>
      <c r="H429" s="462" t="s">
        <v>67</v>
      </c>
      <c r="I429" s="463" t="s">
        <v>68</v>
      </c>
      <c r="J429" s="193"/>
      <c r="K429" s="209">
        <v>8345.1</v>
      </c>
      <c r="L429" s="209">
        <f t="shared" si="98"/>
        <v>0</v>
      </c>
      <c r="M429" s="209">
        <f t="shared" si="98"/>
        <v>8345.1</v>
      </c>
      <c r="N429" s="209">
        <f t="shared" si="98"/>
        <v>8784.7000000000007</v>
      </c>
    </row>
    <row r="430" spans="1:14" s="465" customFormat="1" ht="37.5">
      <c r="A430" s="194"/>
      <c r="B430" s="207" t="s">
        <v>268</v>
      </c>
      <c r="C430" s="208" t="s">
        <v>360</v>
      </c>
      <c r="D430" s="193" t="s">
        <v>136</v>
      </c>
      <c r="E430" s="193" t="s">
        <v>111</v>
      </c>
      <c r="F430" s="461" t="s">
        <v>109</v>
      </c>
      <c r="G430" s="462" t="s">
        <v>69</v>
      </c>
      <c r="H430" s="462" t="s">
        <v>89</v>
      </c>
      <c r="I430" s="463" t="s">
        <v>68</v>
      </c>
      <c r="J430" s="193"/>
      <c r="K430" s="209">
        <v>8345.1</v>
      </c>
      <c r="L430" s="209">
        <f>L431+L434+L437</f>
        <v>0</v>
      </c>
      <c r="M430" s="209">
        <f>M431+M434+M437</f>
        <v>8345.1</v>
      </c>
      <c r="N430" s="209">
        <f>N431+N434+N437</f>
        <v>8784.7000000000007</v>
      </c>
    </row>
    <row r="431" spans="1:14" s="465" customFormat="1" ht="75.75" customHeight="1">
      <c r="A431" s="194"/>
      <c r="B431" s="207" t="s">
        <v>270</v>
      </c>
      <c r="C431" s="208" t="s">
        <v>360</v>
      </c>
      <c r="D431" s="193" t="s">
        <v>136</v>
      </c>
      <c r="E431" s="193" t="s">
        <v>111</v>
      </c>
      <c r="F431" s="461" t="s">
        <v>109</v>
      </c>
      <c r="G431" s="462" t="s">
        <v>69</v>
      </c>
      <c r="H431" s="462" t="s">
        <v>89</v>
      </c>
      <c r="I431" s="463" t="s">
        <v>368</v>
      </c>
      <c r="J431" s="193"/>
      <c r="K431" s="209">
        <v>6385.5</v>
      </c>
      <c r="L431" s="209">
        <f>L432+L433</f>
        <v>0</v>
      </c>
      <c r="M431" s="209">
        <f>M432+M433</f>
        <v>6385.5</v>
      </c>
      <c r="N431" s="209">
        <f>N432+N433</f>
        <v>6385.5</v>
      </c>
    </row>
    <row r="432" spans="1:14" s="465" customFormat="1" ht="112.5">
      <c r="A432" s="194"/>
      <c r="B432" s="207" t="s">
        <v>73</v>
      </c>
      <c r="C432" s="208" t="s">
        <v>360</v>
      </c>
      <c r="D432" s="193" t="s">
        <v>136</v>
      </c>
      <c r="E432" s="193" t="s">
        <v>111</v>
      </c>
      <c r="F432" s="461" t="s">
        <v>109</v>
      </c>
      <c r="G432" s="462" t="s">
        <v>69</v>
      </c>
      <c r="H432" s="462" t="s">
        <v>89</v>
      </c>
      <c r="I432" s="463" t="s">
        <v>368</v>
      </c>
      <c r="J432" s="193" t="s">
        <v>74</v>
      </c>
      <c r="K432" s="209">
        <v>5725.5</v>
      </c>
      <c r="L432" s="651">
        <f t="shared" ref="L432:L433" si="99">M432-K432</f>
        <v>0</v>
      </c>
      <c r="M432" s="209">
        <v>5725.5</v>
      </c>
      <c r="N432" s="209">
        <v>5725.5</v>
      </c>
    </row>
    <row r="433" spans="1:14" s="465" customFormat="1" ht="56.25">
      <c r="A433" s="194"/>
      <c r="B433" s="207" t="s">
        <v>79</v>
      </c>
      <c r="C433" s="208" t="s">
        <v>360</v>
      </c>
      <c r="D433" s="193" t="s">
        <v>136</v>
      </c>
      <c r="E433" s="193" t="s">
        <v>111</v>
      </c>
      <c r="F433" s="430" t="s">
        <v>109</v>
      </c>
      <c r="G433" s="431" t="s">
        <v>69</v>
      </c>
      <c r="H433" s="431" t="s">
        <v>89</v>
      </c>
      <c r="I433" s="432" t="s">
        <v>368</v>
      </c>
      <c r="J433" s="193" t="s">
        <v>80</v>
      </c>
      <c r="K433" s="209">
        <v>660</v>
      </c>
      <c r="L433" s="651">
        <f t="shared" si="99"/>
        <v>0</v>
      </c>
      <c r="M433" s="209">
        <v>660</v>
      </c>
      <c r="N433" s="209">
        <v>660</v>
      </c>
    </row>
    <row r="434" spans="1:14" s="465" customFormat="1" ht="60" customHeight="1">
      <c r="A434" s="194"/>
      <c r="B434" s="207" t="s">
        <v>504</v>
      </c>
      <c r="C434" s="208" t="s">
        <v>360</v>
      </c>
      <c r="D434" s="193" t="s">
        <v>136</v>
      </c>
      <c r="E434" s="193" t="s">
        <v>111</v>
      </c>
      <c r="F434" s="461" t="s">
        <v>109</v>
      </c>
      <c r="G434" s="462" t="s">
        <v>69</v>
      </c>
      <c r="H434" s="462" t="s">
        <v>89</v>
      </c>
      <c r="I434" s="463" t="s">
        <v>369</v>
      </c>
      <c r="J434" s="193"/>
      <c r="K434" s="209">
        <v>640.79999999999995</v>
      </c>
      <c r="L434" s="209">
        <f>L435+L436</f>
        <v>0</v>
      </c>
      <c r="M434" s="209">
        <f>M435+M436</f>
        <v>640.79999999999995</v>
      </c>
      <c r="N434" s="209">
        <f>N435+N436</f>
        <v>640.79999999999995</v>
      </c>
    </row>
    <row r="435" spans="1:14" s="465" customFormat="1" ht="112.5">
      <c r="A435" s="194"/>
      <c r="B435" s="207" t="s">
        <v>73</v>
      </c>
      <c r="C435" s="208" t="s">
        <v>360</v>
      </c>
      <c r="D435" s="193" t="s">
        <v>136</v>
      </c>
      <c r="E435" s="193" t="s">
        <v>111</v>
      </c>
      <c r="F435" s="461" t="s">
        <v>109</v>
      </c>
      <c r="G435" s="462" t="s">
        <v>69</v>
      </c>
      <c r="H435" s="462" t="s">
        <v>89</v>
      </c>
      <c r="I435" s="463" t="s">
        <v>369</v>
      </c>
      <c r="J435" s="193" t="s">
        <v>74</v>
      </c>
      <c r="K435" s="209">
        <v>580.79999999999995</v>
      </c>
      <c r="L435" s="651">
        <f t="shared" ref="L435:L436" si="100">M435-K435</f>
        <v>0</v>
      </c>
      <c r="M435" s="209">
        <v>580.79999999999995</v>
      </c>
      <c r="N435" s="209">
        <v>580.79999999999995</v>
      </c>
    </row>
    <row r="436" spans="1:14" s="465" customFormat="1" ht="56.25">
      <c r="A436" s="194"/>
      <c r="B436" s="207" t="s">
        <v>79</v>
      </c>
      <c r="C436" s="208" t="s">
        <v>360</v>
      </c>
      <c r="D436" s="193" t="s">
        <v>136</v>
      </c>
      <c r="E436" s="193" t="s">
        <v>111</v>
      </c>
      <c r="F436" s="461" t="s">
        <v>109</v>
      </c>
      <c r="G436" s="462" t="s">
        <v>69</v>
      </c>
      <c r="H436" s="462" t="s">
        <v>89</v>
      </c>
      <c r="I436" s="463" t="s">
        <v>369</v>
      </c>
      <c r="J436" s="193" t="s">
        <v>80</v>
      </c>
      <c r="K436" s="209">
        <v>60</v>
      </c>
      <c r="L436" s="651">
        <f t="shared" si="100"/>
        <v>0</v>
      </c>
      <c r="M436" s="209">
        <v>60</v>
      </c>
      <c r="N436" s="209">
        <v>60</v>
      </c>
    </row>
    <row r="437" spans="1:14" s="465" customFormat="1" ht="261.75" customHeight="1">
      <c r="A437" s="194"/>
      <c r="B437" s="376" t="s">
        <v>271</v>
      </c>
      <c r="C437" s="208" t="s">
        <v>360</v>
      </c>
      <c r="D437" s="193" t="s">
        <v>136</v>
      </c>
      <c r="E437" s="193" t="s">
        <v>111</v>
      </c>
      <c r="F437" s="461" t="s">
        <v>109</v>
      </c>
      <c r="G437" s="462" t="s">
        <v>69</v>
      </c>
      <c r="H437" s="462" t="s">
        <v>89</v>
      </c>
      <c r="I437" s="463" t="s">
        <v>370</v>
      </c>
      <c r="J437" s="193"/>
      <c r="K437" s="209">
        <v>1318.8</v>
      </c>
      <c r="L437" s="209">
        <f>L438+L439</f>
        <v>0</v>
      </c>
      <c r="M437" s="209">
        <f>M438+M439</f>
        <v>1318.8</v>
      </c>
      <c r="N437" s="209">
        <f>N438+N439</f>
        <v>1758.4</v>
      </c>
    </row>
    <row r="438" spans="1:14" s="465" customFormat="1" ht="112.5">
      <c r="A438" s="194"/>
      <c r="B438" s="207" t="s">
        <v>73</v>
      </c>
      <c r="C438" s="208" t="s">
        <v>360</v>
      </c>
      <c r="D438" s="193" t="s">
        <v>136</v>
      </c>
      <c r="E438" s="193" t="s">
        <v>111</v>
      </c>
      <c r="F438" s="461" t="s">
        <v>109</v>
      </c>
      <c r="G438" s="462" t="s">
        <v>69</v>
      </c>
      <c r="H438" s="462" t="s">
        <v>89</v>
      </c>
      <c r="I438" s="463" t="s">
        <v>370</v>
      </c>
      <c r="J438" s="193" t="s">
        <v>74</v>
      </c>
      <c r="K438" s="209">
        <v>1228.8</v>
      </c>
      <c r="L438" s="651">
        <f t="shared" ref="L438:L439" si="101">M438-K438</f>
        <v>0</v>
      </c>
      <c r="M438" s="209">
        <v>1228.8</v>
      </c>
      <c r="N438" s="209">
        <v>1668.4</v>
      </c>
    </row>
    <row r="439" spans="1:14" s="465" customFormat="1" ht="56.25">
      <c r="A439" s="194"/>
      <c r="B439" s="207" t="s">
        <v>79</v>
      </c>
      <c r="C439" s="208" t="s">
        <v>360</v>
      </c>
      <c r="D439" s="193" t="s">
        <v>136</v>
      </c>
      <c r="E439" s="193" t="s">
        <v>111</v>
      </c>
      <c r="F439" s="461" t="s">
        <v>109</v>
      </c>
      <c r="G439" s="462" t="s">
        <v>69</v>
      </c>
      <c r="H439" s="462" t="s">
        <v>89</v>
      </c>
      <c r="I439" s="463" t="s">
        <v>370</v>
      </c>
      <c r="J439" s="193" t="s">
        <v>80</v>
      </c>
      <c r="K439" s="209">
        <v>90</v>
      </c>
      <c r="L439" s="651">
        <f t="shared" si="101"/>
        <v>0</v>
      </c>
      <c r="M439" s="209">
        <v>90</v>
      </c>
      <c r="N439" s="209">
        <v>90</v>
      </c>
    </row>
    <row r="440" spans="1:14" s="465" customFormat="1" ht="18.75">
      <c r="A440" s="464">
        <v>10</v>
      </c>
      <c r="B440" s="518" t="s">
        <v>471</v>
      </c>
      <c r="C440" s="208"/>
      <c r="D440" s="193"/>
      <c r="E440" s="193"/>
      <c r="F440" s="462"/>
      <c r="G440" s="462"/>
      <c r="H440" s="462"/>
      <c r="I440" s="463"/>
      <c r="J440" s="193"/>
      <c r="K440" s="235">
        <v>26950.5</v>
      </c>
      <c r="L440" s="235">
        <f>L441</f>
        <v>0</v>
      </c>
      <c r="M440" s="235">
        <f>M441</f>
        <v>26950.5</v>
      </c>
      <c r="N440" s="235">
        <f>N441</f>
        <v>55900.4</v>
      </c>
    </row>
    <row r="441" spans="1:14" s="465" customFormat="1" ht="18.75">
      <c r="A441" s="194"/>
      <c r="B441" s="381" t="s">
        <v>471</v>
      </c>
      <c r="C441" s="208"/>
      <c r="D441" s="193"/>
      <c r="E441" s="193"/>
      <c r="F441" s="462"/>
      <c r="G441" s="462"/>
      <c r="H441" s="462"/>
      <c r="I441" s="463"/>
      <c r="J441" s="193"/>
      <c r="K441" s="209">
        <v>26950.5</v>
      </c>
      <c r="L441" s="209">
        <v>0</v>
      </c>
      <c r="M441" s="209">
        <f>26951-0.5</f>
        <v>26950.5</v>
      </c>
      <c r="N441" s="209">
        <f>55938.8+0.6-39</f>
        <v>55900.4</v>
      </c>
    </row>
    <row r="442" spans="1:14">
      <c r="K442" s="226"/>
      <c r="L442" s="226"/>
      <c r="M442" s="226"/>
      <c r="N442" s="226"/>
    </row>
    <row r="443" spans="1:14">
      <c r="K443" s="226"/>
      <c r="L443" s="226"/>
      <c r="M443" s="226"/>
      <c r="N443" s="226"/>
    </row>
    <row r="444" spans="1:14" s="342" customFormat="1" ht="18.75">
      <c r="A444" s="440" t="s">
        <v>497</v>
      </c>
      <c r="B444" s="345"/>
      <c r="C444" s="346"/>
      <c r="D444" s="346"/>
      <c r="E444" s="346"/>
      <c r="F444" s="262"/>
      <c r="G444" s="439"/>
      <c r="H444" s="510"/>
    </row>
    <row r="445" spans="1:14" s="342" customFormat="1" ht="18.75">
      <c r="A445" s="440" t="s">
        <v>498</v>
      </c>
      <c r="B445" s="345"/>
      <c r="C445" s="346"/>
      <c r="D445" s="346"/>
      <c r="E445" s="346"/>
      <c r="F445" s="262"/>
      <c r="G445" s="439"/>
      <c r="H445" s="510"/>
    </row>
    <row r="446" spans="1:14" s="342" customFormat="1" ht="18.75">
      <c r="A446" s="441" t="s">
        <v>499</v>
      </c>
      <c r="B446" s="345"/>
      <c r="D446" s="346"/>
      <c r="E446" s="346"/>
      <c r="F446" s="262"/>
      <c r="N446" s="442" t="s">
        <v>534</v>
      </c>
    </row>
    <row r="447" spans="1:14">
      <c r="K447" s="468"/>
      <c r="L447" s="468"/>
    </row>
    <row r="448" spans="1:14" s="511" customFormat="1" ht="15.75">
      <c r="B448" s="511" t="s">
        <v>472</v>
      </c>
      <c r="K448" s="512" t="e">
        <f>K441/('прил13(ведом 21-22)'!#REF!-('прил.5 (пост.безв.21-22)'!B13-'прил.5 (пост.безв.21-22)'!B17))*100</f>
        <v>#REF!</v>
      </c>
      <c r="L448" s="512" t="e">
        <f>L441/('прил13(ведом 21-22)'!#REF!-('прил.5 (пост.безв.21-22)'!C13-'прил.5 (пост.безв.21-22)'!C17))*100</f>
        <v>#REF!</v>
      </c>
      <c r="M448" s="512" t="e">
        <f>M441/('прил13(ведом 21-22)'!#REF!-('прил.5 (пост.безв.21-22)'!C13-'прил.5 (пост.безв.21-22)'!C17))*100</f>
        <v>#REF!</v>
      </c>
      <c r="N448" s="512" t="e">
        <f>N441/('прил13(ведом 21-22)'!#REF!-('прил.5 (пост.безв.21-22)'!D13-'прил.5 (пост.безв.21-22)'!D17))*100</f>
        <v>#REF!</v>
      </c>
    </row>
    <row r="449" spans="4:14">
      <c r="K449" s="468"/>
      <c r="L449" s="468"/>
    </row>
    <row r="450" spans="4:14" ht="18.75">
      <c r="D450" s="224" t="s">
        <v>61</v>
      </c>
      <c r="E450" s="224" t="s">
        <v>63</v>
      </c>
      <c r="F450" s="225"/>
      <c r="G450" s="225"/>
      <c r="H450" s="225"/>
      <c r="I450" s="225"/>
      <c r="J450" s="225"/>
      <c r="K450" s="513">
        <f>K19</f>
        <v>2046.6</v>
      </c>
      <c r="L450" s="513">
        <f>L19</f>
        <v>0</v>
      </c>
      <c r="M450" s="513">
        <f>M19</f>
        <v>2046.6</v>
      </c>
      <c r="N450" s="513">
        <f>N19</f>
        <v>2046.6</v>
      </c>
    </row>
    <row r="451" spans="4:14" ht="18.75">
      <c r="D451" s="224" t="s">
        <v>61</v>
      </c>
      <c r="E451" s="224" t="s">
        <v>76</v>
      </c>
      <c r="F451" s="225"/>
      <c r="G451" s="225"/>
      <c r="H451" s="225"/>
      <c r="I451" s="225"/>
      <c r="J451" s="225"/>
      <c r="K451" s="513">
        <f>K25</f>
        <v>69757.599999999991</v>
      </c>
      <c r="L451" s="513">
        <f>L25</f>
        <v>0</v>
      </c>
      <c r="M451" s="513">
        <f>M25</f>
        <v>69757.599999999991</v>
      </c>
      <c r="N451" s="513">
        <f>N25</f>
        <v>69578.099999999991</v>
      </c>
    </row>
    <row r="452" spans="4:14" ht="18.75">
      <c r="D452" s="224" t="s">
        <v>61</v>
      </c>
      <c r="E452" s="224" t="s">
        <v>91</v>
      </c>
      <c r="F452" s="225"/>
      <c r="G452" s="225"/>
      <c r="H452" s="225"/>
      <c r="I452" s="225"/>
      <c r="J452" s="225"/>
      <c r="K452" s="513">
        <f>K47</f>
        <v>13.2</v>
      </c>
      <c r="L452" s="513">
        <f>L47</f>
        <v>0</v>
      </c>
      <c r="M452" s="513">
        <f>M47</f>
        <v>13.2</v>
      </c>
      <c r="N452" s="513">
        <f>N47</f>
        <v>96.1</v>
      </c>
    </row>
    <row r="453" spans="4:14" ht="18.75">
      <c r="D453" s="224" t="s">
        <v>61</v>
      </c>
      <c r="E453" s="224" t="s">
        <v>111</v>
      </c>
      <c r="F453" s="225"/>
      <c r="G453" s="225"/>
      <c r="H453" s="225"/>
      <c r="I453" s="225"/>
      <c r="J453" s="225"/>
      <c r="K453" s="513">
        <f>K128+K146</f>
        <v>28714.6</v>
      </c>
      <c r="L453" s="513">
        <f>L128+L146</f>
        <v>0</v>
      </c>
      <c r="M453" s="513">
        <f>M128+M146</f>
        <v>28714.6</v>
      </c>
      <c r="N453" s="513">
        <f>N128+N146</f>
        <v>28139.7</v>
      </c>
    </row>
    <row r="454" spans="4:14" ht="18.75">
      <c r="D454" s="224" t="s">
        <v>61</v>
      </c>
      <c r="E454" s="224" t="s">
        <v>93</v>
      </c>
      <c r="F454" s="225"/>
      <c r="G454" s="225"/>
      <c r="H454" s="225"/>
      <c r="I454" s="225"/>
      <c r="J454" s="225"/>
      <c r="K454" s="513">
        <f>K53</f>
        <v>5000</v>
      </c>
      <c r="L454" s="513">
        <f>L53</f>
        <v>0</v>
      </c>
      <c r="M454" s="513">
        <f>M53</f>
        <v>5000</v>
      </c>
      <c r="N454" s="513">
        <f>N53</f>
        <v>5000</v>
      </c>
    </row>
    <row r="455" spans="4:14" ht="18.75">
      <c r="D455" s="224" t="s">
        <v>61</v>
      </c>
      <c r="E455" s="224" t="s">
        <v>100</v>
      </c>
      <c r="F455" s="225"/>
      <c r="G455" s="225"/>
      <c r="H455" s="225"/>
      <c r="I455" s="225"/>
      <c r="J455" s="225"/>
      <c r="K455" s="513">
        <f>K160</f>
        <v>22969.500000000004</v>
      </c>
      <c r="L455" s="513">
        <f>L160</f>
        <v>0</v>
      </c>
      <c r="M455" s="513">
        <f>M160</f>
        <v>22969.500000000004</v>
      </c>
      <c r="N455" s="513">
        <f>N160</f>
        <v>30224.400000000001</v>
      </c>
    </row>
    <row r="456" spans="4:14" ht="18.75">
      <c r="D456" s="514" t="s">
        <v>61</v>
      </c>
      <c r="E456" s="514" t="s">
        <v>67</v>
      </c>
      <c r="F456" s="225"/>
      <c r="G456" s="225"/>
      <c r="H456" s="225"/>
      <c r="I456" s="225"/>
      <c r="J456" s="225"/>
      <c r="K456" s="515">
        <f>SUBTOTAL(9,K450:K455)</f>
        <v>128501.5</v>
      </c>
      <c r="L456" s="515">
        <f>SUBTOTAL(9,L450:L455)</f>
        <v>0</v>
      </c>
      <c r="M456" s="515">
        <f>SUBTOTAL(9,M450:M455)</f>
        <v>128501.5</v>
      </c>
      <c r="N456" s="515">
        <f>SUBTOTAL(9,N450:N455)</f>
        <v>135084.9</v>
      </c>
    </row>
    <row r="457" spans="4:14" ht="18.75">
      <c r="D457" s="224"/>
      <c r="E457" s="224"/>
      <c r="F457" s="225"/>
      <c r="G457" s="225"/>
      <c r="H457" s="225"/>
      <c r="I457" s="225"/>
      <c r="J457" s="225"/>
      <c r="K457" s="513"/>
      <c r="L457" s="513"/>
      <c r="M457" s="513"/>
      <c r="N457" s="513"/>
    </row>
    <row r="458" spans="4:14" ht="18.75">
      <c r="D458" s="224" t="s">
        <v>89</v>
      </c>
      <c r="E458" s="224" t="s">
        <v>109</v>
      </c>
      <c r="F458" s="225"/>
      <c r="G458" s="225"/>
      <c r="H458" s="225"/>
      <c r="I458" s="225"/>
      <c r="J458" s="225"/>
      <c r="K458" s="513">
        <f>K60</f>
        <v>3282.3</v>
      </c>
      <c r="L458" s="513">
        <f>L60</f>
        <v>0</v>
      </c>
      <c r="M458" s="513">
        <f>M60</f>
        <v>3282.3</v>
      </c>
      <c r="N458" s="513">
        <f>N60</f>
        <v>0</v>
      </c>
    </row>
    <row r="459" spans="4:14" ht="18.75">
      <c r="D459" s="224" t="s">
        <v>89</v>
      </c>
      <c r="E459" s="224" t="s">
        <v>119</v>
      </c>
      <c r="F459" s="225"/>
      <c r="G459" s="225"/>
      <c r="H459" s="225"/>
      <c r="I459" s="225"/>
      <c r="J459" s="225"/>
      <c r="K459" s="513">
        <f>K70</f>
        <v>7603.5000000000009</v>
      </c>
      <c r="L459" s="513">
        <f>L70</f>
        <v>0</v>
      </c>
      <c r="M459" s="513">
        <f>M70</f>
        <v>7603.5000000000009</v>
      </c>
      <c r="N459" s="513">
        <f>N70</f>
        <v>7359.8</v>
      </c>
    </row>
    <row r="460" spans="4:14" ht="18.75">
      <c r="D460" s="514" t="s">
        <v>89</v>
      </c>
      <c r="E460" s="514" t="s">
        <v>67</v>
      </c>
      <c r="F460" s="225"/>
      <c r="G460" s="225"/>
      <c r="H460" s="225"/>
      <c r="I460" s="225"/>
      <c r="J460" s="225"/>
      <c r="K460" s="515">
        <f>SUBTOTAL(9,K458:K459)</f>
        <v>10885.800000000001</v>
      </c>
      <c r="L460" s="515">
        <f>SUBTOTAL(9,L458:L459)</f>
        <v>0</v>
      </c>
      <c r="M460" s="515">
        <f>SUBTOTAL(9,M458:M459)</f>
        <v>10885.800000000001</v>
      </c>
      <c r="N460" s="515">
        <f>SUBTOTAL(9,N458:N459)</f>
        <v>7359.8</v>
      </c>
    </row>
    <row r="461" spans="4:14" ht="18.75">
      <c r="D461" s="224"/>
      <c r="E461" s="224"/>
      <c r="F461" s="225"/>
      <c r="G461" s="225"/>
      <c r="H461" s="225"/>
      <c r="I461" s="225"/>
      <c r="J461" s="225"/>
      <c r="K461" s="513"/>
      <c r="L461" s="513"/>
      <c r="M461" s="513"/>
      <c r="N461" s="513"/>
    </row>
    <row r="462" spans="4:14" ht="18.75">
      <c r="D462" s="224" t="s">
        <v>76</v>
      </c>
      <c r="E462" s="224" t="s">
        <v>91</v>
      </c>
      <c r="F462" s="225"/>
      <c r="G462" s="225"/>
      <c r="H462" s="225"/>
      <c r="I462" s="225"/>
      <c r="J462" s="225"/>
      <c r="K462" s="513">
        <f>K79</f>
        <v>11254.2</v>
      </c>
      <c r="L462" s="513">
        <f>L79</f>
        <v>0</v>
      </c>
      <c r="M462" s="513">
        <f>M79</f>
        <v>11254.2</v>
      </c>
      <c r="N462" s="513">
        <f>N79</f>
        <v>11254.2</v>
      </c>
    </row>
    <row r="463" spans="4:14" ht="18.75">
      <c r="D463" s="224" t="s">
        <v>76</v>
      </c>
      <c r="E463" s="224" t="s">
        <v>109</v>
      </c>
      <c r="F463" s="225"/>
      <c r="G463" s="225"/>
      <c r="H463" s="225"/>
      <c r="I463" s="225"/>
      <c r="J463" s="225"/>
      <c r="K463" s="513">
        <f>K88</f>
        <v>6753.2</v>
      </c>
      <c r="L463" s="513">
        <f>L88</f>
        <v>0</v>
      </c>
      <c r="M463" s="513">
        <f>M88</f>
        <v>6753.2</v>
      </c>
      <c r="N463" s="513">
        <f>N88</f>
        <v>7509.6</v>
      </c>
    </row>
    <row r="464" spans="4:14" ht="18.75">
      <c r="D464" s="224" t="s">
        <v>76</v>
      </c>
      <c r="E464" s="224" t="s">
        <v>132</v>
      </c>
      <c r="F464" s="225"/>
      <c r="G464" s="225"/>
      <c r="H464" s="225"/>
      <c r="I464" s="225"/>
      <c r="J464" s="225"/>
      <c r="K464" s="513">
        <f>K94</f>
        <v>5774</v>
      </c>
      <c r="L464" s="513">
        <f>L94</f>
        <v>0</v>
      </c>
      <c r="M464" s="513">
        <f>M94</f>
        <v>5774</v>
      </c>
      <c r="N464" s="513">
        <f>N94</f>
        <v>5157.3</v>
      </c>
    </row>
    <row r="465" spans="4:14" ht="18.75">
      <c r="D465" s="514" t="s">
        <v>76</v>
      </c>
      <c r="E465" s="514" t="s">
        <v>67</v>
      </c>
      <c r="F465" s="225"/>
      <c r="G465" s="225"/>
      <c r="H465" s="225"/>
      <c r="I465" s="225"/>
      <c r="J465" s="225"/>
      <c r="K465" s="515">
        <f>SUBTOTAL(9,K462:K464)</f>
        <v>23781.4</v>
      </c>
      <c r="L465" s="515">
        <f>SUBTOTAL(9,L462:L464)</f>
        <v>0</v>
      </c>
      <c r="M465" s="515">
        <f>SUBTOTAL(9,M462:M464)</f>
        <v>23781.4</v>
      </c>
      <c r="N465" s="515">
        <f>SUBTOTAL(9,N462:N464)</f>
        <v>23921.100000000002</v>
      </c>
    </row>
    <row r="466" spans="4:14" ht="18.75">
      <c r="D466" s="224"/>
      <c r="E466" s="224"/>
      <c r="F466" s="225"/>
      <c r="G466" s="225"/>
      <c r="H466" s="225"/>
      <c r="I466" s="225"/>
      <c r="J466" s="225"/>
      <c r="K466" s="513"/>
      <c r="L466" s="513"/>
      <c r="M466" s="513"/>
      <c r="N466" s="513"/>
    </row>
    <row r="467" spans="4:14" ht="18.75">
      <c r="D467" s="224" t="s">
        <v>91</v>
      </c>
      <c r="E467" s="224" t="s">
        <v>61</v>
      </c>
      <c r="F467" s="225"/>
      <c r="G467" s="225"/>
      <c r="H467" s="225"/>
      <c r="I467" s="225"/>
      <c r="J467" s="225"/>
      <c r="K467" s="513"/>
      <c r="L467" s="513"/>
      <c r="M467" s="513"/>
      <c r="N467" s="513"/>
    </row>
    <row r="468" spans="4:14" ht="18.75">
      <c r="D468" s="224" t="s">
        <v>91</v>
      </c>
      <c r="E468" s="224" t="s">
        <v>63</v>
      </c>
      <c r="F468" s="225"/>
      <c r="G468" s="225"/>
      <c r="H468" s="225"/>
      <c r="I468" s="225"/>
      <c r="J468" s="225"/>
      <c r="K468" s="513">
        <f>K183</f>
        <v>2355.4</v>
      </c>
      <c r="L468" s="513">
        <f>L183</f>
        <v>0</v>
      </c>
      <c r="M468" s="513">
        <f>M183</f>
        <v>2355.4</v>
      </c>
      <c r="N468" s="513">
        <f>N183</f>
        <v>0</v>
      </c>
    </row>
    <row r="469" spans="4:14" ht="18.75">
      <c r="D469" s="224" t="s">
        <v>91</v>
      </c>
      <c r="E469" s="224" t="s">
        <v>91</v>
      </c>
      <c r="F469" s="225"/>
      <c r="G469" s="225"/>
      <c r="H469" s="225"/>
      <c r="I469" s="225"/>
      <c r="J469" s="225"/>
      <c r="K469" s="513"/>
      <c r="L469" s="513"/>
      <c r="M469" s="513"/>
      <c r="N469" s="513"/>
    </row>
    <row r="470" spans="4:14" ht="18.75">
      <c r="D470" s="514" t="s">
        <v>91</v>
      </c>
      <c r="E470" s="514" t="s">
        <v>67</v>
      </c>
      <c r="F470" s="225"/>
      <c r="G470" s="225"/>
      <c r="H470" s="225"/>
      <c r="I470" s="225"/>
      <c r="J470" s="225"/>
      <c r="K470" s="515">
        <f>SUBTOTAL(9,K467:K469)</f>
        <v>2355.4</v>
      </c>
      <c r="L470" s="515">
        <f>SUBTOTAL(9,L467:L469)</f>
        <v>0</v>
      </c>
      <c r="M470" s="515">
        <f>SUBTOTAL(9,M467:M469)</f>
        <v>2355.4</v>
      </c>
      <c r="N470" s="515">
        <f>SUBTOTAL(9,N467:N469)</f>
        <v>0</v>
      </c>
    </row>
    <row r="471" spans="4:14" ht="18.75">
      <c r="D471" s="224"/>
      <c r="E471" s="224"/>
      <c r="F471" s="225"/>
      <c r="G471" s="225"/>
      <c r="H471" s="225"/>
      <c r="I471" s="225"/>
      <c r="J471" s="225"/>
      <c r="K471" s="513"/>
      <c r="L471" s="513"/>
      <c r="M471" s="513"/>
      <c r="N471" s="513"/>
    </row>
    <row r="472" spans="4:14" ht="18.75">
      <c r="D472" s="224" t="s">
        <v>263</v>
      </c>
      <c r="E472" s="224" t="s">
        <v>61</v>
      </c>
      <c r="F472" s="225"/>
      <c r="G472" s="225"/>
      <c r="H472" s="225"/>
      <c r="I472" s="225"/>
      <c r="J472" s="225"/>
      <c r="K472" s="513">
        <f>K201</f>
        <v>293146.09999999998</v>
      </c>
      <c r="L472" s="513">
        <f>L201</f>
        <v>0</v>
      </c>
      <c r="M472" s="513">
        <f>M201</f>
        <v>293146.09999999998</v>
      </c>
      <c r="N472" s="513">
        <f>N201</f>
        <v>291373</v>
      </c>
    </row>
    <row r="473" spans="4:14" ht="18.75">
      <c r="D473" s="224" t="s">
        <v>263</v>
      </c>
      <c r="E473" s="224" t="s">
        <v>63</v>
      </c>
      <c r="F473" s="225"/>
      <c r="G473" s="225"/>
      <c r="H473" s="225"/>
      <c r="I473" s="225"/>
      <c r="J473" s="225"/>
      <c r="K473" s="513">
        <f>K219</f>
        <v>472421.2</v>
      </c>
      <c r="L473" s="513">
        <f>L219</f>
        <v>0</v>
      </c>
      <c r="M473" s="513">
        <f>M219</f>
        <v>472421.2</v>
      </c>
      <c r="N473" s="513">
        <f>N219</f>
        <v>482661.50000000006</v>
      </c>
    </row>
    <row r="474" spans="4:14" ht="18.75">
      <c r="D474" s="224" t="s">
        <v>263</v>
      </c>
      <c r="E474" s="224" t="s">
        <v>89</v>
      </c>
      <c r="F474" s="225"/>
      <c r="G474" s="225"/>
      <c r="H474" s="225"/>
      <c r="I474" s="225"/>
      <c r="J474" s="225"/>
      <c r="K474" s="513">
        <f>+K258+K309</f>
        <v>104633.60000000001</v>
      </c>
      <c r="L474" s="513">
        <f>+L258+L309</f>
        <v>0</v>
      </c>
      <c r="M474" s="513">
        <f>+M258+M309</f>
        <v>104633.60000000001</v>
      </c>
      <c r="N474" s="513">
        <f>+N258+N309</f>
        <v>103729.3</v>
      </c>
    </row>
    <row r="475" spans="4:14" ht="18.75">
      <c r="D475" s="224" t="s">
        <v>263</v>
      </c>
      <c r="E475" s="224" t="s">
        <v>91</v>
      </c>
      <c r="F475" s="225"/>
      <c r="G475" s="225"/>
      <c r="H475" s="225"/>
      <c r="I475" s="225"/>
      <c r="J475" s="225"/>
      <c r="K475" s="513"/>
      <c r="L475" s="513"/>
      <c r="M475" s="513"/>
      <c r="N475" s="513"/>
    </row>
    <row r="476" spans="4:14" ht="18.75">
      <c r="D476" s="224" t="s">
        <v>263</v>
      </c>
      <c r="E476" s="224" t="s">
        <v>263</v>
      </c>
      <c r="F476" s="225"/>
      <c r="G476" s="225"/>
      <c r="H476" s="225"/>
      <c r="I476" s="225"/>
      <c r="J476" s="225"/>
      <c r="K476" s="513">
        <f>K385+K404+K276</f>
        <v>2250.1000000000004</v>
      </c>
      <c r="L476" s="513">
        <f>L385+L404+L276</f>
        <v>6720.3</v>
      </c>
      <c r="M476" s="513">
        <f>M385+M404+M276</f>
        <v>8970.4000000000015</v>
      </c>
      <c r="N476" s="513">
        <f>N385+N404+N276</f>
        <v>8931.5</v>
      </c>
    </row>
    <row r="477" spans="4:14" ht="18.75">
      <c r="D477" s="224" t="s">
        <v>263</v>
      </c>
      <c r="E477" s="224" t="s">
        <v>109</v>
      </c>
      <c r="F477" s="225"/>
      <c r="G477" s="225"/>
      <c r="H477" s="225"/>
      <c r="I477" s="225"/>
      <c r="J477" s="225"/>
      <c r="K477" s="513">
        <f>K282+K393</f>
        <v>62271.399999999994</v>
      </c>
      <c r="L477" s="513">
        <f>L282+L393</f>
        <v>0</v>
      </c>
      <c r="M477" s="513">
        <f>M282+M393</f>
        <v>62271.399999999994</v>
      </c>
      <c r="N477" s="513">
        <f>N282+N393</f>
        <v>60859.7</v>
      </c>
    </row>
    <row r="478" spans="4:14" ht="18.75">
      <c r="D478" s="514" t="s">
        <v>263</v>
      </c>
      <c r="E478" s="514" t="s">
        <v>67</v>
      </c>
      <c r="F478" s="225"/>
      <c r="G478" s="225"/>
      <c r="H478" s="225"/>
      <c r="I478" s="225"/>
      <c r="J478" s="225"/>
      <c r="K478" s="515">
        <f>SUBTOTAL(9,K472:K477)</f>
        <v>934722.4</v>
      </c>
      <c r="L478" s="515">
        <f>SUBTOTAL(9,L472:L477)</f>
        <v>6720.3</v>
      </c>
      <c r="M478" s="515">
        <f>SUBTOTAL(9,M472:M477)</f>
        <v>941442.70000000007</v>
      </c>
      <c r="N478" s="515">
        <f>SUBTOTAL(9,N472:N477)</f>
        <v>947555</v>
      </c>
    </row>
    <row r="479" spans="4:14" ht="18.75">
      <c r="D479" s="224"/>
      <c r="E479" s="224"/>
      <c r="F479" s="225"/>
      <c r="G479" s="225"/>
      <c r="H479" s="225"/>
      <c r="I479" s="225"/>
      <c r="J479" s="225"/>
      <c r="K479" s="513"/>
      <c r="L479" s="513"/>
      <c r="M479" s="513"/>
      <c r="N479" s="513"/>
    </row>
    <row r="480" spans="4:14" ht="18.75">
      <c r="D480" s="224" t="s">
        <v>265</v>
      </c>
      <c r="E480" s="224" t="s">
        <v>61</v>
      </c>
      <c r="F480" s="225"/>
      <c r="G480" s="225"/>
      <c r="H480" s="225"/>
      <c r="I480" s="225"/>
      <c r="J480" s="225"/>
      <c r="K480" s="513">
        <f>K316</f>
        <v>23711.199999999997</v>
      </c>
      <c r="L480" s="513">
        <f>L316</f>
        <v>0</v>
      </c>
      <c r="M480" s="513">
        <f>M316</f>
        <v>23711.199999999997</v>
      </c>
      <c r="N480" s="513">
        <f>N316</f>
        <v>23240.699999999997</v>
      </c>
    </row>
    <row r="481" spans="4:14" ht="18.75">
      <c r="D481" s="224" t="s">
        <v>265</v>
      </c>
      <c r="E481" s="224" t="s">
        <v>76</v>
      </c>
      <c r="F481" s="225"/>
      <c r="G481" s="225"/>
      <c r="H481" s="225"/>
      <c r="I481" s="225"/>
      <c r="J481" s="225"/>
      <c r="K481" s="513">
        <f>K333</f>
        <v>9063.5</v>
      </c>
      <c r="L481" s="513">
        <f>L333</f>
        <v>0</v>
      </c>
      <c r="M481" s="513">
        <f>M333</f>
        <v>9063.5</v>
      </c>
      <c r="N481" s="513">
        <f>N333</f>
        <v>8566.7999999999993</v>
      </c>
    </row>
    <row r="482" spans="4:14" ht="18.75">
      <c r="D482" s="514" t="s">
        <v>265</v>
      </c>
      <c r="E482" s="514" t="s">
        <v>67</v>
      </c>
      <c r="F482" s="225"/>
      <c r="G482" s="225"/>
      <c r="H482" s="225"/>
      <c r="I482" s="225"/>
      <c r="J482" s="225"/>
      <c r="K482" s="515">
        <f>SUBTOTAL(9,K480:K481)</f>
        <v>32774.699999999997</v>
      </c>
      <c r="L482" s="515">
        <f>SUBTOTAL(9,L480:L481)</f>
        <v>0</v>
      </c>
      <c r="M482" s="515">
        <f>SUBTOTAL(9,M480:M481)</f>
        <v>32774.699999999997</v>
      </c>
      <c r="N482" s="515">
        <f>SUBTOTAL(9,N480:N481)</f>
        <v>31807.499999999996</v>
      </c>
    </row>
    <row r="483" spans="4:14" ht="18.75">
      <c r="D483" s="224"/>
      <c r="E483" s="224"/>
      <c r="F483" s="225"/>
      <c r="G483" s="225"/>
      <c r="H483" s="225"/>
      <c r="I483" s="225"/>
      <c r="J483" s="225"/>
      <c r="K483" s="513"/>
      <c r="L483" s="513"/>
      <c r="M483" s="513"/>
      <c r="N483" s="513"/>
    </row>
    <row r="484" spans="4:14" ht="18.75">
      <c r="D484" s="224" t="s">
        <v>136</v>
      </c>
      <c r="E484" s="224" t="s">
        <v>61</v>
      </c>
      <c r="F484" s="225"/>
      <c r="G484" s="225"/>
      <c r="H484" s="225"/>
      <c r="I484" s="225"/>
      <c r="J484" s="225"/>
      <c r="K484" s="513">
        <f>K112</f>
        <v>552</v>
      </c>
      <c r="L484" s="513">
        <f>L112</f>
        <v>0</v>
      </c>
      <c r="M484" s="513">
        <f>M112</f>
        <v>552</v>
      </c>
      <c r="N484" s="513">
        <f>N112</f>
        <v>0</v>
      </c>
    </row>
    <row r="485" spans="4:14" ht="18.75">
      <c r="D485" s="224" t="s">
        <v>136</v>
      </c>
      <c r="E485" s="224" t="s">
        <v>76</v>
      </c>
      <c r="F485" s="225"/>
      <c r="G485" s="225"/>
      <c r="H485" s="225"/>
      <c r="I485" s="225"/>
      <c r="J485" s="225"/>
      <c r="K485" s="513">
        <f>K190+K299+K411</f>
        <v>122056.69999999998</v>
      </c>
      <c r="L485" s="513">
        <f>L190+L299+L411</f>
        <v>12370.099999999999</v>
      </c>
      <c r="M485" s="513">
        <f>M190+M299+M411</f>
        <v>134426.79999999999</v>
      </c>
      <c r="N485" s="513">
        <f>N190+N299+N411</f>
        <v>134108</v>
      </c>
    </row>
    <row r="486" spans="4:14" ht="18.75">
      <c r="D486" s="224" t="s">
        <v>136</v>
      </c>
      <c r="E486" s="224" t="s">
        <v>111</v>
      </c>
      <c r="F486" s="225"/>
      <c r="G486" s="225"/>
      <c r="H486" s="225"/>
      <c r="I486" s="225"/>
      <c r="J486" s="225"/>
      <c r="K486" s="513">
        <f>K427</f>
        <v>8345.1</v>
      </c>
      <c r="L486" s="513">
        <f>L427</f>
        <v>0</v>
      </c>
      <c r="M486" s="513">
        <f>M427</f>
        <v>8345.1</v>
      </c>
      <c r="N486" s="513">
        <f>N427</f>
        <v>8784.7000000000007</v>
      </c>
    </row>
    <row r="487" spans="4:14" ht="18.75">
      <c r="D487" s="514" t="s">
        <v>136</v>
      </c>
      <c r="E487" s="514" t="s">
        <v>67</v>
      </c>
      <c r="F487" s="225"/>
      <c r="G487" s="225"/>
      <c r="H487" s="225"/>
      <c r="I487" s="225"/>
      <c r="J487" s="225"/>
      <c r="K487" s="515">
        <f>SUBTOTAL(9,K484:K486)</f>
        <v>130953.79999999999</v>
      </c>
      <c r="L487" s="515">
        <f>SUBTOTAL(9,L484:L486)</f>
        <v>12370.099999999999</v>
      </c>
      <c r="M487" s="515">
        <f>SUBTOTAL(9,M484:M486)</f>
        <v>143323.9</v>
      </c>
      <c r="N487" s="515">
        <f>SUBTOTAL(9,N484:N486)</f>
        <v>142892.70000000001</v>
      </c>
    </row>
    <row r="488" spans="4:14" ht="18.75">
      <c r="D488" s="224"/>
      <c r="E488" s="224"/>
      <c r="F488" s="225"/>
      <c r="G488" s="225"/>
      <c r="H488" s="225"/>
      <c r="I488" s="225"/>
      <c r="J488" s="225"/>
      <c r="K488" s="513"/>
      <c r="L488" s="513"/>
      <c r="M488" s="513"/>
      <c r="N488" s="513"/>
    </row>
    <row r="489" spans="4:14" ht="18.75">
      <c r="D489" s="224" t="s">
        <v>93</v>
      </c>
      <c r="E489" s="224" t="s">
        <v>61</v>
      </c>
      <c r="F489" s="225"/>
      <c r="G489" s="225"/>
      <c r="H489" s="225"/>
      <c r="I489" s="225"/>
      <c r="J489" s="225"/>
      <c r="K489" s="513">
        <f>K348</f>
        <v>23721.200000000001</v>
      </c>
      <c r="L489" s="513">
        <f>L348</f>
        <v>0</v>
      </c>
      <c r="M489" s="513">
        <f>M348</f>
        <v>23721.200000000001</v>
      </c>
      <c r="N489" s="513">
        <f>N348</f>
        <v>23289.200000000001</v>
      </c>
    </row>
    <row r="490" spans="4:14" ht="18.75">
      <c r="D490" s="224" t="s">
        <v>93</v>
      </c>
      <c r="E490" s="224" t="s">
        <v>63</v>
      </c>
      <c r="F490" s="225"/>
      <c r="G490" s="225"/>
      <c r="H490" s="225"/>
      <c r="I490" s="225"/>
      <c r="J490" s="225"/>
      <c r="K490" s="513">
        <f>K363</f>
        <v>1620.3</v>
      </c>
      <c r="L490" s="513">
        <f>L363</f>
        <v>0</v>
      </c>
      <c r="M490" s="513">
        <f>M363</f>
        <v>1620.3</v>
      </c>
      <c r="N490" s="513">
        <f>N363</f>
        <v>0</v>
      </c>
    </row>
    <row r="491" spans="4:14" ht="18.75">
      <c r="D491" s="224" t="s">
        <v>93</v>
      </c>
      <c r="E491" s="224" t="s">
        <v>91</v>
      </c>
      <c r="F491" s="225"/>
      <c r="G491" s="225"/>
      <c r="H491" s="225"/>
      <c r="I491" s="225"/>
      <c r="J491" s="225"/>
      <c r="K491" s="513">
        <f>K374</f>
        <v>2440.1000000000004</v>
      </c>
      <c r="L491" s="513">
        <f>L374</f>
        <v>0</v>
      </c>
      <c r="M491" s="513">
        <f>M374</f>
        <v>2440.1000000000004</v>
      </c>
      <c r="N491" s="513">
        <f>N374</f>
        <v>2348.3000000000002</v>
      </c>
    </row>
    <row r="492" spans="4:14" ht="18.75">
      <c r="D492" s="514" t="s">
        <v>93</v>
      </c>
      <c r="E492" s="514" t="s">
        <v>67</v>
      </c>
      <c r="F492" s="225"/>
      <c r="G492" s="225"/>
      <c r="H492" s="225"/>
      <c r="I492" s="225"/>
      <c r="J492" s="225"/>
      <c r="K492" s="515">
        <f>SUBTOTAL(9,K489:K491)</f>
        <v>27781.599999999999</v>
      </c>
      <c r="L492" s="515">
        <f>SUBTOTAL(9,L489:L491)</f>
        <v>0</v>
      </c>
      <c r="M492" s="515">
        <f>SUBTOTAL(9,M489:M491)</f>
        <v>27781.599999999999</v>
      </c>
      <c r="N492" s="515">
        <f>SUBTOTAL(9,N489:N491)</f>
        <v>25637.5</v>
      </c>
    </row>
    <row r="493" spans="4:14" ht="18.75">
      <c r="D493" s="224"/>
      <c r="E493" s="224"/>
      <c r="F493" s="225"/>
      <c r="G493" s="225"/>
      <c r="H493" s="225"/>
      <c r="I493" s="225"/>
      <c r="J493" s="225"/>
      <c r="K493" s="513"/>
      <c r="L493" s="513"/>
      <c r="M493" s="513"/>
      <c r="N493" s="513"/>
    </row>
    <row r="494" spans="4:14" ht="18.75">
      <c r="D494" s="224" t="s">
        <v>100</v>
      </c>
      <c r="E494" s="224" t="s">
        <v>61</v>
      </c>
      <c r="F494" s="225"/>
      <c r="G494" s="225"/>
      <c r="H494" s="225"/>
      <c r="I494" s="225"/>
      <c r="J494" s="225"/>
      <c r="K494" s="513">
        <f>K119</f>
        <v>16.5</v>
      </c>
      <c r="L494" s="513">
        <f>L119</f>
        <v>0</v>
      </c>
      <c r="M494" s="513">
        <f>M119</f>
        <v>16.5</v>
      </c>
      <c r="N494" s="513">
        <f>N119</f>
        <v>9.4</v>
      </c>
    </row>
    <row r="495" spans="4:14" ht="18.75">
      <c r="D495" s="514" t="s">
        <v>100</v>
      </c>
      <c r="E495" s="514" t="s">
        <v>67</v>
      </c>
      <c r="F495" s="225"/>
      <c r="G495" s="225"/>
      <c r="H495" s="225"/>
      <c r="I495" s="225"/>
      <c r="J495" s="225"/>
      <c r="K495" s="515">
        <f>K494</f>
        <v>16.5</v>
      </c>
      <c r="L495" s="515">
        <f>L494</f>
        <v>0</v>
      </c>
      <c r="M495" s="515">
        <f>M494</f>
        <v>16.5</v>
      </c>
      <c r="N495" s="515">
        <f>N494</f>
        <v>9.4</v>
      </c>
    </row>
    <row r="496" spans="4:14" ht="18.75">
      <c r="D496" s="224"/>
      <c r="E496" s="224"/>
      <c r="F496" s="225"/>
      <c r="G496" s="225"/>
      <c r="H496" s="225"/>
      <c r="I496" s="225"/>
      <c r="J496" s="225"/>
      <c r="K496" s="513"/>
      <c r="L496" s="513"/>
      <c r="M496" s="513"/>
      <c r="N496" s="513"/>
    </row>
    <row r="497" spans="2:14" ht="18.75">
      <c r="D497" s="224" t="s">
        <v>119</v>
      </c>
      <c r="E497" s="224" t="s">
        <v>61</v>
      </c>
      <c r="F497" s="225"/>
      <c r="G497" s="225"/>
      <c r="H497" s="225"/>
      <c r="I497" s="225"/>
      <c r="J497" s="225"/>
      <c r="K497" s="513">
        <f>K137</f>
        <v>5250</v>
      </c>
      <c r="L497" s="513">
        <f>L137</f>
        <v>0</v>
      </c>
      <c r="M497" s="513">
        <f>M137</f>
        <v>5250</v>
      </c>
      <c r="N497" s="513">
        <f>N137</f>
        <v>5250</v>
      </c>
    </row>
    <row r="498" spans="2:14" ht="18.75">
      <c r="D498" s="514" t="s">
        <v>119</v>
      </c>
      <c r="E498" s="514" t="s">
        <v>67</v>
      </c>
      <c r="F498" s="225"/>
      <c r="G498" s="225"/>
      <c r="H498" s="225"/>
      <c r="I498" s="225"/>
      <c r="J498" s="225"/>
      <c r="K498" s="515">
        <f>SUBTOTAL(9,K497:K497)</f>
        <v>5250</v>
      </c>
      <c r="L498" s="515">
        <f>SUBTOTAL(9,L497:L497)</f>
        <v>0</v>
      </c>
      <c r="M498" s="515">
        <f>SUBTOTAL(9,M497:M497)</f>
        <v>5250</v>
      </c>
      <c r="N498" s="515">
        <f>SUBTOTAL(9,N497:N497)</f>
        <v>5250</v>
      </c>
    </row>
    <row r="499" spans="2:14" ht="18.75">
      <c r="D499" s="224"/>
      <c r="E499" s="224"/>
      <c r="F499" s="225"/>
      <c r="G499" s="225"/>
      <c r="H499" s="225"/>
      <c r="I499" s="225"/>
      <c r="J499" s="225"/>
      <c r="K499" s="513"/>
      <c r="L499" s="513"/>
      <c r="M499" s="513"/>
      <c r="N499" s="513"/>
    </row>
    <row r="500" spans="2:14" ht="18.75">
      <c r="D500" s="516" t="s">
        <v>473</v>
      </c>
      <c r="E500" s="224"/>
      <c r="F500" s="225"/>
      <c r="G500" s="225"/>
      <c r="H500" s="225"/>
      <c r="I500" s="225"/>
      <c r="J500" s="225"/>
      <c r="K500" s="513">
        <f>K440</f>
        <v>26950.5</v>
      </c>
      <c r="L500" s="513">
        <f>L440</f>
        <v>0</v>
      </c>
      <c r="M500" s="513">
        <f>M440</f>
        <v>26950.5</v>
      </c>
      <c r="N500" s="513">
        <f>N440</f>
        <v>55900.4</v>
      </c>
    </row>
    <row r="501" spans="2:14" ht="18.75">
      <c r="D501" s="224"/>
      <c r="E501" s="224"/>
      <c r="F501" s="225"/>
      <c r="G501" s="225"/>
      <c r="H501" s="225"/>
      <c r="I501" s="225"/>
      <c r="J501" s="225"/>
      <c r="K501" s="225"/>
      <c r="L501" s="225"/>
      <c r="M501" s="513"/>
      <c r="N501" s="513"/>
    </row>
    <row r="502" spans="2:14" ht="18.75">
      <c r="D502" s="224"/>
      <c r="E502" s="224"/>
      <c r="F502" s="225"/>
      <c r="G502" s="225"/>
      <c r="H502" s="225"/>
      <c r="I502" s="225"/>
      <c r="J502" s="225"/>
      <c r="K502" s="225"/>
      <c r="L502" s="225"/>
      <c r="M502" s="515"/>
      <c r="N502" s="515"/>
    </row>
    <row r="503" spans="2:14" ht="18.75">
      <c r="D503" s="224"/>
      <c r="E503" s="224"/>
      <c r="F503" s="225"/>
      <c r="G503" s="225"/>
      <c r="H503" s="225"/>
      <c r="I503" s="225"/>
      <c r="J503" s="225"/>
      <c r="K503" s="225"/>
      <c r="L503" s="225"/>
      <c r="M503" s="513"/>
      <c r="N503" s="513"/>
    </row>
    <row r="504" spans="2:14" ht="18.75">
      <c r="B504" s="184" t="s">
        <v>480</v>
      </c>
      <c r="D504" s="224"/>
      <c r="E504" s="224"/>
      <c r="F504" s="225"/>
      <c r="G504" s="225"/>
      <c r="H504" s="225"/>
      <c r="I504" s="225"/>
      <c r="J504" s="225"/>
      <c r="K504" s="225"/>
      <c r="L504" s="225"/>
      <c r="M504" s="513"/>
      <c r="N504" s="513"/>
    </row>
    <row r="505" spans="2:14" ht="18.75">
      <c r="B505" s="184" t="s">
        <v>479</v>
      </c>
      <c r="D505" s="224"/>
      <c r="E505" s="224"/>
      <c r="F505" s="225"/>
      <c r="G505" s="225"/>
      <c r="H505" s="225"/>
      <c r="I505" s="225"/>
      <c r="J505" s="225"/>
      <c r="K505" s="225"/>
      <c r="L505" s="225"/>
      <c r="M505" s="513"/>
      <c r="N505" s="513"/>
    </row>
    <row r="506" spans="2:14" ht="18.75">
      <c r="D506" s="224"/>
      <c r="E506" s="224"/>
      <c r="F506" s="225"/>
      <c r="G506" s="225"/>
      <c r="H506" s="225"/>
      <c r="I506" s="225"/>
      <c r="J506" s="225"/>
      <c r="K506" s="225"/>
      <c r="L506" s="225"/>
      <c r="M506" s="517"/>
      <c r="N506" s="517"/>
    </row>
    <row r="507" spans="2:14" ht="18.75">
      <c r="D507" s="224"/>
      <c r="E507" s="224"/>
      <c r="F507" s="225"/>
      <c r="G507" s="225"/>
      <c r="H507" s="225"/>
      <c r="I507" s="225"/>
      <c r="J507" s="225"/>
      <c r="K507" s="225"/>
      <c r="L507" s="225"/>
      <c r="M507" s="517"/>
      <c r="N507" s="517"/>
    </row>
    <row r="509" spans="2:14">
      <c r="M509" s="226"/>
      <c r="N509" s="226"/>
    </row>
  </sheetData>
  <autoFilter ref="A1:O509"/>
  <mergeCells count="12">
    <mergeCell ref="F14:I14"/>
    <mergeCell ref="A8:N8"/>
    <mergeCell ref="A12:A13"/>
    <mergeCell ref="B12:B13"/>
    <mergeCell ref="C12:C13"/>
    <mergeCell ref="D12:D13"/>
    <mergeCell ref="E12:E13"/>
    <mergeCell ref="F12:I13"/>
    <mergeCell ref="J12:J13"/>
    <mergeCell ref="N12:N13"/>
    <mergeCell ref="K12:K13"/>
    <mergeCell ref="L12:M12"/>
  </mergeCells>
  <printOptions horizontalCentered="1"/>
  <pageMargins left="1.1811023622047245" right="0.39370078740157483" top="0.78740157480314965" bottom="0.59055118110236227" header="0.31496062992125984" footer="0.31496062992125984"/>
  <pageSetup paperSize="9" scale="60" fitToHeight="0" orientation="portrait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H28"/>
  <sheetViews>
    <sheetView workbookViewId="0">
      <selection activeCell="C2" sqref="C2"/>
    </sheetView>
  </sheetViews>
  <sheetFormatPr defaultColWidth="9.140625" defaultRowHeight="12.75"/>
  <cols>
    <col min="1" max="1" width="33.28515625" style="47" customWidth="1"/>
    <col min="2" max="2" width="66.42578125" style="47" customWidth="1"/>
    <col min="3" max="3" width="20" style="47" customWidth="1"/>
    <col min="4" max="4" width="9.140625" style="47"/>
    <col min="5" max="5" width="17.7109375" style="47" customWidth="1"/>
    <col min="6" max="6" width="19.85546875" style="47" customWidth="1"/>
    <col min="7" max="7" width="10.85546875" style="47" bestFit="1" customWidth="1"/>
    <col min="8" max="16384" width="9.140625" style="47"/>
  </cols>
  <sheetData>
    <row r="1" spans="1:7" s="244" customFormat="1" ht="18.75">
      <c r="C1" s="255" t="s">
        <v>533</v>
      </c>
    </row>
    <row r="2" spans="1:7" s="244" customFormat="1" ht="18.75">
      <c r="C2" s="255" t="s">
        <v>937</v>
      </c>
    </row>
    <row r="3" spans="1:7" s="244" customFormat="1" ht="18.75">
      <c r="C3" s="255"/>
    </row>
    <row r="5" spans="1:7" ht="18.75">
      <c r="C5" s="1" t="s">
        <v>612</v>
      </c>
    </row>
    <row r="6" spans="1:7" ht="18.75">
      <c r="C6" s="1" t="s">
        <v>884</v>
      </c>
    </row>
    <row r="7" spans="1:7" ht="17.45" customHeight="1">
      <c r="A7" s="22"/>
      <c r="B7" s="22"/>
      <c r="C7" s="22"/>
    </row>
    <row r="8" spans="1:7" s="103" customFormat="1" ht="18" customHeight="1">
      <c r="C8" s="1"/>
    </row>
    <row r="9" spans="1:7" s="103" customFormat="1" ht="36" customHeight="1">
      <c r="A9" s="833" t="s">
        <v>685</v>
      </c>
      <c r="B9" s="834"/>
      <c r="C9" s="834"/>
    </row>
    <row r="10" spans="1:7" ht="18.75">
      <c r="A10" s="22"/>
      <c r="B10" s="22"/>
      <c r="C10" s="22"/>
      <c r="E10" s="143"/>
      <c r="F10" s="87"/>
    </row>
    <row r="11" spans="1:7" ht="18.75">
      <c r="A11" s="22"/>
      <c r="B11" s="22"/>
      <c r="C11" s="49" t="s">
        <v>278</v>
      </c>
    </row>
    <row r="12" spans="1:7" ht="58.9" customHeight="1">
      <c r="A12" s="236" t="s">
        <v>35</v>
      </c>
      <c r="B12" s="60" t="s">
        <v>475</v>
      </c>
      <c r="C12" s="60" t="s">
        <v>37</v>
      </c>
      <c r="E12" s="88"/>
      <c r="F12" s="88"/>
    </row>
    <row r="13" spans="1:7" ht="18" customHeight="1">
      <c r="A13" s="96">
        <v>1</v>
      </c>
      <c r="B13" s="97">
        <v>2</v>
      </c>
      <c r="C13" s="98">
        <v>3</v>
      </c>
      <c r="E13" s="88"/>
      <c r="F13" s="88"/>
    </row>
    <row r="14" spans="1:7" ht="37.15" customHeight="1">
      <c r="A14" s="105" t="s">
        <v>279</v>
      </c>
      <c r="B14" s="245" t="s">
        <v>280</v>
      </c>
      <c r="C14" s="664">
        <f>C15</f>
        <v>23823.399029999971</v>
      </c>
      <c r="E14" s="120"/>
      <c r="F14" s="51"/>
    </row>
    <row r="15" spans="1:7" s="52" customFormat="1" ht="34.9" customHeight="1">
      <c r="A15" s="106" t="s">
        <v>281</v>
      </c>
      <c r="B15" s="246" t="s">
        <v>282</v>
      </c>
      <c r="C15" s="119">
        <f>C20-C16</f>
        <v>23823.399029999971</v>
      </c>
      <c r="F15" s="53"/>
      <c r="G15" s="54"/>
    </row>
    <row r="16" spans="1:7" s="48" customFormat="1" ht="18.75">
      <c r="A16" s="107" t="s">
        <v>283</v>
      </c>
      <c r="B16" s="230" t="s">
        <v>284</v>
      </c>
      <c r="C16" s="144">
        <f>C17</f>
        <v>1447118.8396600001</v>
      </c>
    </row>
    <row r="17" spans="1:8" s="48" customFormat="1" ht="18.75">
      <c r="A17" s="107" t="s">
        <v>285</v>
      </c>
      <c r="B17" s="230" t="s">
        <v>286</v>
      </c>
      <c r="C17" s="144">
        <f>C18</f>
        <v>1447118.8396600001</v>
      </c>
    </row>
    <row r="18" spans="1:8" s="48" customFormat="1" ht="37.5">
      <c r="A18" s="107" t="s">
        <v>413</v>
      </c>
      <c r="B18" s="230" t="s">
        <v>287</v>
      </c>
      <c r="C18" s="144">
        <f>C19</f>
        <v>1447118.8396600001</v>
      </c>
    </row>
    <row r="19" spans="1:8" s="48" customFormat="1" ht="37.5" customHeight="1">
      <c r="A19" s="107" t="s">
        <v>288</v>
      </c>
      <c r="B19" s="230" t="s">
        <v>17</v>
      </c>
      <c r="C19" s="234">
        <f>'прил. 2 (поступл.20)'!C39</f>
        <v>1447118.8396600001</v>
      </c>
    </row>
    <row r="20" spans="1:8" s="48" customFormat="1" ht="18.75">
      <c r="A20" s="107" t="s">
        <v>289</v>
      </c>
      <c r="B20" s="230" t="s">
        <v>290</v>
      </c>
      <c r="C20" s="234">
        <f>C21</f>
        <v>1470942.23869</v>
      </c>
    </row>
    <row r="21" spans="1:8" s="48" customFormat="1" ht="18.75">
      <c r="A21" s="107" t="s">
        <v>291</v>
      </c>
      <c r="B21" s="230" t="s">
        <v>292</v>
      </c>
      <c r="C21" s="234">
        <f>C22</f>
        <v>1470942.23869</v>
      </c>
    </row>
    <row r="22" spans="1:8" s="48" customFormat="1" ht="22.15" customHeight="1">
      <c r="A22" s="107" t="s">
        <v>293</v>
      </c>
      <c r="B22" s="230" t="s">
        <v>294</v>
      </c>
      <c r="C22" s="234">
        <f>C23</f>
        <v>1470942.23869</v>
      </c>
    </row>
    <row r="23" spans="1:8" s="48" customFormat="1" ht="37.5">
      <c r="A23" s="114" t="s">
        <v>295</v>
      </c>
      <c r="B23" s="247" t="s">
        <v>19</v>
      </c>
      <c r="C23" s="248">
        <f>'прил12(ведом 20)'!M14</f>
        <v>1470942.23869</v>
      </c>
    </row>
    <row r="24" spans="1:8" s="48" customFormat="1" ht="18.75">
      <c r="A24" s="115"/>
      <c r="B24" s="116"/>
      <c r="C24" s="117"/>
    </row>
    <row r="25" spans="1:8" s="48" customFormat="1" ht="18.75">
      <c r="A25" s="115"/>
      <c r="B25" s="116"/>
      <c r="C25" s="117"/>
    </row>
    <row r="26" spans="1:8" s="41" customFormat="1" ht="18.75">
      <c r="A26" s="124" t="s">
        <v>497</v>
      </c>
      <c r="B26" s="43"/>
      <c r="C26" s="44"/>
      <c r="D26" s="44"/>
      <c r="E26" s="44"/>
      <c r="F26" s="45"/>
      <c r="G26" s="46"/>
      <c r="H26" s="42"/>
    </row>
    <row r="27" spans="1:8" s="41" customFormat="1" ht="18.75">
      <c r="A27" s="124" t="s">
        <v>498</v>
      </c>
      <c r="B27" s="43"/>
      <c r="C27" s="44"/>
      <c r="D27" s="44"/>
      <c r="E27" s="44"/>
      <c r="F27" s="45"/>
      <c r="G27" s="46"/>
      <c r="H27" s="42"/>
    </row>
    <row r="28" spans="1:8" s="41" customFormat="1" ht="18.75">
      <c r="A28" s="125" t="s">
        <v>499</v>
      </c>
      <c r="B28" s="43"/>
      <c r="C28" s="40" t="s">
        <v>534</v>
      </c>
      <c r="D28" s="44"/>
      <c r="E28" s="44"/>
      <c r="F28" s="45"/>
    </row>
  </sheetData>
  <mergeCells count="1">
    <mergeCell ref="A9:C9"/>
  </mergeCells>
  <printOptions horizontalCentered="1"/>
  <pageMargins left="1.1811023622047245" right="0.39370078740157483" top="0.62992125984251968" bottom="0.19685039370078741" header="0" footer="0"/>
  <pageSetup paperSize="9" scale="70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G32"/>
  <sheetViews>
    <sheetView workbookViewId="0">
      <selection activeCell="D2" sqref="D2"/>
    </sheetView>
  </sheetViews>
  <sheetFormatPr defaultColWidth="9.140625" defaultRowHeight="12.75"/>
  <cols>
    <col min="1" max="1" width="33.28515625" style="47" customWidth="1"/>
    <col min="2" max="2" width="52.140625" style="47" customWidth="1"/>
    <col min="3" max="3" width="14.140625" style="47" customWidth="1"/>
    <col min="4" max="4" width="14.42578125" style="47" customWidth="1"/>
    <col min="5" max="5" width="17.7109375" style="47" customWidth="1"/>
    <col min="6" max="6" width="19.85546875" style="47" customWidth="1"/>
    <col min="7" max="7" width="10.85546875" style="47" bestFit="1" customWidth="1"/>
    <col min="8" max="16384" width="9.140625" style="47"/>
  </cols>
  <sheetData>
    <row r="1" spans="1:6" ht="18.75">
      <c r="D1" s="1" t="s">
        <v>612</v>
      </c>
    </row>
    <row r="2" spans="1:6" ht="18.75">
      <c r="D2" s="1" t="s">
        <v>937</v>
      </c>
    </row>
    <row r="4" spans="1:6" ht="18.75">
      <c r="D4" s="1" t="s">
        <v>613</v>
      </c>
    </row>
    <row r="5" spans="1:6" ht="18.75">
      <c r="D5" s="1" t="s">
        <v>884</v>
      </c>
    </row>
    <row r="6" spans="1:6" ht="17.45" customHeight="1">
      <c r="A6" s="22"/>
      <c r="B6" s="22"/>
      <c r="C6" s="22"/>
    </row>
    <row r="7" spans="1:6" s="103" customFormat="1" ht="18" customHeight="1">
      <c r="D7" s="1"/>
    </row>
    <row r="8" spans="1:6" s="103" customFormat="1" ht="45" customHeight="1">
      <c r="A8" s="833" t="s">
        <v>763</v>
      </c>
      <c r="B8" s="833"/>
      <c r="C8" s="833"/>
      <c r="D8" s="833"/>
    </row>
    <row r="9" spans="1:6" ht="18" customHeight="1">
      <c r="A9" s="22"/>
      <c r="B9" s="22"/>
      <c r="C9" s="22"/>
      <c r="E9" s="143"/>
      <c r="F9" s="87"/>
    </row>
    <row r="10" spans="1:6" ht="18.75">
      <c r="A10" s="22"/>
      <c r="B10" s="22"/>
      <c r="D10" s="49" t="s">
        <v>278</v>
      </c>
    </row>
    <row r="11" spans="1:6" ht="16.149999999999999" customHeight="1">
      <c r="A11" s="792" t="s">
        <v>35</v>
      </c>
      <c r="B11" s="792" t="s">
        <v>475</v>
      </c>
      <c r="C11" s="835" t="s">
        <v>37</v>
      </c>
      <c r="D11" s="836"/>
    </row>
    <row r="12" spans="1:6" ht="52.15" customHeight="1">
      <c r="A12" s="792"/>
      <c r="B12" s="792"/>
      <c r="C12" s="61" t="s">
        <v>594</v>
      </c>
      <c r="D12" s="61" t="s">
        <v>622</v>
      </c>
      <c r="E12" s="88"/>
      <c r="F12" s="88"/>
    </row>
    <row r="13" spans="1:6" ht="18" customHeight="1">
      <c r="A13" s="96">
        <v>1</v>
      </c>
      <c r="B13" s="97">
        <v>2</v>
      </c>
      <c r="C13" s="98">
        <v>3</v>
      </c>
      <c r="D13" s="98">
        <v>4</v>
      </c>
      <c r="E13" s="88"/>
      <c r="F13" s="88"/>
    </row>
    <row r="14" spans="1:6" ht="56.25">
      <c r="A14" s="105" t="s">
        <v>279</v>
      </c>
      <c r="B14" s="121" t="s">
        <v>280</v>
      </c>
      <c r="C14" s="95">
        <f>C19+C15</f>
        <v>-6816</v>
      </c>
      <c r="D14" s="95">
        <f>D19+D15</f>
        <v>-10224</v>
      </c>
      <c r="E14" s="50"/>
      <c r="F14" s="51"/>
    </row>
    <row r="15" spans="1:6" ht="56.25">
      <c r="A15" s="106" t="s">
        <v>517</v>
      </c>
      <c r="B15" s="178" t="s">
        <v>518</v>
      </c>
      <c r="C15" s="95">
        <f>C16</f>
        <v>-6816</v>
      </c>
      <c r="D15" s="95">
        <f>D16</f>
        <v>-10224</v>
      </c>
      <c r="E15" s="50"/>
      <c r="F15" s="51"/>
    </row>
    <row r="16" spans="1:6" ht="59.25" customHeight="1">
      <c r="A16" s="107" t="s">
        <v>519</v>
      </c>
      <c r="B16" s="179" t="s">
        <v>520</v>
      </c>
      <c r="C16" s="180">
        <f>-C17</f>
        <v>-6816</v>
      </c>
      <c r="D16" s="180">
        <f>-D17</f>
        <v>-10224</v>
      </c>
      <c r="E16" s="50"/>
      <c r="F16" s="51"/>
    </row>
    <row r="17" spans="1:7" ht="77.25" customHeight="1">
      <c r="A17" s="107" t="s">
        <v>521</v>
      </c>
      <c r="B17" s="179" t="s">
        <v>522</v>
      </c>
      <c r="C17" s="145">
        <f>C18</f>
        <v>6816</v>
      </c>
      <c r="D17" s="145">
        <f>D18</f>
        <v>10224</v>
      </c>
      <c r="E17" s="50"/>
      <c r="F17" s="51"/>
    </row>
    <row r="18" spans="1:7" ht="75" customHeight="1">
      <c r="A18" s="107" t="s">
        <v>523</v>
      </c>
      <c r="B18" s="179" t="s">
        <v>13</v>
      </c>
      <c r="C18" s="145">
        <v>6816</v>
      </c>
      <c r="D18" s="145">
        <v>10224</v>
      </c>
      <c r="E18" s="50"/>
      <c r="F18" s="51"/>
    </row>
    <row r="19" spans="1:7" s="52" customFormat="1" ht="37.5">
      <c r="A19" s="106" t="s">
        <v>281</v>
      </c>
      <c r="B19" s="122" t="s">
        <v>282</v>
      </c>
      <c r="C19" s="95">
        <f>C24-C20</f>
        <v>0</v>
      </c>
      <c r="D19" s="119">
        <f>D24-D20</f>
        <v>0</v>
      </c>
      <c r="F19" s="53"/>
      <c r="G19" s="54"/>
    </row>
    <row r="20" spans="1:7" s="48" customFormat="1" ht="18.75">
      <c r="A20" s="107" t="s">
        <v>283</v>
      </c>
      <c r="B20" s="123" t="s">
        <v>284</v>
      </c>
      <c r="C20" s="145">
        <f t="shared" ref="C20:D22" si="0">C21</f>
        <v>1349880</v>
      </c>
      <c r="D20" s="144">
        <f t="shared" si="0"/>
        <v>1385642.2999999998</v>
      </c>
    </row>
    <row r="21" spans="1:7" s="48" customFormat="1" ht="37.5">
      <c r="A21" s="107" t="s">
        <v>285</v>
      </c>
      <c r="B21" s="123" t="s">
        <v>286</v>
      </c>
      <c r="C21" s="145">
        <f t="shared" si="0"/>
        <v>1349880</v>
      </c>
      <c r="D21" s="144">
        <f t="shared" si="0"/>
        <v>1385642.2999999998</v>
      </c>
    </row>
    <row r="22" spans="1:7" s="48" customFormat="1" ht="37.5">
      <c r="A22" s="107" t="s">
        <v>413</v>
      </c>
      <c r="B22" s="123" t="s">
        <v>287</v>
      </c>
      <c r="C22" s="145">
        <f t="shared" si="0"/>
        <v>1349880</v>
      </c>
      <c r="D22" s="144">
        <f t="shared" si="0"/>
        <v>1385642.2999999998</v>
      </c>
    </row>
    <row r="23" spans="1:7" s="48" customFormat="1" ht="56.25">
      <c r="A23" s="107" t="s">
        <v>288</v>
      </c>
      <c r="B23" s="123" t="s">
        <v>17</v>
      </c>
      <c r="C23" s="145">
        <f>'прил. 3 (поступл. 21-22)'!C38</f>
        <v>1349880</v>
      </c>
      <c r="D23" s="144">
        <f>'прил. 3 (поступл. 21-22)'!D38</f>
        <v>1385642.2999999998</v>
      </c>
    </row>
    <row r="24" spans="1:7" s="48" customFormat="1" ht="18.75">
      <c r="A24" s="107" t="s">
        <v>289</v>
      </c>
      <c r="B24" s="123" t="s">
        <v>290</v>
      </c>
      <c r="C24" s="145">
        <f t="shared" ref="C24:D26" si="1">C25</f>
        <v>1349880</v>
      </c>
      <c r="D24" s="145">
        <f t="shared" si="1"/>
        <v>1385642.3</v>
      </c>
    </row>
    <row r="25" spans="1:7" s="48" customFormat="1" ht="37.5">
      <c r="A25" s="107" t="s">
        <v>291</v>
      </c>
      <c r="B25" s="123" t="s">
        <v>292</v>
      </c>
      <c r="C25" s="145">
        <f t="shared" si="1"/>
        <v>1349880</v>
      </c>
      <c r="D25" s="144">
        <f t="shared" si="1"/>
        <v>1385642.3</v>
      </c>
    </row>
    <row r="26" spans="1:7" s="48" customFormat="1" ht="37.5">
      <c r="A26" s="107" t="s">
        <v>293</v>
      </c>
      <c r="B26" s="123" t="s">
        <v>294</v>
      </c>
      <c r="C26" s="145">
        <f t="shared" si="1"/>
        <v>1349880</v>
      </c>
      <c r="D26" s="144">
        <f t="shared" si="1"/>
        <v>1385642.3</v>
      </c>
    </row>
    <row r="27" spans="1:7" s="48" customFormat="1" ht="56.25">
      <c r="A27" s="114" t="s">
        <v>295</v>
      </c>
      <c r="B27" s="149" t="s">
        <v>19</v>
      </c>
      <c r="C27" s="150">
        <f>'прил13(ведом 21-22)'!M15+'прил.15 (Источники 21-22)'!C18</f>
        <v>1349880</v>
      </c>
      <c r="D27" s="150">
        <f>'прил13(ведом 21-22)'!N15+'прил.15 (Источники 21-22)'!D18</f>
        <v>1385642.3</v>
      </c>
    </row>
    <row r="28" spans="1:7" s="48" customFormat="1" ht="18.75">
      <c r="A28" s="115"/>
      <c r="B28" s="118"/>
      <c r="C28" s="146"/>
      <c r="D28" s="146"/>
    </row>
    <row r="29" spans="1:7" ht="18.75">
      <c r="A29" s="22"/>
      <c r="B29" s="22"/>
      <c r="C29" s="22"/>
    </row>
    <row r="30" spans="1:7" s="91" customFormat="1" ht="18.75">
      <c r="A30" s="124" t="s">
        <v>497</v>
      </c>
      <c r="B30" s="43"/>
      <c r="C30" s="44"/>
    </row>
    <row r="31" spans="1:7" s="91" customFormat="1" ht="18.75">
      <c r="A31" s="124" t="s">
        <v>498</v>
      </c>
      <c r="B31" s="43"/>
      <c r="C31" s="44"/>
    </row>
    <row r="32" spans="1:7" s="91" customFormat="1" ht="18.75">
      <c r="A32" s="125" t="s">
        <v>499</v>
      </c>
      <c r="B32" s="43"/>
      <c r="D32" s="40" t="s">
        <v>534</v>
      </c>
    </row>
  </sheetData>
  <mergeCells count="4">
    <mergeCell ref="C11:D11"/>
    <mergeCell ref="A11:A12"/>
    <mergeCell ref="B11:B12"/>
    <mergeCell ref="A8:D8"/>
  </mergeCells>
  <printOptions horizontalCentered="1"/>
  <pageMargins left="1.1811023622047245" right="0.39370078740157483" top="0.78740157480314965" bottom="0.78740157480314965" header="0" footer="0"/>
  <pageSetup paperSize="9" scale="74" fitToHeight="0"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H20"/>
  <sheetViews>
    <sheetView workbookViewId="0">
      <selection activeCell="P28" sqref="P28"/>
    </sheetView>
  </sheetViews>
  <sheetFormatPr defaultColWidth="8.85546875" defaultRowHeight="18.75"/>
  <cols>
    <col min="1" max="1" width="73.7109375" style="73" customWidth="1"/>
    <col min="2" max="2" width="17.28515625" style="73" customWidth="1"/>
    <col min="3" max="16384" width="8.85546875" style="73"/>
  </cols>
  <sheetData>
    <row r="1" spans="1:3" s="243" customFormat="1">
      <c r="B1" s="255" t="s">
        <v>614</v>
      </c>
    </row>
    <row r="2" spans="1:3" s="243" customFormat="1">
      <c r="B2" s="255" t="s">
        <v>937</v>
      </c>
    </row>
    <row r="4" spans="1:3">
      <c r="B4" s="1" t="s">
        <v>614</v>
      </c>
    </row>
    <row r="5" spans="1:3">
      <c r="B5" s="1" t="s">
        <v>884</v>
      </c>
    </row>
    <row r="8" spans="1:3" ht="57" customHeight="1">
      <c r="A8" s="837" t="s">
        <v>771</v>
      </c>
      <c r="B8" s="837"/>
      <c r="C8" s="139"/>
    </row>
    <row r="9" spans="1:3" ht="16.899999999999999" customHeight="1">
      <c r="A9" s="126"/>
      <c r="B9" s="126"/>
      <c r="C9" s="139"/>
    </row>
    <row r="10" spans="1:3">
      <c r="B10" s="1" t="s">
        <v>46</v>
      </c>
    </row>
    <row r="11" spans="1:3" ht="31.9" customHeight="1">
      <c r="A11" s="129" t="s">
        <v>319</v>
      </c>
      <c r="B11" s="129" t="s">
        <v>37</v>
      </c>
    </row>
    <row r="12" spans="1:3">
      <c r="A12" s="102">
        <v>1</v>
      </c>
      <c r="B12" s="102">
        <v>2</v>
      </c>
    </row>
    <row r="13" spans="1:3" ht="22.9" customHeight="1">
      <c r="A13" s="140" t="s">
        <v>391</v>
      </c>
      <c r="B13" s="141">
        <f>SUM(B14:B15)</f>
        <v>8342</v>
      </c>
    </row>
    <row r="14" spans="1:3">
      <c r="A14" s="63" t="s">
        <v>320</v>
      </c>
      <c r="B14" s="142">
        <f>'прил12(ведом 20)'!M217</f>
        <v>5250</v>
      </c>
    </row>
    <row r="15" spans="1:3" ht="37.5">
      <c r="A15" s="74" t="s">
        <v>787</v>
      </c>
      <c r="B15" s="142">
        <f>'прил12(ведом 20)'!M98+'прил12(ведом 20)'!M100++'прил12(ведом 20)'!M108</f>
        <v>3092</v>
      </c>
    </row>
    <row r="18" spans="1:8" s="41" customFormat="1">
      <c r="A18" s="124" t="s">
        <v>497</v>
      </c>
      <c r="B18" s="43"/>
      <c r="C18" s="44"/>
      <c r="D18" s="44"/>
      <c r="E18" s="44"/>
      <c r="F18" s="45"/>
      <c r="G18" s="46"/>
      <c r="H18" s="42"/>
    </row>
    <row r="19" spans="1:8" s="41" customFormat="1">
      <c r="A19" s="124" t="s">
        <v>498</v>
      </c>
      <c r="B19" s="43"/>
      <c r="C19" s="44"/>
      <c r="D19" s="44"/>
      <c r="E19" s="44"/>
      <c r="F19" s="45"/>
      <c r="G19" s="46"/>
      <c r="H19" s="42"/>
    </row>
    <row r="20" spans="1:8" s="41" customFormat="1">
      <c r="A20" s="125" t="s">
        <v>499</v>
      </c>
      <c r="B20" s="40" t="s">
        <v>534</v>
      </c>
      <c r="D20" s="44"/>
      <c r="E20" s="44"/>
      <c r="F20" s="45"/>
    </row>
  </sheetData>
  <mergeCells count="1">
    <mergeCell ref="A8:B8"/>
  </mergeCells>
  <printOptions horizontalCentered="1"/>
  <pageMargins left="1.1811023622047245" right="0.39370078740157483" top="0.78740157480314965" bottom="0.78740157480314965" header="0.31496062992125984" footer="0.31496062992125984"/>
  <pageSetup paperSize="9" scale="93" fitToHeight="0" orientation="portrait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H21"/>
  <sheetViews>
    <sheetView workbookViewId="0">
      <selection activeCell="C2" sqref="C2"/>
    </sheetView>
  </sheetViews>
  <sheetFormatPr defaultColWidth="8.85546875" defaultRowHeight="18.75"/>
  <cols>
    <col min="1" max="1" width="73.7109375" style="73" customWidth="1"/>
    <col min="2" max="2" width="14.85546875" style="73" customWidth="1"/>
    <col min="3" max="3" width="14.28515625" style="73" customWidth="1"/>
    <col min="4" max="16384" width="8.85546875" style="73"/>
  </cols>
  <sheetData>
    <row r="1" spans="1:3">
      <c r="C1" s="56" t="s">
        <v>450</v>
      </c>
    </row>
    <row r="2" spans="1:3">
      <c r="C2" s="255" t="s">
        <v>937</v>
      </c>
    </row>
    <row r="4" spans="1:3">
      <c r="C4" s="56" t="s">
        <v>450</v>
      </c>
    </row>
    <row r="5" spans="1:3">
      <c r="C5" s="1" t="s">
        <v>884</v>
      </c>
    </row>
    <row r="8" spans="1:3" ht="42.6" customHeight="1">
      <c r="A8" s="838" t="s">
        <v>687</v>
      </c>
      <c r="B8" s="838"/>
      <c r="C8" s="838"/>
    </row>
    <row r="9" spans="1:3" ht="16.899999999999999" customHeight="1">
      <c r="A9" s="126"/>
      <c r="B9" s="126"/>
      <c r="C9" s="139"/>
    </row>
    <row r="10" spans="1:3">
      <c r="C10" s="1" t="s">
        <v>46</v>
      </c>
    </row>
    <row r="11" spans="1:3">
      <c r="A11" s="840" t="s">
        <v>319</v>
      </c>
      <c r="B11" s="839" t="s">
        <v>37</v>
      </c>
      <c r="C11" s="839"/>
    </row>
    <row r="12" spans="1:3" ht="23.45" customHeight="1">
      <c r="A12" s="841"/>
      <c r="B12" s="61" t="s">
        <v>594</v>
      </c>
      <c r="C12" s="61" t="s">
        <v>622</v>
      </c>
    </row>
    <row r="13" spans="1:3">
      <c r="A13" s="102">
        <v>1</v>
      </c>
      <c r="B13" s="102">
        <v>2</v>
      </c>
      <c r="C13" s="102">
        <v>3</v>
      </c>
    </row>
    <row r="14" spans="1:3" ht="18" customHeight="1">
      <c r="A14" s="140" t="s">
        <v>391</v>
      </c>
      <c r="B14" s="141">
        <f>SUM(B15:B16)</f>
        <v>8206.9</v>
      </c>
      <c r="C14" s="141">
        <f>SUM(C15:C16)</f>
        <v>5250</v>
      </c>
    </row>
    <row r="15" spans="1:3">
      <c r="A15" s="63" t="s">
        <v>320</v>
      </c>
      <c r="B15" s="142">
        <f>'прил13(ведом 21-22)'!M142</f>
        <v>5250</v>
      </c>
      <c r="C15" s="142">
        <f>'прил13(ведом 21-22)'!N142</f>
        <v>5250</v>
      </c>
    </row>
    <row r="16" spans="1:3" ht="37.5">
      <c r="A16" s="74" t="s">
        <v>787</v>
      </c>
      <c r="B16" s="142">
        <f>'прил13(ведом 21-22)'!M69</f>
        <v>2956.9</v>
      </c>
      <c r="C16" s="142">
        <f>'прил13(ведом 21-22)'!N69</f>
        <v>0</v>
      </c>
    </row>
    <row r="17" spans="1:8">
      <c r="A17" s="6"/>
      <c r="B17" s="249"/>
    </row>
    <row r="19" spans="1:8" s="41" customFormat="1">
      <c r="A19" s="124" t="s">
        <v>497</v>
      </c>
      <c r="B19" s="43"/>
      <c r="C19" s="44"/>
      <c r="D19" s="44"/>
      <c r="E19" s="44"/>
      <c r="F19" s="45"/>
      <c r="G19" s="46"/>
      <c r="H19" s="42"/>
    </row>
    <row r="20" spans="1:8" s="41" customFormat="1">
      <c r="A20" s="124" t="s">
        <v>498</v>
      </c>
      <c r="B20" s="43"/>
      <c r="C20" s="44"/>
      <c r="D20" s="44"/>
      <c r="E20" s="44"/>
      <c r="F20" s="45"/>
      <c r="G20" s="46"/>
      <c r="H20" s="42"/>
    </row>
    <row r="21" spans="1:8" s="41" customFormat="1">
      <c r="A21" s="125" t="s">
        <v>499</v>
      </c>
      <c r="C21" s="40" t="s">
        <v>534</v>
      </c>
      <c r="D21" s="44"/>
      <c r="E21" s="44"/>
      <c r="F21" s="45"/>
    </row>
  </sheetData>
  <mergeCells count="3">
    <mergeCell ref="A8:C8"/>
    <mergeCell ref="B11:C11"/>
    <mergeCell ref="A11:A12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blackAndWhite="1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J34"/>
  <sheetViews>
    <sheetView workbookViewId="0">
      <selection activeCell="F3" sqref="F3"/>
    </sheetView>
  </sheetViews>
  <sheetFormatPr defaultColWidth="8.85546875" defaultRowHeight="12.75"/>
  <cols>
    <col min="1" max="1" width="7.42578125" style="138" customWidth="1"/>
    <col min="2" max="3" width="8.85546875" style="138"/>
    <col min="4" max="4" width="6.5703125" style="138" customWidth="1"/>
    <col min="5" max="5" width="37.42578125" style="138" customWidth="1"/>
    <col min="6" max="6" width="15.28515625" style="138" customWidth="1"/>
    <col min="7" max="7" width="9.5703125" style="138" bestFit="1" customWidth="1"/>
    <col min="8" max="8" width="9.85546875" style="138" customWidth="1"/>
    <col min="9" max="9" width="8.85546875" style="138"/>
    <col min="10" max="10" width="11.85546875" style="138" bestFit="1" customWidth="1"/>
    <col min="11" max="16384" width="8.85546875" style="138"/>
  </cols>
  <sheetData>
    <row r="1" spans="1:10" ht="18" customHeight="1">
      <c r="F1" s="7" t="s">
        <v>451</v>
      </c>
    </row>
    <row r="2" spans="1:10" ht="16.149999999999999" customHeight="1">
      <c r="F2" s="1" t="s">
        <v>884</v>
      </c>
    </row>
    <row r="3" spans="1:10" ht="18" customHeight="1"/>
    <row r="4" spans="1:10" s="13" customFormat="1" ht="18.75">
      <c r="F4" s="15"/>
    </row>
    <row r="5" spans="1:10" s="13" customFormat="1" ht="40.15" customHeight="1">
      <c r="A5" s="842" t="s">
        <v>796</v>
      </c>
      <c r="B5" s="842"/>
      <c r="C5" s="842"/>
      <c r="D5" s="842"/>
      <c r="E5" s="842"/>
      <c r="F5" s="842"/>
    </row>
    <row r="6" spans="1:10" s="13" customFormat="1" ht="18.75"/>
    <row r="7" spans="1:10" s="13" customFormat="1" ht="18.75">
      <c r="F7" s="55" t="s">
        <v>278</v>
      </c>
    </row>
    <row r="8" spans="1:10" s="13" customFormat="1" ht="43.5" customHeight="1">
      <c r="A8" s="134" t="s">
        <v>198</v>
      </c>
      <c r="B8" s="843" t="s">
        <v>160</v>
      </c>
      <c r="C8" s="844"/>
      <c r="D8" s="844"/>
      <c r="E8" s="845"/>
      <c r="F8" s="78" t="s">
        <v>37</v>
      </c>
      <c r="G8" s="79"/>
      <c r="H8" s="79"/>
      <c r="I8" s="79"/>
      <c r="J8" s="80"/>
    </row>
    <row r="9" spans="1:10" s="13" customFormat="1" ht="16.899999999999999" customHeight="1">
      <c r="A9" s="134">
        <v>1</v>
      </c>
      <c r="B9" s="843">
        <v>2</v>
      </c>
      <c r="C9" s="849"/>
      <c r="D9" s="849"/>
      <c r="E9" s="850"/>
      <c r="F9" s="78">
        <v>3</v>
      </c>
      <c r="G9" s="79"/>
      <c r="H9" s="79"/>
      <c r="I9" s="79"/>
      <c r="J9" s="80"/>
    </row>
    <row r="10" spans="1:10" s="13" customFormat="1" ht="18.75">
      <c r="A10" s="18">
        <v>1</v>
      </c>
      <c r="B10" s="81" t="s">
        <v>688</v>
      </c>
      <c r="C10" s="81"/>
      <c r="D10" s="81"/>
      <c r="E10" s="81"/>
      <c r="F10" s="82">
        <v>1072.3</v>
      </c>
      <c r="G10" s="79"/>
      <c r="H10" s="79"/>
      <c r="I10" s="79"/>
      <c r="J10" s="83"/>
    </row>
    <row r="11" spans="1:10" s="13" customFormat="1" ht="18.75">
      <c r="A11" s="18">
        <v>2</v>
      </c>
      <c r="B11" s="81" t="s">
        <v>299</v>
      </c>
      <c r="C11" s="81"/>
      <c r="D11" s="81"/>
      <c r="E11" s="81"/>
      <c r="F11" s="82">
        <v>1011.7</v>
      </c>
      <c r="G11" s="79"/>
      <c r="H11" s="79"/>
      <c r="I11" s="79"/>
      <c r="J11" s="83"/>
    </row>
    <row r="12" spans="1:10" s="13" customFormat="1" ht="18.75">
      <c r="A12" s="18">
        <v>3</v>
      </c>
      <c r="B12" s="81" t="s">
        <v>300</v>
      </c>
      <c r="C12" s="81"/>
      <c r="D12" s="81"/>
      <c r="E12" s="81"/>
      <c r="F12" s="82">
        <v>152.1</v>
      </c>
      <c r="G12" s="79"/>
      <c r="H12" s="79"/>
      <c r="I12" s="79"/>
      <c r="J12" s="83"/>
    </row>
    <row r="13" spans="1:10" s="13" customFormat="1" ht="18.75">
      <c r="A13" s="18">
        <v>4</v>
      </c>
      <c r="B13" s="81" t="s">
        <v>301</v>
      </c>
      <c r="C13" s="81"/>
      <c r="D13" s="81"/>
      <c r="E13" s="81"/>
      <c r="F13" s="82">
        <v>636.79999999999995</v>
      </c>
      <c r="G13" s="79"/>
      <c r="H13" s="79"/>
      <c r="I13" s="79"/>
      <c r="J13" s="83"/>
    </row>
    <row r="14" spans="1:10" s="13" customFormat="1" ht="18.75">
      <c r="A14" s="18">
        <v>5</v>
      </c>
      <c r="B14" s="81" t="s">
        <v>397</v>
      </c>
      <c r="C14" s="81"/>
      <c r="D14" s="81"/>
      <c r="E14" s="81"/>
      <c r="F14" s="82">
        <v>561.6</v>
      </c>
      <c r="G14" s="79"/>
      <c r="H14" s="79"/>
      <c r="I14" s="79"/>
      <c r="J14" s="83"/>
    </row>
    <row r="15" spans="1:10" s="13" customFormat="1" ht="18.75">
      <c r="A15" s="18">
        <v>6</v>
      </c>
      <c r="B15" s="81" t="s">
        <v>302</v>
      </c>
      <c r="C15" s="81"/>
      <c r="D15" s="81"/>
      <c r="E15" s="81"/>
      <c r="F15" s="82">
        <v>289.7</v>
      </c>
      <c r="G15" s="79"/>
      <c r="H15" s="79"/>
      <c r="I15" s="79"/>
      <c r="J15" s="83"/>
    </row>
    <row r="16" spans="1:10" s="13" customFormat="1" ht="18.75">
      <c r="A16" s="18">
        <v>7</v>
      </c>
      <c r="B16" s="81" t="s">
        <v>303</v>
      </c>
      <c r="C16" s="81"/>
      <c r="D16" s="81"/>
      <c r="E16" s="81"/>
      <c r="F16" s="82">
        <v>219.4</v>
      </c>
      <c r="G16" s="79"/>
      <c r="H16" s="79"/>
      <c r="I16" s="79"/>
      <c r="J16" s="83"/>
    </row>
    <row r="17" spans="1:10" s="13" customFormat="1" ht="18.75">
      <c r="A17" s="18">
        <v>8</v>
      </c>
      <c r="B17" s="81" t="s">
        <v>304</v>
      </c>
      <c r="C17" s="81"/>
      <c r="D17" s="81"/>
      <c r="E17" s="81"/>
      <c r="F17" s="82">
        <v>318.7</v>
      </c>
      <c r="G17" s="79"/>
      <c r="H17" s="79"/>
      <c r="I17" s="79"/>
      <c r="J17" s="83"/>
    </row>
    <row r="18" spans="1:10" s="13" customFormat="1" ht="18.75">
      <c r="A18" s="18">
        <v>9</v>
      </c>
      <c r="B18" s="81" t="s">
        <v>305</v>
      </c>
      <c r="C18" s="81"/>
      <c r="D18" s="81"/>
      <c r="E18" s="81"/>
      <c r="F18" s="82">
        <v>610.79999999999995</v>
      </c>
      <c r="G18" s="79"/>
      <c r="H18" s="79"/>
      <c r="I18" s="79"/>
      <c r="J18" s="83"/>
    </row>
    <row r="19" spans="1:10" s="13" customFormat="1" ht="18.75">
      <c r="A19" s="18">
        <v>10</v>
      </c>
      <c r="B19" s="81" t="s">
        <v>306</v>
      </c>
      <c r="C19" s="81"/>
      <c r="D19" s="81"/>
      <c r="E19" s="81"/>
      <c r="F19" s="82">
        <v>376.9</v>
      </c>
      <c r="G19" s="79"/>
      <c r="H19" s="79"/>
      <c r="I19" s="79"/>
      <c r="J19" s="83"/>
    </row>
    <row r="20" spans="1:10" s="13" customFormat="1" ht="26.45" customHeight="1">
      <c r="A20" s="81"/>
      <c r="B20" s="846" t="s">
        <v>391</v>
      </c>
      <c r="C20" s="847"/>
      <c r="D20" s="847"/>
      <c r="E20" s="848"/>
      <c r="F20" s="84">
        <f>SUM(F10:F19)</f>
        <v>5249.9999999999991</v>
      </c>
      <c r="G20" s="79"/>
      <c r="H20" s="79"/>
      <c r="I20" s="79"/>
      <c r="J20" s="85"/>
    </row>
    <row r="21" spans="1:10" s="13" customFormat="1" ht="18.75">
      <c r="F21" s="15"/>
    </row>
    <row r="22" spans="1:10" s="13" customFormat="1" ht="18.75">
      <c r="F22" s="15"/>
    </row>
    <row r="23" spans="1:10" s="41" customFormat="1" ht="18.75">
      <c r="A23" s="124" t="s">
        <v>497</v>
      </c>
      <c r="B23" s="43"/>
      <c r="C23" s="44"/>
      <c r="D23" s="44"/>
      <c r="E23" s="44"/>
      <c r="F23" s="45"/>
      <c r="G23" s="46"/>
      <c r="H23" s="42"/>
    </row>
    <row r="24" spans="1:10" s="41" customFormat="1" ht="18.75">
      <c r="A24" s="124" t="s">
        <v>498</v>
      </c>
      <c r="B24" s="43"/>
      <c r="C24" s="44"/>
      <c r="D24" s="44"/>
      <c r="E24" s="44"/>
      <c r="F24" s="45"/>
      <c r="G24" s="46"/>
      <c r="H24" s="42"/>
    </row>
    <row r="25" spans="1:10" s="41" customFormat="1" ht="18.75">
      <c r="A25" s="125" t="s">
        <v>499</v>
      </c>
      <c r="D25" s="44"/>
      <c r="E25" s="44"/>
      <c r="F25" s="40" t="s">
        <v>534</v>
      </c>
    </row>
    <row r="26" spans="1:10" s="13" customFormat="1" ht="18.75">
      <c r="F26" s="15"/>
    </row>
    <row r="27" spans="1:10" s="13" customFormat="1" ht="18.75">
      <c r="F27" s="15"/>
    </row>
    <row r="28" spans="1:10" s="13" customFormat="1" ht="18.75">
      <c r="F28" s="15"/>
    </row>
    <row r="29" spans="1:10" s="13" customFormat="1" ht="18.75">
      <c r="F29" s="15"/>
    </row>
    <row r="30" spans="1:10" s="13" customFormat="1" ht="18.75">
      <c r="F30" s="86"/>
    </row>
    <row r="31" spans="1:10" s="13" customFormat="1" ht="18.75">
      <c r="F31" s="15"/>
    </row>
    <row r="32" spans="1:10" s="13" customFormat="1" ht="18.75">
      <c r="F32" s="15"/>
    </row>
    <row r="33" spans="1:6" s="13" customFormat="1" ht="18.75">
      <c r="A33" s="11"/>
      <c r="B33" s="11"/>
      <c r="C33" s="11"/>
      <c r="D33" s="11"/>
      <c r="F33" s="15"/>
    </row>
    <row r="34" spans="1:6" s="13" customFormat="1" ht="18.75">
      <c r="A34" s="11"/>
      <c r="B34" s="11"/>
      <c r="C34" s="11"/>
      <c r="D34" s="11"/>
      <c r="F34" s="55"/>
    </row>
  </sheetData>
  <mergeCells count="4">
    <mergeCell ref="A5:F5"/>
    <mergeCell ref="B8:E8"/>
    <mergeCell ref="B20:E20"/>
    <mergeCell ref="B9:E9"/>
  </mergeCells>
  <printOptions horizontalCentered="1"/>
  <pageMargins left="1.1811023622047245" right="0.39370078740157483" top="0.78740157480314965" bottom="0.78740157480314965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J35"/>
  <sheetViews>
    <sheetView tabSelected="1" workbookViewId="0">
      <selection activeCell="B44" sqref="B44"/>
    </sheetView>
  </sheetViews>
  <sheetFormatPr defaultColWidth="8.85546875" defaultRowHeight="12.75"/>
  <cols>
    <col min="1" max="1" width="7.42578125" style="138" customWidth="1"/>
    <col min="2" max="3" width="8.85546875" style="138"/>
    <col min="4" max="4" width="6.5703125" style="138" customWidth="1"/>
    <col min="5" max="5" width="24.7109375" style="138" customWidth="1"/>
    <col min="6" max="6" width="14.28515625" style="138" customWidth="1"/>
    <col min="7" max="7" width="13.5703125" style="138" customWidth="1"/>
    <col min="8" max="8" width="9.85546875" style="138" customWidth="1"/>
    <col min="9" max="9" width="8.85546875" style="138"/>
    <col min="10" max="10" width="11.85546875" style="138" bestFit="1" customWidth="1"/>
    <col min="11" max="16384" width="8.85546875" style="138"/>
  </cols>
  <sheetData>
    <row r="1" spans="1:10" ht="18" customHeight="1">
      <c r="G1" s="7" t="s">
        <v>615</v>
      </c>
    </row>
    <row r="2" spans="1:10" ht="16.149999999999999" customHeight="1">
      <c r="G2" s="1" t="s">
        <v>884</v>
      </c>
    </row>
    <row r="3" spans="1:10" ht="18" customHeight="1"/>
    <row r="4" spans="1:10" s="13" customFormat="1" ht="18.75">
      <c r="F4" s="15"/>
    </row>
    <row r="5" spans="1:10" s="13" customFormat="1" ht="54.6" customHeight="1">
      <c r="A5" s="842" t="s">
        <v>797</v>
      </c>
      <c r="B5" s="842"/>
      <c r="C5" s="842"/>
      <c r="D5" s="842"/>
      <c r="E5" s="842"/>
      <c r="F5" s="842"/>
      <c r="G5" s="842"/>
    </row>
    <row r="6" spans="1:10" s="13" customFormat="1" ht="18.75"/>
    <row r="7" spans="1:10" s="13" customFormat="1" ht="18.75">
      <c r="G7" s="55" t="s">
        <v>278</v>
      </c>
    </row>
    <row r="8" spans="1:10" s="13" customFormat="1" ht="18.75">
      <c r="A8" s="851" t="s">
        <v>198</v>
      </c>
      <c r="B8" s="851" t="s">
        <v>160</v>
      </c>
      <c r="C8" s="851"/>
      <c r="D8" s="851"/>
      <c r="E8" s="851"/>
      <c r="F8" s="839" t="s">
        <v>37</v>
      </c>
      <c r="G8" s="839"/>
    </row>
    <row r="9" spans="1:10" s="13" customFormat="1" ht="27.6" customHeight="1">
      <c r="A9" s="851"/>
      <c r="B9" s="851"/>
      <c r="C9" s="851"/>
      <c r="D9" s="851"/>
      <c r="E9" s="851"/>
      <c r="F9" s="61" t="s">
        <v>594</v>
      </c>
      <c r="G9" s="61" t="s">
        <v>622</v>
      </c>
      <c r="H9" s="79"/>
      <c r="I9" s="79"/>
      <c r="J9" s="80"/>
    </row>
    <row r="10" spans="1:10" s="13" customFormat="1" ht="16.899999999999999" customHeight="1">
      <c r="A10" s="134">
        <v>1</v>
      </c>
      <c r="B10" s="843">
        <v>2</v>
      </c>
      <c r="C10" s="849"/>
      <c r="D10" s="849"/>
      <c r="E10" s="850"/>
      <c r="F10" s="78">
        <v>3</v>
      </c>
      <c r="G10" s="78">
        <v>4</v>
      </c>
      <c r="H10" s="79"/>
      <c r="I10" s="79"/>
      <c r="J10" s="80"/>
    </row>
    <row r="11" spans="1:10" s="13" customFormat="1" ht="18.75">
      <c r="A11" s="18">
        <v>1</v>
      </c>
      <c r="B11" s="81" t="s">
        <v>688</v>
      </c>
      <c r="C11" s="81"/>
      <c r="D11" s="81"/>
      <c r="E11" s="81"/>
      <c r="F11" s="82">
        <v>158</v>
      </c>
      <c r="G11" s="82">
        <v>907.1</v>
      </c>
      <c r="H11" s="79"/>
      <c r="I11" s="79"/>
      <c r="J11" s="83"/>
    </row>
    <row r="12" spans="1:10" s="13" customFormat="1" ht="18.75">
      <c r="A12" s="18">
        <v>2</v>
      </c>
      <c r="B12" s="81" t="s">
        <v>299</v>
      </c>
      <c r="C12" s="81"/>
      <c r="D12" s="81"/>
      <c r="E12" s="81"/>
      <c r="F12" s="82">
        <v>1192</v>
      </c>
      <c r="G12" s="82">
        <v>1063.4000000000001</v>
      </c>
      <c r="H12" s="79"/>
      <c r="I12" s="79"/>
      <c r="J12" s="83"/>
    </row>
    <row r="13" spans="1:10" s="13" customFormat="1" ht="18.75">
      <c r="A13" s="18">
        <v>3</v>
      </c>
      <c r="B13" s="81" t="s">
        <v>300</v>
      </c>
      <c r="C13" s="81"/>
      <c r="D13" s="81"/>
      <c r="E13" s="81"/>
      <c r="F13" s="82">
        <v>444.9</v>
      </c>
      <c r="G13" s="82">
        <v>312.39999999999998</v>
      </c>
      <c r="H13" s="79"/>
      <c r="I13" s="79"/>
      <c r="J13" s="83"/>
    </row>
    <row r="14" spans="1:10" s="13" customFormat="1" ht="18.75">
      <c r="A14" s="18">
        <v>4</v>
      </c>
      <c r="B14" s="81" t="s">
        <v>301</v>
      </c>
      <c r="C14" s="81"/>
      <c r="D14" s="81"/>
      <c r="E14" s="81"/>
      <c r="F14" s="82">
        <v>841.6</v>
      </c>
      <c r="G14" s="82">
        <v>703.5</v>
      </c>
      <c r="H14" s="79"/>
      <c r="I14" s="79"/>
      <c r="J14" s="83"/>
    </row>
    <row r="15" spans="1:10" s="13" customFormat="1" ht="18.75">
      <c r="A15" s="18">
        <v>5</v>
      </c>
      <c r="B15" s="81" t="s">
        <v>397</v>
      </c>
      <c r="C15" s="81"/>
      <c r="D15" s="81"/>
      <c r="E15" s="81"/>
      <c r="F15" s="82">
        <v>440.8</v>
      </c>
      <c r="G15" s="82">
        <v>394</v>
      </c>
      <c r="H15" s="79"/>
      <c r="I15" s="79"/>
      <c r="J15" s="83"/>
    </row>
    <row r="16" spans="1:10" s="13" customFormat="1" ht="18.75">
      <c r="A16" s="18">
        <v>6</v>
      </c>
      <c r="B16" s="81" t="s">
        <v>302</v>
      </c>
      <c r="C16" s="81"/>
      <c r="D16" s="81"/>
      <c r="E16" s="81"/>
      <c r="F16" s="82">
        <v>169.2</v>
      </c>
      <c r="G16" s="82">
        <v>234.8</v>
      </c>
      <c r="H16" s="79"/>
      <c r="I16" s="79"/>
      <c r="J16" s="83"/>
    </row>
    <row r="17" spans="1:10" s="13" customFormat="1" ht="18.75">
      <c r="A17" s="18">
        <v>7</v>
      </c>
      <c r="B17" s="81" t="s">
        <v>303</v>
      </c>
      <c r="C17" s="81"/>
      <c r="D17" s="81"/>
      <c r="E17" s="81"/>
      <c r="F17" s="82">
        <v>327</v>
      </c>
      <c r="G17" s="82">
        <v>249</v>
      </c>
      <c r="H17" s="79"/>
      <c r="I17" s="79"/>
      <c r="J17" s="83"/>
    </row>
    <row r="18" spans="1:10" s="13" customFormat="1" ht="18.75">
      <c r="A18" s="18">
        <v>8</v>
      </c>
      <c r="B18" s="81" t="s">
        <v>304</v>
      </c>
      <c r="C18" s="81"/>
      <c r="D18" s="81"/>
      <c r="E18" s="81"/>
      <c r="F18" s="82">
        <v>378.5</v>
      </c>
      <c r="G18" s="82">
        <v>337.8</v>
      </c>
      <c r="H18" s="79"/>
      <c r="I18" s="79"/>
      <c r="J18" s="83"/>
    </row>
    <row r="19" spans="1:10" s="13" customFormat="1" ht="18.75">
      <c r="A19" s="18">
        <v>9</v>
      </c>
      <c r="B19" s="81" t="s">
        <v>305</v>
      </c>
      <c r="C19" s="81"/>
      <c r="D19" s="81"/>
      <c r="E19" s="81"/>
      <c r="F19" s="82">
        <v>796.1</v>
      </c>
      <c r="G19" s="82">
        <v>645.29999999999995</v>
      </c>
      <c r="H19" s="79"/>
      <c r="I19" s="79"/>
      <c r="J19" s="83"/>
    </row>
    <row r="20" spans="1:10" s="13" customFormat="1" ht="18.75">
      <c r="A20" s="18">
        <v>10</v>
      </c>
      <c r="B20" s="81" t="s">
        <v>306</v>
      </c>
      <c r="C20" s="81"/>
      <c r="D20" s="81"/>
      <c r="E20" s="81"/>
      <c r="F20" s="82">
        <v>501.9</v>
      </c>
      <c r="G20" s="82">
        <v>402.7</v>
      </c>
      <c r="H20" s="79"/>
      <c r="I20" s="79"/>
      <c r="J20" s="83"/>
    </row>
    <row r="21" spans="1:10" s="13" customFormat="1" ht="26.45" customHeight="1">
      <c r="A21" s="81"/>
      <c r="B21" s="846" t="s">
        <v>391</v>
      </c>
      <c r="C21" s="847"/>
      <c r="D21" s="847"/>
      <c r="E21" s="848"/>
      <c r="F21" s="84">
        <f>SUM(F11:F20)</f>
        <v>5250</v>
      </c>
      <c r="G21" s="84">
        <f>SUM(G11:G20)</f>
        <v>5250</v>
      </c>
      <c r="H21" s="79"/>
      <c r="I21" s="79"/>
      <c r="J21" s="85"/>
    </row>
    <row r="22" spans="1:10" s="13" customFormat="1" ht="18.75">
      <c r="F22" s="15"/>
    </row>
    <row r="23" spans="1:10" s="13" customFormat="1" ht="18.75">
      <c r="F23" s="15"/>
    </row>
    <row r="24" spans="1:10" s="41" customFormat="1" ht="18.75">
      <c r="A24" s="124" t="s">
        <v>497</v>
      </c>
      <c r="B24" s="43"/>
      <c r="C24" s="44"/>
      <c r="D24" s="44"/>
      <c r="E24" s="44"/>
      <c r="F24" s="45"/>
      <c r="G24" s="46"/>
      <c r="H24" s="42"/>
    </row>
    <row r="25" spans="1:10" s="41" customFormat="1" ht="18.75">
      <c r="A25" s="124" t="s">
        <v>498</v>
      </c>
      <c r="B25" s="43"/>
      <c r="C25" s="44"/>
      <c r="D25" s="44"/>
      <c r="E25" s="44"/>
      <c r="F25" s="45"/>
      <c r="G25" s="46"/>
      <c r="H25" s="42"/>
    </row>
    <row r="26" spans="1:10" s="41" customFormat="1" ht="18.75">
      <c r="A26" s="125" t="s">
        <v>499</v>
      </c>
      <c r="D26" s="44"/>
      <c r="E26" s="44"/>
      <c r="G26" s="40" t="s">
        <v>534</v>
      </c>
    </row>
    <row r="27" spans="1:10" s="13" customFormat="1" ht="18.75">
      <c r="F27" s="15"/>
    </row>
    <row r="28" spans="1:10" s="13" customFormat="1" ht="18.75">
      <c r="F28" s="15"/>
    </row>
    <row r="29" spans="1:10" s="13" customFormat="1" ht="18.75">
      <c r="F29" s="15"/>
    </row>
    <row r="30" spans="1:10" s="13" customFormat="1" ht="18.75">
      <c r="F30" s="15"/>
    </row>
    <row r="31" spans="1:10" s="13" customFormat="1" ht="18.75">
      <c r="F31" s="86"/>
    </row>
    <row r="32" spans="1:10" s="13" customFormat="1" ht="18.75">
      <c r="F32" s="15"/>
    </row>
    <row r="33" spans="1:6" s="13" customFormat="1" ht="18.75">
      <c r="F33" s="15"/>
    </row>
    <row r="34" spans="1:6" s="13" customFormat="1" ht="18.75">
      <c r="A34" s="11"/>
      <c r="B34" s="11"/>
      <c r="C34" s="11"/>
      <c r="D34" s="11"/>
      <c r="F34" s="15"/>
    </row>
    <row r="35" spans="1:6" s="13" customFormat="1" ht="18.75">
      <c r="A35" s="11"/>
      <c r="B35" s="11"/>
      <c r="C35" s="11"/>
      <c r="D35" s="11"/>
      <c r="F35" s="55"/>
    </row>
  </sheetData>
  <mergeCells count="6">
    <mergeCell ref="B10:E10"/>
    <mergeCell ref="B21:E21"/>
    <mergeCell ref="A5:G5"/>
    <mergeCell ref="F8:G8"/>
    <mergeCell ref="A8:A9"/>
    <mergeCell ref="B8:E9"/>
  </mergeCells>
  <printOptions horizontalCentered="1"/>
  <pageMargins left="1.1811023622047245" right="0.39370078740157483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132"/>
  <sheetViews>
    <sheetView zoomScaleSheetLayoutView="75" workbookViewId="0">
      <selection activeCell="C2" sqref="C2"/>
    </sheetView>
  </sheetViews>
  <sheetFormatPr defaultColWidth="9.140625" defaultRowHeight="18.75"/>
  <cols>
    <col min="1" max="1" width="27.140625" style="5" customWidth="1"/>
    <col min="2" max="2" width="60.140625" style="6" customWidth="1"/>
    <col min="3" max="3" width="15.5703125" style="601" customWidth="1"/>
    <col min="4" max="16384" width="9.140625" style="5"/>
  </cols>
  <sheetData>
    <row r="1" spans="1:5">
      <c r="C1" s="255" t="s">
        <v>398</v>
      </c>
    </row>
    <row r="2" spans="1:5">
      <c r="C2" s="76" t="s">
        <v>936</v>
      </c>
    </row>
    <row r="4" spans="1:5">
      <c r="C4" s="255" t="s">
        <v>398</v>
      </c>
    </row>
    <row r="5" spans="1:5">
      <c r="C5" s="1" t="s">
        <v>884</v>
      </c>
    </row>
    <row r="8" spans="1:5" ht="36" customHeight="1">
      <c r="A8" s="777" t="s">
        <v>681</v>
      </c>
      <c r="B8" s="777"/>
      <c r="C8" s="777"/>
    </row>
    <row r="10" spans="1:5">
      <c r="C10" s="595" t="s">
        <v>46</v>
      </c>
    </row>
    <row r="11" spans="1:5" ht="20.45" customHeight="1">
      <c r="A11" s="127" t="s">
        <v>35</v>
      </c>
      <c r="B11" s="128" t="s">
        <v>36</v>
      </c>
      <c r="C11" s="596" t="s">
        <v>37</v>
      </c>
    </row>
    <row r="12" spans="1:5">
      <c r="A12" s="127">
        <v>1</v>
      </c>
      <c r="B12" s="128">
        <v>2</v>
      </c>
      <c r="C12" s="597">
        <v>3</v>
      </c>
    </row>
    <row r="13" spans="1:5">
      <c r="A13" s="312" t="s">
        <v>169</v>
      </c>
      <c r="B13" s="313" t="s">
        <v>170</v>
      </c>
      <c r="C13" s="314">
        <f>SUM(C14:C31)</f>
        <v>410816.39999999997</v>
      </c>
      <c r="E13" s="75"/>
    </row>
    <row r="14" spans="1:5">
      <c r="A14" s="254" t="s">
        <v>171</v>
      </c>
      <c r="B14" s="286" t="s">
        <v>172</v>
      </c>
      <c r="C14" s="315">
        <v>3164.6</v>
      </c>
      <c r="E14" s="104"/>
    </row>
    <row r="15" spans="1:5">
      <c r="A15" s="272" t="s">
        <v>173</v>
      </c>
      <c r="B15" s="316" t="s">
        <v>174</v>
      </c>
      <c r="C15" s="315">
        <f>295502.4</f>
        <v>295502.40000000002</v>
      </c>
      <c r="E15" s="104"/>
    </row>
    <row r="16" spans="1:5" ht="132" customHeight="1">
      <c r="A16" s="251" t="s">
        <v>175</v>
      </c>
      <c r="B16" s="287" t="s">
        <v>505</v>
      </c>
      <c r="C16" s="315">
        <v>6113</v>
      </c>
      <c r="E16" s="104"/>
    </row>
    <row r="17" spans="1:5" ht="37.5">
      <c r="A17" s="254" t="s">
        <v>387</v>
      </c>
      <c r="B17" s="287" t="s">
        <v>388</v>
      </c>
      <c r="C17" s="315">
        <f>38552+700</f>
        <v>39252</v>
      </c>
      <c r="E17" s="104"/>
    </row>
    <row r="18" spans="1:5" ht="37.5">
      <c r="A18" s="254" t="s">
        <v>176</v>
      </c>
      <c r="B18" s="287" t="s">
        <v>416</v>
      </c>
      <c r="C18" s="315">
        <v>20050</v>
      </c>
      <c r="E18" s="104"/>
    </row>
    <row r="19" spans="1:5">
      <c r="A19" s="254" t="s">
        <v>177</v>
      </c>
      <c r="B19" s="316" t="s">
        <v>178</v>
      </c>
      <c r="C19" s="315">
        <v>240</v>
      </c>
      <c r="E19" s="104"/>
    </row>
    <row r="20" spans="1:5" ht="37.5">
      <c r="A20" s="254" t="s">
        <v>179</v>
      </c>
      <c r="B20" s="287" t="s">
        <v>180</v>
      </c>
      <c r="C20" s="315">
        <v>1000</v>
      </c>
      <c r="E20" s="104"/>
    </row>
    <row r="21" spans="1:5">
      <c r="A21" s="254" t="s">
        <v>761</v>
      </c>
      <c r="B21" s="287" t="s">
        <v>762</v>
      </c>
      <c r="C21" s="315">
        <v>1613.6</v>
      </c>
      <c r="E21" s="104"/>
    </row>
    <row r="22" spans="1:5">
      <c r="A22" s="254" t="s">
        <v>181</v>
      </c>
      <c r="B22" s="316" t="s">
        <v>182</v>
      </c>
      <c r="C22" s="315">
        <v>7370</v>
      </c>
      <c r="E22" s="104"/>
    </row>
    <row r="23" spans="1:5" ht="93.75">
      <c r="A23" s="254" t="s">
        <v>183</v>
      </c>
      <c r="B23" s="317" t="s">
        <v>184</v>
      </c>
      <c r="C23" s="315">
        <v>74</v>
      </c>
      <c r="E23" s="104"/>
    </row>
    <row r="24" spans="1:5" ht="112.5">
      <c r="A24" s="254" t="s">
        <v>185</v>
      </c>
      <c r="B24" s="287" t="s">
        <v>186</v>
      </c>
      <c r="C24" s="315">
        <f>19700+1000</f>
        <v>20700</v>
      </c>
      <c r="E24" s="104"/>
    </row>
    <row r="25" spans="1:5" ht="56.25">
      <c r="A25" s="254" t="s">
        <v>384</v>
      </c>
      <c r="B25" s="287" t="s">
        <v>22</v>
      </c>
      <c r="C25" s="315">
        <f>1090+796.8</f>
        <v>1886.8</v>
      </c>
      <c r="E25" s="104"/>
    </row>
    <row r="26" spans="1:5" ht="95.25" customHeight="1">
      <c r="A26" s="254" t="s">
        <v>187</v>
      </c>
      <c r="B26" s="287" t="s">
        <v>188</v>
      </c>
      <c r="C26" s="315">
        <v>17</v>
      </c>
      <c r="E26" s="104"/>
    </row>
    <row r="27" spans="1:5" ht="115.5" customHeight="1">
      <c r="A27" s="254" t="s">
        <v>445</v>
      </c>
      <c r="B27" s="287" t="s">
        <v>446</v>
      </c>
      <c r="C27" s="315">
        <v>235</v>
      </c>
      <c r="E27" s="104"/>
    </row>
    <row r="28" spans="1:5" ht="37.5">
      <c r="A28" s="254" t="s">
        <v>189</v>
      </c>
      <c r="B28" s="287" t="s">
        <v>190</v>
      </c>
      <c r="C28" s="315">
        <v>2127.3000000000002</v>
      </c>
      <c r="E28" s="104"/>
    </row>
    <row r="29" spans="1:5" ht="37.5">
      <c r="A29" s="254" t="s">
        <v>532</v>
      </c>
      <c r="B29" s="259" t="s">
        <v>606</v>
      </c>
      <c r="C29" s="315">
        <v>1220</v>
      </c>
      <c r="E29" s="104"/>
    </row>
    <row r="30" spans="1:5" ht="37.5">
      <c r="A30" s="254" t="s">
        <v>191</v>
      </c>
      <c r="B30" s="287" t="s">
        <v>192</v>
      </c>
      <c r="C30" s="315">
        <f>341+4821+230+3900+400</f>
        <v>9692</v>
      </c>
      <c r="E30" s="104"/>
    </row>
    <row r="31" spans="1:5" ht="22.5" customHeight="1">
      <c r="A31" s="251" t="s">
        <v>193</v>
      </c>
      <c r="B31" s="287" t="s">
        <v>194</v>
      </c>
      <c r="C31" s="315">
        <v>558.70000000000005</v>
      </c>
      <c r="E31" s="104"/>
    </row>
    <row r="32" spans="1:5">
      <c r="A32" s="93" t="s">
        <v>38</v>
      </c>
      <c r="B32" s="62" t="s">
        <v>389</v>
      </c>
      <c r="C32" s="598">
        <f>C33+C38</f>
        <v>1036302.43966</v>
      </c>
    </row>
    <row r="33" spans="1:8" ht="56.25">
      <c r="A33" s="17" t="s">
        <v>39</v>
      </c>
      <c r="B33" s="94" t="s">
        <v>40</v>
      </c>
      <c r="C33" s="599">
        <f>C34+C35+C36+C37</f>
        <v>1036109.5</v>
      </c>
    </row>
    <row r="34" spans="1:8" s="19" customFormat="1" ht="37.5">
      <c r="A34" s="17" t="s">
        <v>595</v>
      </c>
      <c r="B34" s="4" t="s">
        <v>437</v>
      </c>
      <c r="C34" s="599">
        <f>'прил.4 (пост.безв.20)'!C15</f>
        <v>175904.4</v>
      </c>
    </row>
    <row r="35" spans="1:8" s="19" customFormat="1" ht="36.6" customHeight="1">
      <c r="A35" s="2" t="s">
        <v>597</v>
      </c>
      <c r="B35" s="3" t="s">
        <v>381</v>
      </c>
      <c r="C35" s="599">
        <f>'прил.4 (пост.безв.20)'!C18</f>
        <v>47093.1</v>
      </c>
    </row>
    <row r="36" spans="1:8" ht="37.5">
      <c r="A36" s="57" t="s">
        <v>599</v>
      </c>
      <c r="B36" s="4" t="s">
        <v>436</v>
      </c>
      <c r="C36" s="599">
        <f>'прил.4 (пост.безв.20)'!C38</f>
        <v>810126</v>
      </c>
    </row>
    <row r="37" spans="1:8">
      <c r="A37" s="17" t="s">
        <v>621</v>
      </c>
      <c r="B37" s="94" t="s">
        <v>195</v>
      </c>
      <c r="C37" s="599">
        <f>'прил.6 (безв.от пос.20) (2)'!C13+'прил.4 (пост.безв.20)'!C77</f>
        <v>2986</v>
      </c>
    </row>
    <row r="38" spans="1:8" ht="77.45" customHeight="1">
      <c r="A38" s="673" t="s">
        <v>659</v>
      </c>
      <c r="B38" s="253" t="s">
        <v>484</v>
      </c>
      <c r="C38" s="599">
        <f>192.93966</f>
        <v>192.93966</v>
      </c>
    </row>
    <row r="39" spans="1:8">
      <c r="A39" s="59"/>
      <c r="B39" s="62" t="s">
        <v>196</v>
      </c>
      <c r="C39" s="600">
        <f>C32+C13</f>
        <v>1447118.8396600001</v>
      </c>
    </row>
    <row r="40" spans="1:8" ht="60.6" customHeight="1">
      <c r="A40" s="778" t="s">
        <v>390</v>
      </c>
      <c r="B40" s="778"/>
      <c r="C40" s="778"/>
    </row>
    <row r="41" spans="1:8">
      <c r="A41" s="11"/>
    </row>
    <row r="42" spans="1:8">
      <c r="A42" s="11"/>
    </row>
    <row r="43" spans="1:8" s="41" customFormat="1">
      <c r="A43" s="124" t="s">
        <v>497</v>
      </c>
      <c r="B43" s="43"/>
      <c r="C43" s="346"/>
      <c r="D43" s="44"/>
      <c r="E43" s="44"/>
      <c r="F43" s="45"/>
      <c r="G43" s="46"/>
      <c r="H43" s="42"/>
    </row>
    <row r="44" spans="1:8" s="41" customFormat="1">
      <c r="A44" s="124" t="s">
        <v>498</v>
      </c>
      <c r="B44" s="43"/>
      <c r="C44" s="346"/>
      <c r="D44" s="44"/>
      <c r="E44" s="44"/>
      <c r="F44" s="45"/>
      <c r="G44" s="46"/>
      <c r="H44" s="42"/>
    </row>
    <row r="45" spans="1:8" s="41" customFormat="1">
      <c r="A45" s="125" t="s">
        <v>499</v>
      </c>
      <c r="B45" s="43"/>
      <c r="C45" s="442" t="s">
        <v>534</v>
      </c>
      <c r="D45" s="44"/>
      <c r="E45" s="44"/>
      <c r="F45" s="45"/>
    </row>
    <row r="47" spans="1:8">
      <c r="B47" s="8"/>
      <c r="C47" s="602"/>
    </row>
    <row r="48" spans="1:8">
      <c r="B48" s="8"/>
      <c r="C48" s="602"/>
    </row>
    <row r="55" spans="2:3">
      <c r="B55" s="5"/>
      <c r="C55" s="603"/>
    </row>
    <row r="56" spans="2:3">
      <c r="B56" s="5"/>
      <c r="C56" s="603"/>
    </row>
    <row r="57" spans="2:3">
      <c r="B57" s="5"/>
      <c r="C57" s="603"/>
    </row>
    <row r="58" spans="2:3">
      <c r="B58" s="5"/>
      <c r="C58" s="603"/>
    </row>
    <row r="59" spans="2:3">
      <c r="B59" s="5"/>
      <c r="C59" s="603"/>
    </row>
    <row r="60" spans="2:3">
      <c r="B60" s="5"/>
      <c r="C60" s="603"/>
    </row>
    <row r="61" spans="2:3">
      <c r="B61" s="5"/>
      <c r="C61" s="603"/>
    </row>
    <row r="62" spans="2:3">
      <c r="B62" s="5"/>
      <c r="C62" s="603"/>
    </row>
    <row r="63" spans="2:3">
      <c r="B63" s="5"/>
      <c r="C63" s="603"/>
    </row>
    <row r="64" spans="2:3">
      <c r="B64" s="5"/>
      <c r="C64" s="603"/>
    </row>
    <row r="65" spans="2:3">
      <c r="B65" s="5"/>
      <c r="C65" s="603"/>
    </row>
    <row r="66" spans="2:3">
      <c r="B66" s="5"/>
      <c r="C66" s="603"/>
    </row>
    <row r="67" spans="2:3">
      <c r="B67" s="5"/>
      <c r="C67" s="603"/>
    </row>
    <row r="68" spans="2:3">
      <c r="B68" s="5"/>
      <c r="C68" s="603"/>
    </row>
    <row r="69" spans="2:3">
      <c r="B69" s="5"/>
      <c r="C69" s="603"/>
    </row>
    <row r="70" spans="2:3">
      <c r="B70" s="5"/>
      <c r="C70" s="603"/>
    </row>
    <row r="71" spans="2:3">
      <c r="B71" s="5"/>
      <c r="C71" s="603"/>
    </row>
    <row r="72" spans="2:3">
      <c r="B72" s="5"/>
      <c r="C72" s="603"/>
    </row>
    <row r="73" spans="2:3">
      <c r="B73" s="5"/>
      <c r="C73" s="603"/>
    </row>
    <row r="74" spans="2:3">
      <c r="B74" s="5"/>
      <c r="C74" s="603"/>
    </row>
    <row r="75" spans="2:3">
      <c r="B75" s="5"/>
      <c r="C75" s="603"/>
    </row>
    <row r="76" spans="2:3">
      <c r="B76" s="5"/>
      <c r="C76" s="603"/>
    </row>
    <row r="77" spans="2:3">
      <c r="B77" s="5"/>
      <c r="C77" s="603"/>
    </row>
    <row r="78" spans="2:3">
      <c r="B78" s="5"/>
      <c r="C78" s="603"/>
    </row>
    <row r="79" spans="2:3">
      <c r="B79" s="5"/>
      <c r="C79" s="603"/>
    </row>
    <row r="80" spans="2:3">
      <c r="B80" s="5"/>
      <c r="C80" s="603"/>
    </row>
    <row r="81" spans="2:3">
      <c r="B81" s="5"/>
      <c r="C81" s="603"/>
    </row>
    <row r="82" spans="2:3">
      <c r="B82" s="5"/>
      <c r="C82" s="603"/>
    </row>
    <row r="83" spans="2:3">
      <c r="B83" s="5"/>
      <c r="C83" s="603"/>
    </row>
    <row r="84" spans="2:3">
      <c r="B84" s="5"/>
      <c r="C84" s="603"/>
    </row>
    <row r="85" spans="2:3">
      <c r="B85" s="5"/>
      <c r="C85" s="603"/>
    </row>
    <row r="86" spans="2:3">
      <c r="B86" s="5"/>
      <c r="C86" s="603"/>
    </row>
    <row r="87" spans="2:3">
      <c r="B87" s="5"/>
      <c r="C87" s="603"/>
    </row>
    <row r="88" spans="2:3">
      <c r="B88" s="5"/>
      <c r="C88" s="603"/>
    </row>
    <row r="89" spans="2:3">
      <c r="B89" s="5"/>
      <c r="C89" s="603"/>
    </row>
    <row r="90" spans="2:3">
      <c r="B90" s="5"/>
      <c r="C90" s="603"/>
    </row>
    <row r="91" spans="2:3">
      <c r="B91" s="5"/>
      <c r="C91" s="603"/>
    </row>
    <row r="92" spans="2:3">
      <c r="B92" s="5"/>
      <c r="C92" s="603"/>
    </row>
    <row r="93" spans="2:3">
      <c r="B93" s="5"/>
      <c r="C93" s="603"/>
    </row>
    <row r="94" spans="2:3">
      <c r="B94" s="5"/>
      <c r="C94" s="603"/>
    </row>
    <row r="95" spans="2:3">
      <c r="B95" s="5"/>
      <c r="C95" s="603"/>
    </row>
    <row r="96" spans="2:3">
      <c r="B96" s="5"/>
      <c r="C96" s="603"/>
    </row>
    <row r="97" spans="2:3">
      <c r="B97" s="5"/>
      <c r="C97" s="603"/>
    </row>
    <row r="98" spans="2:3">
      <c r="B98" s="5"/>
      <c r="C98" s="603"/>
    </row>
    <row r="99" spans="2:3">
      <c r="B99" s="5"/>
      <c r="C99" s="603"/>
    </row>
    <row r="100" spans="2:3">
      <c r="B100" s="5"/>
      <c r="C100" s="603"/>
    </row>
    <row r="101" spans="2:3">
      <c r="B101" s="5"/>
      <c r="C101" s="603"/>
    </row>
    <row r="102" spans="2:3">
      <c r="B102" s="5"/>
      <c r="C102" s="603"/>
    </row>
    <row r="103" spans="2:3">
      <c r="B103" s="5"/>
      <c r="C103" s="603"/>
    </row>
    <row r="104" spans="2:3">
      <c r="B104" s="5"/>
      <c r="C104" s="603"/>
    </row>
    <row r="105" spans="2:3">
      <c r="B105" s="5"/>
      <c r="C105" s="603"/>
    </row>
    <row r="106" spans="2:3">
      <c r="B106" s="5"/>
      <c r="C106" s="603"/>
    </row>
    <row r="107" spans="2:3">
      <c r="B107" s="5"/>
      <c r="C107" s="603"/>
    </row>
    <row r="108" spans="2:3">
      <c r="B108" s="5"/>
      <c r="C108" s="603"/>
    </row>
    <row r="109" spans="2:3">
      <c r="B109" s="5"/>
      <c r="C109" s="603"/>
    </row>
    <row r="110" spans="2:3">
      <c r="B110" s="5"/>
      <c r="C110" s="603"/>
    </row>
    <row r="111" spans="2:3">
      <c r="B111" s="5"/>
      <c r="C111" s="603"/>
    </row>
    <row r="112" spans="2:3">
      <c r="B112" s="5"/>
      <c r="C112" s="603"/>
    </row>
    <row r="113" spans="2:3">
      <c r="B113" s="5"/>
      <c r="C113" s="603"/>
    </row>
    <row r="114" spans="2:3">
      <c r="B114" s="5"/>
      <c r="C114" s="603"/>
    </row>
    <row r="115" spans="2:3">
      <c r="B115" s="5"/>
      <c r="C115" s="603"/>
    </row>
    <row r="116" spans="2:3">
      <c r="B116" s="5"/>
      <c r="C116" s="603"/>
    </row>
    <row r="117" spans="2:3">
      <c r="B117" s="5"/>
      <c r="C117" s="603"/>
    </row>
    <row r="118" spans="2:3">
      <c r="B118" s="5"/>
      <c r="C118" s="603"/>
    </row>
    <row r="119" spans="2:3">
      <c r="B119" s="5"/>
      <c r="C119" s="603"/>
    </row>
    <row r="120" spans="2:3">
      <c r="B120" s="5"/>
      <c r="C120" s="603"/>
    </row>
    <row r="121" spans="2:3">
      <c r="B121" s="5"/>
      <c r="C121" s="603"/>
    </row>
    <row r="122" spans="2:3">
      <c r="B122" s="5"/>
      <c r="C122" s="603"/>
    </row>
    <row r="123" spans="2:3">
      <c r="B123" s="5"/>
      <c r="C123" s="603"/>
    </row>
    <row r="124" spans="2:3">
      <c r="B124" s="5"/>
      <c r="C124" s="603"/>
    </row>
    <row r="125" spans="2:3">
      <c r="B125" s="5"/>
      <c r="C125" s="603"/>
    </row>
    <row r="126" spans="2:3">
      <c r="B126" s="5"/>
      <c r="C126" s="603"/>
    </row>
    <row r="127" spans="2:3">
      <c r="B127" s="5"/>
      <c r="C127" s="603"/>
    </row>
    <row r="128" spans="2:3">
      <c r="B128" s="5"/>
      <c r="C128" s="603"/>
    </row>
    <row r="129" spans="2:3">
      <c r="B129" s="5"/>
      <c r="C129" s="603"/>
    </row>
    <row r="130" spans="2:3">
      <c r="B130" s="5"/>
      <c r="C130" s="603"/>
    </row>
    <row r="131" spans="2:3">
      <c r="B131" s="5"/>
      <c r="C131" s="603"/>
    </row>
    <row r="132" spans="2:3">
      <c r="B132" s="5"/>
      <c r="C132" s="603"/>
    </row>
  </sheetData>
  <mergeCells count="2">
    <mergeCell ref="A8:C8"/>
    <mergeCell ref="A40:C40"/>
  </mergeCells>
  <printOptions horizontalCentered="1"/>
  <pageMargins left="1.1811023622047245" right="0.39370078740157483" top="0.78740157480314965" bottom="0.78740157480314965" header="0.39370078740157483" footer="0.39370078740157483"/>
  <pageSetup paperSize="9" scale="82" fitToHeight="0" orientation="portrait" blackAndWhite="1" errors="blank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H35"/>
  <sheetViews>
    <sheetView zoomScale="90" zoomScaleNormal="90" zoomScaleSheetLayoutView="75" workbookViewId="0">
      <selection activeCell="B44" sqref="B44"/>
    </sheetView>
  </sheetViews>
  <sheetFormatPr defaultColWidth="9.140625" defaultRowHeight="18.75"/>
  <cols>
    <col min="1" max="1" width="4.85546875" style="22" customWidth="1"/>
    <col min="2" max="2" width="76" style="77" customWidth="1"/>
    <col min="3" max="3" width="12" style="77" customWidth="1"/>
    <col min="4" max="4" width="12.5703125" style="22" customWidth="1"/>
    <col min="5" max="16384" width="9.140625" style="22"/>
  </cols>
  <sheetData>
    <row r="1" spans="1:8" s="652" customFormat="1">
      <c r="D1" s="255" t="s">
        <v>616</v>
      </c>
    </row>
    <row r="2" spans="1:8" s="652" customFormat="1">
      <c r="D2" s="255" t="s">
        <v>0</v>
      </c>
    </row>
    <row r="4" spans="1:8">
      <c r="D4" s="1" t="s">
        <v>616</v>
      </c>
    </row>
    <row r="5" spans="1:8">
      <c r="D5" s="1" t="s">
        <v>884</v>
      </c>
    </row>
    <row r="6" spans="1:8" s="47" customFormat="1" ht="17.45" customHeight="1">
      <c r="A6" s="22"/>
      <c r="B6" s="22"/>
      <c r="C6" s="22"/>
    </row>
    <row r="8" spans="1:8" s="151" customFormat="1">
      <c r="A8" s="854" t="s">
        <v>765</v>
      </c>
      <c r="B8" s="855"/>
      <c r="C8" s="855"/>
      <c r="D8" s="855"/>
    </row>
    <row r="9" spans="1:8" s="151" customFormat="1" ht="20.45" customHeight="1">
      <c r="A9" s="856" t="s">
        <v>764</v>
      </c>
      <c r="B9" s="857"/>
      <c r="C9" s="857"/>
      <c r="D9" s="857"/>
    </row>
    <row r="10" spans="1:8" s="151" customFormat="1">
      <c r="A10" s="152"/>
      <c r="B10" s="153"/>
      <c r="C10" s="153"/>
    </row>
    <row r="11" spans="1:8" s="151" customFormat="1" ht="36" customHeight="1">
      <c r="A11" s="858" t="s">
        <v>766</v>
      </c>
      <c r="B11" s="859"/>
      <c r="C11" s="859"/>
      <c r="D11" s="859"/>
    </row>
    <row r="12" spans="1:8" s="151" customFormat="1">
      <c r="A12" s="152"/>
      <c r="B12" s="153"/>
      <c r="C12" s="153"/>
    </row>
    <row r="13" spans="1:8" s="151" customFormat="1">
      <c r="A13" s="152"/>
      <c r="B13" s="153"/>
      <c r="C13" s="153"/>
      <c r="D13" s="154" t="s">
        <v>296</v>
      </c>
    </row>
    <row r="14" spans="1:8" s="151" customFormat="1" ht="37.5">
      <c r="A14" s="155" t="s">
        <v>297</v>
      </c>
      <c r="B14" s="156" t="s">
        <v>476</v>
      </c>
      <c r="C14" s="157"/>
      <c r="D14" s="157" t="s">
        <v>307</v>
      </c>
    </row>
    <row r="15" spans="1:8" s="151" customFormat="1">
      <c r="A15" s="155">
        <v>1</v>
      </c>
      <c r="B15" s="155">
        <v>2</v>
      </c>
      <c r="C15" s="158"/>
      <c r="D15" s="157">
        <v>3</v>
      </c>
    </row>
    <row r="16" spans="1:8" s="151" customFormat="1" ht="56.25">
      <c r="A16" s="860" t="s">
        <v>298</v>
      </c>
      <c r="B16" s="159" t="s">
        <v>310</v>
      </c>
      <c r="C16" s="160"/>
      <c r="D16" s="181">
        <f>D18-D19</f>
        <v>0</v>
      </c>
      <c r="F16" s="161"/>
      <c r="G16" s="161"/>
      <c r="H16" s="161"/>
    </row>
    <row r="17" spans="1:8" s="151" customFormat="1">
      <c r="A17" s="861"/>
      <c r="B17" s="162" t="s">
        <v>200</v>
      </c>
      <c r="C17" s="163"/>
      <c r="D17" s="182"/>
      <c r="F17" s="161"/>
      <c r="G17" s="161"/>
      <c r="H17" s="161"/>
    </row>
    <row r="18" spans="1:8" s="151" customFormat="1">
      <c r="A18" s="861"/>
      <c r="B18" s="162" t="s">
        <v>308</v>
      </c>
      <c r="C18" s="163"/>
      <c r="D18" s="182">
        <v>0</v>
      </c>
      <c r="F18" s="164"/>
      <c r="G18" s="164"/>
      <c r="H18" s="161"/>
    </row>
    <row r="19" spans="1:8" s="151" customFormat="1">
      <c r="A19" s="861"/>
      <c r="B19" s="165" t="s">
        <v>309</v>
      </c>
      <c r="C19" s="166"/>
      <c r="D19" s="327">
        <v>0</v>
      </c>
    </row>
    <row r="20" spans="1:8" s="151" customFormat="1">
      <c r="B20" s="237"/>
      <c r="C20" s="237"/>
      <c r="D20" s="167"/>
    </row>
    <row r="21" spans="1:8" s="151" customFormat="1" ht="42" customHeight="1">
      <c r="A21" s="862" t="s">
        <v>767</v>
      </c>
      <c r="B21" s="863"/>
      <c r="C21" s="863"/>
      <c r="D21" s="863"/>
    </row>
    <row r="22" spans="1:8" s="151" customFormat="1">
      <c r="A22" s="152"/>
      <c r="B22" s="153"/>
      <c r="C22" s="153"/>
    </row>
    <row r="23" spans="1:8" s="151" customFormat="1">
      <c r="A23" s="152"/>
      <c r="B23" s="153"/>
      <c r="C23" s="153"/>
      <c r="D23" s="154" t="s">
        <v>296</v>
      </c>
    </row>
    <row r="24" spans="1:8" s="151" customFormat="1" ht="21.6" customHeight="1">
      <c r="A24" s="864" t="s">
        <v>297</v>
      </c>
      <c r="B24" s="864" t="s">
        <v>476</v>
      </c>
      <c r="C24" s="852" t="s">
        <v>307</v>
      </c>
      <c r="D24" s="852"/>
    </row>
    <row r="25" spans="1:8" s="151" customFormat="1" ht="25.15" customHeight="1">
      <c r="A25" s="864"/>
      <c r="B25" s="864"/>
      <c r="C25" s="238" t="s">
        <v>594</v>
      </c>
      <c r="D25" s="238" t="s">
        <v>622</v>
      </c>
    </row>
    <row r="26" spans="1:8" s="151" customFormat="1">
      <c r="A26" s="238">
        <v>1</v>
      </c>
      <c r="B26" s="238">
        <v>2</v>
      </c>
      <c r="C26" s="238">
        <v>3</v>
      </c>
      <c r="D26" s="238">
        <v>4</v>
      </c>
    </row>
    <row r="27" spans="1:8" s="151" customFormat="1" ht="56.25" customHeight="1">
      <c r="A27" s="853" t="s">
        <v>298</v>
      </c>
      <c r="B27" s="168" t="s">
        <v>310</v>
      </c>
      <c r="C27" s="181">
        <f>C29-C30</f>
        <v>-6816</v>
      </c>
      <c r="D27" s="328">
        <f>D29-D30</f>
        <v>-10224</v>
      </c>
    </row>
    <row r="28" spans="1:8" s="151" customFormat="1" ht="17.100000000000001" customHeight="1">
      <c r="A28" s="853"/>
      <c r="B28" s="169" t="s">
        <v>200</v>
      </c>
      <c r="C28" s="182"/>
      <c r="D28" s="329"/>
    </row>
    <row r="29" spans="1:8" s="151" customFormat="1" ht="17.100000000000001" customHeight="1">
      <c r="A29" s="853"/>
      <c r="B29" s="169" t="s">
        <v>308</v>
      </c>
      <c r="C29" s="182">
        <v>0</v>
      </c>
      <c r="D29" s="329">
        <v>0</v>
      </c>
    </row>
    <row r="30" spans="1:8" s="151" customFormat="1" ht="18" customHeight="1">
      <c r="A30" s="853"/>
      <c r="B30" s="170" t="s">
        <v>309</v>
      </c>
      <c r="C30" s="183">
        <v>6816</v>
      </c>
      <c r="D30" s="330">
        <v>10224</v>
      </c>
    </row>
    <row r="31" spans="1:8" ht="16.5" customHeight="1">
      <c r="A31" s="135"/>
      <c r="B31" s="136"/>
      <c r="C31" s="136"/>
      <c r="D31" s="137"/>
    </row>
    <row r="33" spans="1:8" s="41" customFormat="1">
      <c r="A33" s="124" t="s">
        <v>497</v>
      </c>
      <c r="B33" s="43"/>
      <c r="C33" s="44"/>
      <c r="D33" s="44"/>
      <c r="E33" s="44"/>
      <c r="F33" s="45"/>
      <c r="G33" s="46"/>
      <c r="H33" s="42"/>
    </row>
    <row r="34" spans="1:8" s="41" customFormat="1">
      <c r="A34" s="124" t="s">
        <v>498</v>
      </c>
      <c r="B34" s="43"/>
      <c r="C34" s="44"/>
      <c r="E34" s="44"/>
      <c r="F34" s="45"/>
      <c r="G34" s="46"/>
      <c r="H34" s="42"/>
    </row>
    <row r="35" spans="1:8" s="41" customFormat="1">
      <c r="A35" s="125" t="s">
        <v>499</v>
      </c>
      <c r="D35" s="40" t="s">
        <v>534</v>
      </c>
      <c r="E35" s="44"/>
    </row>
  </sheetData>
  <mergeCells count="9">
    <mergeCell ref="C24:D24"/>
    <mergeCell ref="A27:A30"/>
    <mergeCell ref="A8:D8"/>
    <mergeCell ref="A9:D9"/>
    <mergeCell ref="A11:D11"/>
    <mergeCell ref="A16:A19"/>
    <mergeCell ref="A21:D21"/>
    <mergeCell ref="A24:A25"/>
    <mergeCell ref="B24:B25"/>
  </mergeCells>
  <printOptions horizontalCentered="1"/>
  <pageMargins left="1.1811023622047245" right="0.39370078740157483" top="0.78740157480314965" bottom="0.78740157480314965" header="0.51181102362204722" footer="0.51181102362204722"/>
  <pageSetup paperSize="9" scale="80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O25"/>
  <sheetViews>
    <sheetView topLeftCell="A10" zoomScale="80" zoomScaleNormal="80" zoomScaleSheetLayoutView="75" workbookViewId="0">
      <selection activeCell="B44" sqref="B44"/>
    </sheetView>
  </sheetViews>
  <sheetFormatPr defaultColWidth="9.140625" defaultRowHeight="18.75"/>
  <cols>
    <col min="1" max="1" width="5.28515625" style="73" customWidth="1"/>
    <col min="2" max="2" width="7" style="73" customWidth="1"/>
    <col min="3" max="3" width="11.28515625" style="73" customWidth="1"/>
    <col min="4" max="4" width="16.28515625" style="73" customWidth="1"/>
    <col min="5" max="5" width="7" style="73" customWidth="1"/>
    <col min="6" max="6" width="6.7109375" style="73" customWidth="1"/>
    <col min="7" max="7" width="7.7109375" style="73" customWidth="1"/>
    <col min="8" max="8" width="16.28515625" style="73" customWidth="1"/>
    <col min="9" max="9" width="14.7109375" style="73" customWidth="1"/>
    <col min="10" max="10" width="15.85546875" style="73" customWidth="1"/>
    <col min="11" max="11" width="13" style="73" customWidth="1"/>
    <col min="12" max="16384" width="9.140625" style="73"/>
  </cols>
  <sheetData>
    <row r="1" spans="1:15">
      <c r="F1" s="6"/>
      <c r="G1" s="6"/>
      <c r="K1" s="58" t="s">
        <v>617</v>
      </c>
    </row>
    <row r="2" spans="1:15">
      <c r="F2" s="6"/>
      <c r="G2" s="6"/>
      <c r="K2" s="1" t="s">
        <v>884</v>
      </c>
    </row>
    <row r="5" spans="1:15" s="171" customFormat="1">
      <c r="A5" s="870" t="s">
        <v>311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</row>
    <row r="6" spans="1:15" s="171" customFormat="1">
      <c r="A6" s="870" t="s">
        <v>768</v>
      </c>
      <c r="B6" s="871"/>
      <c r="C6" s="871"/>
      <c r="D6" s="871"/>
      <c r="E6" s="871"/>
      <c r="F6" s="871"/>
      <c r="G6" s="871"/>
      <c r="H6" s="871"/>
      <c r="I6" s="871"/>
      <c r="J6" s="871"/>
      <c r="K6" s="871"/>
    </row>
    <row r="7" spans="1:15" s="171" customFormat="1">
      <c r="C7" s="172"/>
      <c r="D7" s="172"/>
      <c r="E7" s="172"/>
      <c r="F7" s="172"/>
      <c r="G7" s="172"/>
      <c r="H7" s="172"/>
      <c r="I7" s="172"/>
      <c r="J7" s="172"/>
      <c r="K7" s="172"/>
    </row>
    <row r="8" spans="1:15" s="171" customFormat="1" ht="39.6" customHeight="1">
      <c r="A8" s="872" t="s">
        <v>769</v>
      </c>
      <c r="B8" s="873"/>
      <c r="C8" s="873"/>
      <c r="D8" s="873"/>
      <c r="E8" s="873"/>
      <c r="F8" s="873"/>
      <c r="G8" s="873"/>
      <c r="H8" s="873"/>
      <c r="I8" s="873"/>
      <c r="J8" s="873"/>
      <c r="K8" s="873"/>
    </row>
    <row r="9" spans="1:15" s="171" customFormat="1"/>
    <row r="10" spans="1:15" s="171" customFormat="1" ht="38.25" customHeight="1">
      <c r="A10" s="874" t="s">
        <v>198</v>
      </c>
      <c r="B10" s="876" t="s">
        <v>477</v>
      </c>
      <c r="C10" s="877"/>
      <c r="D10" s="880" t="s">
        <v>871</v>
      </c>
      <c r="E10" s="882" t="s">
        <v>312</v>
      </c>
      <c r="F10" s="883"/>
      <c r="G10" s="884"/>
      <c r="H10" s="868" t="s">
        <v>313</v>
      </c>
      <c r="I10" s="885"/>
      <c r="J10" s="885"/>
      <c r="K10" s="869"/>
    </row>
    <row r="11" spans="1:15" s="171" customFormat="1" ht="110.45" customHeight="1">
      <c r="A11" s="875"/>
      <c r="B11" s="878"/>
      <c r="C11" s="879"/>
      <c r="D11" s="881"/>
      <c r="E11" s="311" t="s">
        <v>500</v>
      </c>
      <c r="F11" s="311" t="s">
        <v>594</v>
      </c>
      <c r="G11" s="239" t="s">
        <v>622</v>
      </c>
      <c r="H11" s="239" t="s">
        <v>872</v>
      </c>
      <c r="I11" s="239" t="s">
        <v>314</v>
      </c>
      <c r="J11" s="173" t="s">
        <v>478</v>
      </c>
      <c r="K11" s="239" t="s">
        <v>315</v>
      </c>
      <c r="O11" s="174"/>
    </row>
    <row r="12" spans="1:15" s="171" customFormat="1">
      <c r="A12" s="240">
        <v>1</v>
      </c>
      <c r="B12" s="868">
        <v>2</v>
      </c>
      <c r="C12" s="869"/>
      <c r="D12" s="240">
        <v>3</v>
      </c>
      <c r="E12" s="240">
        <v>4</v>
      </c>
      <c r="F12" s="240">
        <v>5</v>
      </c>
      <c r="G12" s="240">
        <v>6</v>
      </c>
      <c r="H12" s="240">
        <v>7</v>
      </c>
      <c r="I12" s="240">
        <v>8</v>
      </c>
      <c r="J12" s="240">
        <v>9</v>
      </c>
      <c r="K12" s="240">
        <v>10</v>
      </c>
    </row>
    <row r="13" spans="1:15" s="171" customFormat="1">
      <c r="A13" s="175"/>
      <c r="B13" s="868" t="s">
        <v>316</v>
      </c>
      <c r="C13" s="869"/>
      <c r="D13" s="240" t="s">
        <v>316</v>
      </c>
      <c r="E13" s="240" t="s">
        <v>316</v>
      </c>
      <c r="F13" s="240" t="s">
        <v>316</v>
      </c>
      <c r="G13" s="240" t="s">
        <v>316</v>
      </c>
      <c r="H13" s="240" t="s">
        <v>316</v>
      </c>
      <c r="I13" s="240" t="s">
        <v>316</v>
      </c>
      <c r="J13" s="240" t="s">
        <v>316</v>
      </c>
      <c r="K13" s="240" t="s">
        <v>316</v>
      </c>
    </row>
    <row r="14" spans="1:15" s="171" customFormat="1"/>
    <row r="15" spans="1:15" s="171" customFormat="1" ht="58.9" customHeight="1">
      <c r="A15" s="872" t="s">
        <v>770</v>
      </c>
      <c r="B15" s="873"/>
      <c r="C15" s="873"/>
      <c r="D15" s="873"/>
      <c r="E15" s="873"/>
      <c r="F15" s="873"/>
      <c r="G15" s="873"/>
      <c r="H15" s="873"/>
      <c r="I15" s="873"/>
      <c r="J15" s="873"/>
      <c r="K15" s="873"/>
    </row>
    <row r="16" spans="1:15" s="171" customFormat="1"/>
    <row r="17" spans="1:11" s="171" customFormat="1" ht="18.75" customHeight="1">
      <c r="A17" s="876" t="s">
        <v>317</v>
      </c>
      <c r="B17" s="886"/>
      <c r="C17" s="886"/>
      <c r="D17" s="886"/>
      <c r="E17" s="886"/>
      <c r="F17" s="886"/>
      <c r="G17" s="886"/>
      <c r="H17" s="887"/>
      <c r="I17" s="891" t="s">
        <v>318</v>
      </c>
      <c r="J17" s="892"/>
      <c r="K17" s="893"/>
    </row>
    <row r="18" spans="1:11" s="171" customFormat="1" ht="42.6" customHeight="1">
      <c r="A18" s="888"/>
      <c r="B18" s="889"/>
      <c r="C18" s="889"/>
      <c r="D18" s="889"/>
      <c r="E18" s="889"/>
      <c r="F18" s="889"/>
      <c r="G18" s="889"/>
      <c r="H18" s="890"/>
      <c r="I18" s="311" t="s">
        <v>500</v>
      </c>
      <c r="J18" s="311" t="s">
        <v>594</v>
      </c>
      <c r="K18" s="239" t="s">
        <v>622</v>
      </c>
    </row>
    <row r="19" spans="1:11" s="171" customFormat="1">
      <c r="A19" s="894">
        <v>1</v>
      </c>
      <c r="B19" s="895"/>
      <c r="C19" s="895"/>
      <c r="D19" s="895"/>
      <c r="E19" s="895"/>
      <c r="F19" s="895"/>
      <c r="G19" s="895"/>
      <c r="H19" s="896"/>
      <c r="I19" s="176">
        <v>2</v>
      </c>
      <c r="J19" s="176">
        <v>3</v>
      </c>
      <c r="K19" s="176">
        <v>4</v>
      </c>
    </row>
    <row r="20" spans="1:11" s="171" customFormat="1" ht="37.15" customHeight="1">
      <c r="A20" s="865" t="s">
        <v>619</v>
      </c>
      <c r="B20" s="866"/>
      <c r="C20" s="866"/>
      <c r="D20" s="866"/>
      <c r="E20" s="866"/>
      <c r="F20" s="866"/>
      <c r="G20" s="866"/>
      <c r="H20" s="867"/>
      <c r="I20" s="177" t="s">
        <v>316</v>
      </c>
      <c r="J20" s="240" t="s">
        <v>316</v>
      </c>
      <c r="K20" s="240" t="s">
        <v>316</v>
      </c>
    </row>
    <row r="23" spans="1:11" s="41" customFormat="1">
      <c r="A23" s="124" t="s">
        <v>497</v>
      </c>
      <c r="B23" s="43"/>
      <c r="C23" s="44"/>
      <c r="D23" s="44"/>
      <c r="E23" s="44"/>
      <c r="F23" s="45"/>
      <c r="G23" s="46"/>
      <c r="H23" s="42"/>
    </row>
    <row r="24" spans="1:11" s="41" customFormat="1">
      <c r="A24" s="124" t="s">
        <v>498</v>
      </c>
      <c r="B24" s="43"/>
      <c r="C24" s="44"/>
      <c r="E24" s="44"/>
      <c r="F24" s="45"/>
      <c r="G24" s="46"/>
      <c r="H24" s="42"/>
    </row>
    <row r="25" spans="1:11" s="41" customFormat="1">
      <c r="A25" s="125" t="s">
        <v>499</v>
      </c>
      <c r="E25" s="44"/>
      <c r="K25" s="40" t="s">
        <v>534</v>
      </c>
    </row>
  </sheetData>
  <mergeCells count="15">
    <mergeCell ref="A20:H20"/>
    <mergeCell ref="B12:C12"/>
    <mergeCell ref="A5:K5"/>
    <mergeCell ref="A6:K6"/>
    <mergeCell ref="A8:K8"/>
    <mergeCell ref="A10:A11"/>
    <mergeCell ref="B10:C11"/>
    <mergeCell ref="D10:D11"/>
    <mergeCell ref="E10:G10"/>
    <mergeCell ref="H10:K10"/>
    <mergeCell ref="B13:C13"/>
    <mergeCell ref="A15:K15"/>
    <mergeCell ref="A17:H18"/>
    <mergeCell ref="I17:K17"/>
    <mergeCell ref="A19:H19"/>
  </mergeCells>
  <printOptions horizontalCentered="1"/>
  <pageMargins left="1.1811023622047245" right="0.39370078740157483" top="0.78740157480314965" bottom="0.78740157480314965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H131"/>
  <sheetViews>
    <sheetView zoomScale="70" zoomScaleNormal="70" zoomScaleSheetLayoutView="75" workbookViewId="0">
      <selection activeCell="D2" sqref="D2"/>
    </sheetView>
  </sheetViews>
  <sheetFormatPr defaultColWidth="9.140625" defaultRowHeight="18.75"/>
  <cols>
    <col min="1" max="1" width="28.5703125" style="5" customWidth="1"/>
    <col min="2" max="2" width="55.28515625" style="6" customWidth="1"/>
    <col min="3" max="3" width="15.140625" style="12" customWidth="1"/>
    <col min="4" max="4" width="15.42578125" style="5" customWidth="1"/>
    <col min="5" max="16384" width="9.140625" style="5"/>
  </cols>
  <sheetData>
    <row r="1" spans="1:8" s="21" customFormat="1">
      <c r="A1" s="103"/>
      <c r="B1" s="103"/>
      <c r="C1" s="103"/>
      <c r="D1" s="76" t="s">
        <v>433</v>
      </c>
    </row>
    <row r="2" spans="1:8" s="21" customFormat="1">
      <c r="A2" s="103"/>
      <c r="B2" s="103"/>
      <c r="C2" s="103"/>
      <c r="D2" s="76" t="s">
        <v>936</v>
      </c>
    </row>
    <row r="4" spans="1:8">
      <c r="D4" s="1" t="s">
        <v>433</v>
      </c>
    </row>
    <row r="5" spans="1:8">
      <c r="D5" s="1" t="s">
        <v>884</v>
      </c>
    </row>
    <row r="8" spans="1:8" ht="37.5" customHeight="1">
      <c r="A8" s="777" t="s">
        <v>682</v>
      </c>
      <c r="B8" s="777"/>
      <c r="C8" s="777"/>
      <c r="D8" s="777"/>
    </row>
    <row r="10" spans="1:8">
      <c r="D10" s="10" t="s">
        <v>46</v>
      </c>
    </row>
    <row r="11" spans="1:8">
      <c r="A11" s="780" t="s">
        <v>35</v>
      </c>
      <c r="B11" s="781" t="s">
        <v>36</v>
      </c>
      <c r="C11" s="779" t="s">
        <v>37</v>
      </c>
      <c r="D11" s="779"/>
    </row>
    <row r="12" spans="1:8">
      <c r="A12" s="780"/>
      <c r="B12" s="781"/>
      <c r="C12" s="92" t="s">
        <v>594</v>
      </c>
      <c r="D12" s="92" t="s">
        <v>622</v>
      </c>
    </row>
    <row r="13" spans="1:8">
      <c r="A13" s="127">
        <v>1</v>
      </c>
      <c r="B13" s="128">
        <v>2</v>
      </c>
      <c r="C13" s="130">
        <v>3</v>
      </c>
      <c r="D13" s="130">
        <v>4</v>
      </c>
    </row>
    <row r="14" spans="1:8">
      <c r="A14" s="318" t="s">
        <v>169</v>
      </c>
      <c r="B14" s="319" t="s">
        <v>170</v>
      </c>
      <c r="C14" s="604">
        <f>SUM(C15:C32)</f>
        <v>397721.39999999997</v>
      </c>
      <c r="D14" s="604">
        <f>SUM(D15:D32)</f>
        <v>415421.29999999993</v>
      </c>
      <c r="F14" s="104"/>
      <c r="G14" s="75"/>
      <c r="H14" s="104"/>
    </row>
    <row r="15" spans="1:8" s="304" customFormat="1">
      <c r="A15" s="320" t="s">
        <v>171</v>
      </c>
      <c r="B15" s="321" t="s">
        <v>172</v>
      </c>
      <c r="C15" s="605">
        <v>3282.5</v>
      </c>
      <c r="D15" s="606">
        <v>3400</v>
      </c>
    </row>
    <row r="16" spans="1:8" s="304" customFormat="1">
      <c r="A16" s="320" t="s">
        <v>173</v>
      </c>
      <c r="B16" s="322" t="s">
        <v>174</v>
      </c>
      <c r="C16" s="605">
        <v>283535.5</v>
      </c>
      <c r="D16" s="606">
        <v>296590.7</v>
      </c>
    </row>
    <row r="17" spans="1:4" s="304" customFormat="1" ht="135" customHeight="1">
      <c r="A17" s="323" t="s">
        <v>175</v>
      </c>
      <c r="B17" s="324" t="s">
        <v>505</v>
      </c>
      <c r="C17" s="605">
        <v>6753.2</v>
      </c>
      <c r="D17" s="606">
        <v>7509.6</v>
      </c>
    </row>
    <row r="18" spans="1:4" s="304" customFormat="1" ht="37.5">
      <c r="A18" s="320" t="s">
        <v>387</v>
      </c>
      <c r="B18" s="324" t="s">
        <v>388</v>
      </c>
      <c r="C18" s="605">
        <v>42407.8</v>
      </c>
      <c r="D18" s="606">
        <v>46648.6</v>
      </c>
    </row>
    <row r="19" spans="1:4" s="304" customFormat="1" ht="37.5">
      <c r="A19" s="320" t="s">
        <v>176</v>
      </c>
      <c r="B19" s="324" t="s">
        <v>416</v>
      </c>
      <c r="C19" s="605">
        <v>19500</v>
      </c>
      <c r="D19" s="606">
        <v>18900</v>
      </c>
    </row>
    <row r="20" spans="1:4" s="304" customFormat="1">
      <c r="A20" s="320" t="s">
        <v>177</v>
      </c>
      <c r="B20" s="322" t="s">
        <v>178</v>
      </c>
      <c r="C20" s="605">
        <v>240</v>
      </c>
      <c r="D20" s="606">
        <v>240</v>
      </c>
    </row>
    <row r="21" spans="1:4" s="304" customFormat="1" ht="37.5">
      <c r="A21" s="320" t="s">
        <v>179</v>
      </c>
      <c r="B21" s="324" t="s">
        <v>180</v>
      </c>
      <c r="C21" s="605">
        <v>1200</v>
      </c>
      <c r="D21" s="606">
        <v>1400</v>
      </c>
    </row>
    <row r="22" spans="1:4" s="304" customFormat="1">
      <c r="A22" s="320" t="s">
        <v>761</v>
      </c>
      <c r="B22" s="324" t="s">
        <v>762</v>
      </c>
      <c r="C22" s="605">
        <v>1613.6</v>
      </c>
      <c r="D22" s="606">
        <v>1613.6</v>
      </c>
    </row>
    <row r="23" spans="1:4" s="304" customFormat="1">
      <c r="A23" s="320" t="s">
        <v>181</v>
      </c>
      <c r="B23" s="322" t="s">
        <v>182</v>
      </c>
      <c r="C23" s="605">
        <v>7450</v>
      </c>
      <c r="D23" s="606">
        <v>7520</v>
      </c>
    </row>
    <row r="24" spans="1:4" s="304" customFormat="1" ht="93.75">
      <c r="A24" s="320" t="s">
        <v>183</v>
      </c>
      <c r="B24" s="325" t="s">
        <v>184</v>
      </c>
      <c r="C24" s="605">
        <v>74</v>
      </c>
      <c r="D24" s="607">
        <v>74</v>
      </c>
    </row>
    <row r="25" spans="1:4" s="304" customFormat="1" ht="112.5">
      <c r="A25" s="320" t="s">
        <v>185</v>
      </c>
      <c r="B25" s="324" t="s">
        <v>186</v>
      </c>
      <c r="C25" s="605">
        <v>20300</v>
      </c>
      <c r="D25" s="606">
        <v>20700</v>
      </c>
    </row>
    <row r="26" spans="1:4" s="304" customFormat="1" ht="55.5" customHeight="1">
      <c r="A26" s="320" t="s">
        <v>384</v>
      </c>
      <c r="B26" s="324" t="s">
        <v>22</v>
      </c>
      <c r="C26" s="605">
        <v>1886.8</v>
      </c>
      <c r="D26" s="606">
        <v>1886.8</v>
      </c>
    </row>
    <row r="27" spans="1:4" s="304" customFormat="1" ht="93.75">
      <c r="A27" s="320" t="s">
        <v>187</v>
      </c>
      <c r="B27" s="324" t="s">
        <v>188</v>
      </c>
      <c r="C27" s="605">
        <v>17</v>
      </c>
      <c r="D27" s="606">
        <v>17</v>
      </c>
    </row>
    <row r="28" spans="1:4" s="304" customFormat="1" ht="131.25">
      <c r="A28" s="320" t="s">
        <v>445</v>
      </c>
      <c r="B28" s="324" t="s">
        <v>446</v>
      </c>
      <c r="C28" s="605">
        <v>235</v>
      </c>
      <c r="D28" s="606">
        <v>235</v>
      </c>
    </row>
    <row r="29" spans="1:4" s="304" customFormat="1" ht="37.5">
      <c r="A29" s="320" t="s">
        <v>189</v>
      </c>
      <c r="B29" s="324" t="s">
        <v>190</v>
      </c>
      <c r="C29" s="605">
        <v>2127.3000000000002</v>
      </c>
      <c r="D29" s="606">
        <v>2127.3000000000002</v>
      </c>
    </row>
    <row r="30" spans="1:4" s="304" customFormat="1" ht="37.5">
      <c r="A30" s="320" t="s">
        <v>532</v>
      </c>
      <c r="B30" s="326" t="s">
        <v>606</v>
      </c>
      <c r="C30" s="605">
        <v>1250</v>
      </c>
      <c r="D30" s="606">
        <v>1300</v>
      </c>
    </row>
    <row r="31" spans="1:4" s="304" customFormat="1" ht="37.5">
      <c r="A31" s="320" t="s">
        <v>191</v>
      </c>
      <c r="B31" s="324" t="s">
        <v>192</v>
      </c>
      <c r="C31" s="605">
        <f>300+4750+230</f>
        <v>5280</v>
      </c>
      <c r="D31" s="606">
        <f>4450+230</f>
        <v>4680</v>
      </c>
    </row>
    <row r="32" spans="1:4" s="304" customFormat="1">
      <c r="A32" s="323" t="s">
        <v>193</v>
      </c>
      <c r="B32" s="324" t="s">
        <v>194</v>
      </c>
      <c r="C32" s="605">
        <v>568.70000000000005</v>
      </c>
      <c r="D32" s="606">
        <v>578.70000000000005</v>
      </c>
    </row>
    <row r="33" spans="1:8">
      <c r="A33" s="93" t="s">
        <v>38</v>
      </c>
      <c r="B33" s="62" t="s">
        <v>389</v>
      </c>
      <c r="C33" s="608">
        <f>C34</f>
        <v>952158.60000000009</v>
      </c>
      <c r="D33" s="608">
        <f>D34</f>
        <v>970221</v>
      </c>
    </row>
    <row r="34" spans="1:8" ht="56.25">
      <c r="A34" s="17" t="s">
        <v>39</v>
      </c>
      <c r="B34" s="94" t="s">
        <v>40</v>
      </c>
      <c r="C34" s="609">
        <f>C35+C36+C37</f>
        <v>952158.60000000009</v>
      </c>
      <c r="D34" s="609">
        <f>D35+D36+D37</f>
        <v>970221</v>
      </c>
    </row>
    <row r="35" spans="1:8" s="19" customFormat="1" ht="37.5">
      <c r="A35" s="17" t="s">
        <v>595</v>
      </c>
      <c r="B35" s="4" t="s">
        <v>437</v>
      </c>
      <c r="C35" s="609">
        <f>'прил.5 (пост.безв.21-22)'!C15</f>
        <v>141298.5</v>
      </c>
      <c r="D35" s="609">
        <f>'прил.5 (пост.безв.21-22)'!D15</f>
        <v>143966.70000000001</v>
      </c>
    </row>
    <row r="36" spans="1:8" s="19" customFormat="1" ht="56.25">
      <c r="A36" s="2" t="s">
        <v>597</v>
      </c>
      <c r="B36" s="3" t="s">
        <v>381</v>
      </c>
      <c r="C36" s="609">
        <f>'прил.5 (пост.безв.21-22)'!C18</f>
        <v>4233.3</v>
      </c>
      <c r="D36" s="609">
        <f>'прил.5 (пост.безв.21-22)'!D18</f>
        <v>19172</v>
      </c>
    </row>
    <row r="37" spans="1:8" ht="37.5">
      <c r="A37" s="57" t="s">
        <v>599</v>
      </c>
      <c r="B37" s="4" t="s">
        <v>436</v>
      </c>
      <c r="C37" s="609">
        <f>'прил.5 (пост.безв.21-22)'!C33</f>
        <v>806626.8</v>
      </c>
      <c r="D37" s="609">
        <f>'прил.5 (пост.безв.21-22)'!D33</f>
        <v>807082.29999999993</v>
      </c>
    </row>
    <row r="38" spans="1:8">
      <c r="A38" s="59"/>
      <c r="B38" s="62" t="s">
        <v>196</v>
      </c>
      <c r="C38" s="101">
        <f>C33+C14</f>
        <v>1349880</v>
      </c>
      <c r="D38" s="101">
        <f>D33+D14</f>
        <v>1385642.2999999998</v>
      </c>
    </row>
    <row r="39" spans="1:8">
      <c r="A39" s="782" t="s">
        <v>390</v>
      </c>
      <c r="B39" s="782"/>
      <c r="C39" s="782"/>
      <c r="D39" s="782"/>
    </row>
    <row r="40" spans="1:8">
      <c r="A40" s="11"/>
    </row>
    <row r="41" spans="1:8">
      <c r="A41" s="11"/>
    </row>
    <row r="42" spans="1:8" s="41" customFormat="1">
      <c r="A42" s="124" t="s">
        <v>497</v>
      </c>
      <c r="B42" s="43"/>
      <c r="C42" s="44"/>
      <c r="D42" s="44"/>
      <c r="E42" s="44"/>
      <c r="F42" s="45"/>
      <c r="G42" s="46"/>
      <c r="H42" s="42"/>
    </row>
    <row r="43" spans="1:8" s="41" customFormat="1">
      <c r="A43" s="124" t="s">
        <v>498</v>
      </c>
      <c r="B43" s="43"/>
      <c r="C43" s="44"/>
      <c r="D43" s="44"/>
      <c r="E43" s="44"/>
      <c r="F43" s="45"/>
      <c r="G43" s="46"/>
      <c r="H43" s="42"/>
    </row>
    <row r="44" spans="1:8" s="41" customFormat="1">
      <c r="A44" s="125" t="s">
        <v>499</v>
      </c>
      <c r="B44" s="43"/>
      <c r="D44" s="40" t="s">
        <v>534</v>
      </c>
      <c r="E44" s="44"/>
      <c r="F44" s="45"/>
    </row>
    <row r="46" spans="1:8">
      <c r="B46" s="8"/>
      <c r="C46" s="20"/>
    </row>
    <row r="47" spans="1:8">
      <c r="B47" s="8"/>
      <c r="C47" s="20"/>
    </row>
    <row r="54" spans="2:3">
      <c r="B54" s="5"/>
      <c r="C54" s="5"/>
    </row>
    <row r="55" spans="2:3">
      <c r="B55" s="5"/>
      <c r="C55" s="5"/>
    </row>
    <row r="56" spans="2:3">
      <c r="B56" s="5"/>
      <c r="C56" s="5"/>
    </row>
    <row r="57" spans="2:3">
      <c r="B57" s="5"/>
      <c r="C57" s="5"/>
    </row>
    <row r="58" spans="2:3">
      <c r="B58" s="5"/>
      <c r="C58" s="5"/>
    </row>
    <row r="59" spans="2:3">
      <c r="B59" s="5"/>
      <c r="C59" s="5"/>
    </row>
    <row r="60" spans="2:3">
      <c r="B60" s="5"/>
      <c r="C60" s="5"/>
    </row>
    <row r="61" spans="2:3">
      <c r="B61" s="5"/>
      <c r="C61" s="5"/>
    </row>
    <row r="62" spans="2:3">
      <c r="B62" s="5"/>
      <c r="C62" s="5"/>
    </row>
    <row r="63" spans="2:3">
      <c r="B63" s="5"/>
      <c r="C63" s="5"/>
    </row>
    <row r="64" spans="2:3">
      <c r="B64" s="5"/>
      <c r="C64" s="5"/>
    </row>
    <row r="65" spans="2:3">
      <c r="B65" s="5"/>
      <c r="C65" s="5"/>
    </row>
    <row r="66" spans="2:3">
      <c r="B66" s="5"/>
      <c r="C66" s="5"/>
    </row>
    <row r="67" spans="2:3">
      <c r="B67" s="5"/>
      <c r="C67" s="5"/>
    </row>
    <row r="68" spans="2:3">
      <c r="B68" s="5"/>
      <c r="C68" s="5"/>
    </row>
    <row r="69" spans="2:3">
      <c r="B69" s="5"/>
      <c r="C69" s="5"/>
    </row>
    <row r="70" spans="2:3">
      <c r="B70" s="5"/>
      <c r="C70" s="5"/>
    </row>
    <row r="71" spans="2:3">
      <c r="B71" s="5"/>
      <c r="C71" s="5"/>
    </row>
    <row r="72" spans="2:3">
      <c r="B72" s="5"/>
      <c r="C72" s="5"/>
    </row>
    <row r="73" spans="2:3">
      <c r="B73" s="5"/>
      <c r="C73" s="5"/>
    </row>
    <row r="74" spans="2:3">
      <c r="B74" s="5"/>
      <c r="C74" s="5"/>
    </row>
    <row r="75" spans="2:3">
      <c r="B75" s="5"/>
      <c r="C75" s="5"/>
    </row>
    <row r="76" spans="2:3">
      <c r="B76" s="5"/>
      <c r="C76" s="5"/>
    </row>
    <row r="77" spans="2:3">
      <c r="B77" s="5"/>
      <c r="C77" s="5"/>
    </row>
    <row r="78" spans="2:3">
      <c r="B78" s="5"/>
      <c r="C78" s="5"/>
    </row>
    <row r="79" spans="2:3">
      <c r="B79" s="5"/>
      <c r="C79" s="5"/>
    </row>
    <row r="80" spans="2:3">
      <c r="B80" s="5"/>
      <c r="C80" s="5"/>
    </row>
    <row r="81" spans="2:3">
      <c r="B81" s="5"/>
      <c r="C81" s="5"/>
    </row>
    <row r="82" spans="2:3">
      <c r="B82" s="5"/>
      <c r="C82" s="5"/>
    </row>
    <row r="83" spans="2:3">
      <c r="B83" s="5"/>
      <c r="C83" s="5"/>
    </row>
    <row r="84" spans="2:3">
      <c r="B84" s="5"/>
      <c r="C84" s="5"/>
    </row>
    <row r="85" spans="2:3">
      <c r="B85" s="5"/>
      <c r="C85" s="5"/>
    </row>
    <row r="86" spans="2:3">
      <c r="B86" s="5"/>
      <c r="C86" s="5"/>
    </row>
    <row r="87" spans="2:3">
      <c r="B87" s="5"/>
      <c r="C87" s="5"/>
    </row>
    <row r="88" spans="2:3">
      <c r="B88" s="5"/>
      <c r="C88" s="5"/>
    </row>
    <row r="89" spans="2:3">
      <c r="B89" s="5"/>
      <c r="C89" s="5"/>
    </row>
    <row r="90" spans="2:3">
      <c r="B90" s="5"/>
      <c r="C90" s="5"/>
    </row>
    <row r="91" spans="2:3">
      <c r="B91" s="5"/>
      <c r="C91" s="5"/>
    </row>
    <row r="92" spans="2:3">
      <c r="B92" s="5"/>
      <c r="C92" s="5"/>
    </row>
    <row r="93" spans="2:3">
      <c r="B93" s="5"/>
      <c r="C93" s="5"/>
    </row>
    <row r="94" spans="2:3">
      <c r="B94" s="5"/>
      <c r="C94" s="5"/>
    </row>
    <row r="95" spans="2:3">
      <c r="B95" s="5"/>
      <c r="C95" s="5"/>
    </row>
    <row r="96" spans="2:3">
      <c r="B96" s="5"/>
      <c r="C96" s="5"/>
    </row>
    <row r="97" spans="2:3">
      <c r="B97" s="5"/>
      <c r="C97" s="5"/>
    </row>
    <row r="98" spans="2:3">
      <c r="B98" s="5"/>
      <c r="C98" s="5"/>
    </row>
    <row r="99" spans="2:3">
      <c r="B99" s="5"/>
      <c r="C99" s="5"/>
    </row>
    <row r="100" spans="2:3">
      <c r="B100" s="5"/>
      <c r="C100" s="5"/>
    </row>
    <row r="101" spans="2:3">
      <c r="B101" s="5"/>
      <c r="C101" s="5"/>
    </row>
    <row r="102" spans="2:3">
      <c r="B102" s="5"/>
      <c r="C102" s="5"/>
    </row>
    <row r="103" spans="2:3">
      <c r="B103" s="5"/>
      <c r="C103" s="5"/>
    </row>
    <row r="104" spans="2:3">
      <c r="B104" s="5"/>
      <c r="C104" s="5"/>
    </row>
    <row r="105" spans="2:3">
      <c r="B105" s="5"/>
      <c r="C105" s="5"/>
    </row>
    <row r="106" spans="2:3">
      <c r="B106" s="5"/>
      <c r="C106" s="5"/>
    </row>
    <row r="107" spans="2:3">
      <c r="B107" s="5"/>
      <c r="C107" s="5"/>
    </row>
    <row r="108" spans="2:3">
      <c r="B108" s="5"/>
      <c r="C108" s="5"/>
    </row>
    <row r="109" spans="2:3">
      <c r="B109" s="5"/>
      <c r="C109" s="5"/>
    </row>
    <row r="110" spans="2:3">
      <c r="B110" s="5"/>
      <c r="C110" s="5"/>
    </row>
    <row r="111" spans="2:3">
      <c r="B111" s="5"/>
      <c r="C111" s="5"/>
    </row>
    <row r="112" spans="2:3">
      <c r="B112" s="5"/>
      <c r="C112" s="5"/>
    </row>
    <row r="113" spans="2:3">
      <c r="B113" s="5"/>
      <c r="C113" s="5"/>
    </row>
    <row r="114" spans="2:3">
      <c r="B114" s="5"/>
      <c r="C114" s="5"/>
    </row>
    <row r="115" spans="2:3">
      <c r="B115" s="5"/>
      <c r="C115" s="5"/>
    </row>
    <row r="116" spans="2:3">
      <c r="B116" s="5"/>
      <c r="C116" s="5"/>
    </row>
    <row r="117" spans="2:3">
      <c r="B117" s="5"/>
      <c r="C117" s="5"/>
    </row>
    <row r="118" spans="2:3">
      <c r="B118" s="5"/>
      <c r="C118" s="5"/>
    </row>
    <row r="119" spans="2:3">
      <c r="B119" s="5"/>
      <c r="C119" s="5"/>
    </row>
    <row r="120" spans="2:3">
      <c r="B120" s="5"/>
      <c r="C120" s="5"/>
    </row>
    <row r="121" spans="2:3">
      <c r="B121" s="5"/>
      <c r="C121" s="5"/>
    </row>
    <row r="122" spans="2:3">
      <c r="B122" s="5"/>
      <c r="C122" s="5"/>
    </row>
    <row r="123" spans="2:3">
      <c r="B123" s="5"/>
      <c r="C123" s="5"/>
    </row>
    <row r="124" spans="2:3">
      <c r="B124" s="5"/>
      <c r="C124" s="5"/>
    </row>
    <row r="125" spans="2:3">
      <c r="B125" s="5"/>
      <c r="C125" s="5"/>
    </row>
    <row r="126" spans="2:3">
      <c r="B126" s="5"/>
      <c r="C126" s="5"/>
    </row>
    <row r="127" spans="2:3">
      <c r="B127" s="5"/>
      <c r="C127" s="5"/>
    </row>
    <row r="128" spans="2:3">
      <c r="B128" s="5"/>
      <c r="C128" s="5"/>
    </row>
    <row r="129" spans="2:3">
      <c r="B129" s="5"/>
      <c r="C129" s="5"/>
    </row>
    <row r="130" spans="2:3">
      <c r="B130" s="5"/>
      <c r="C130" s="5"/>
    </row>
    <row r="131" spans="2:3">
      <c r="B131" s="5"/>
      <c r="C131" s="5"/>
    </row>
  </sheetData>
  <mergeCells count="5">
    <mergeCell ref="C11:D11"/>
    <mergeCell ref="A11:A12"/>
    <mergeCell ref="B11:B12"/>
    <mergeCell ref="A39:D39"/>
    <mergeCell ref="A8:D8"/>
  </mergeCells>
  <printOptions horizontalCentered="1"/>
  <pageMargins left="1.1811023622047245" right="0.39370078740157483" top="0.78740157480314965" bottom="0.78740157480314965" header="0.39370078740157483" footer="0.39370078740157483"/>
  <pageSetup paperSize="9" scale="74" fitToHeight="0" orientation="portrait" blackAndWhite="1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417"/>
  <sheetViews>
    <sheetView zoomScale="70" zoomScaleNormal="70" workbookViewId="0">
      <selection activeCell="C2" sqref="C2"/>
    </sheetView>
  </sheetViews>
  <sheetFormatPr defaultColWidth="8.85546875" defaultRowHeight="18.75"/>
  <cols>
    <col min="1" max="1" width="28.140625" style="284" customWidth="1"/>
    <col min="2" max="2" width="71.7109375" style="284" customWidth="1"/>
    <col min="3" max="3" width="15" style="283" customWidth="1"/>
    <col min="4" max="4" width="11.28515625" style="268" customWidth="1"/>
    <col min="5" max="5" width="8.85546875" style="243" customWidth="1"/>
    <col min="6" max="16384" width="8.85546875" style="243"/>
  </cols>
  <sheetData>
    <row r="1" spans="1:4">
      <c r="C1" s="255" t="s">
        <v>577</v>
      </c>
    </row>
    <row r="2" spans="1:4">
      <c r="C2" s="520" t="s">
        <v>936</v>
      </c>
    </row>
    <row r="4" spans="1:4">
      <c r="C4" s="255" t="s">
        <v>577</v>
      </c>
    </row>
    <row r="5" spans="1:4">
      <c r="C5" s="255" t="s">
        <v>884</v>
      </c>
    </row>
    <row r="8" spans="1:4">
      <c r="A8" s="783" t="s">
        <v>623</v>
      </c>
      <c r="B8" s="783"/>
      <c r="C8" s="783"/>
    </row>
    <row r="9" spans="1:4">
      <c r="A9" s="285"/>
      <c r="B9" s="285"/>
      <c r="C9" s="269"/>
    </row>
    <row r="10" spans="1:4">
      <c r="C10" s="270" t="s">
        <v>46</v>
      </c>
    </row>
    <row r="11" spans="1:4">
      <c r="A11" s="254" t="s">
        <v>35</v>
      </c>
      <c r="B11" s="254" t="s">
        <v>36</v>
      </c>
      <c r="C11" s="271" t="s">
        <v>37</v>
      </c>
    </row>
    <row r="12" spans="1:4">
      <c r="A12" s="254">
        <v>1</v>
      </c>
      <c r="B12" s="254">
        <v>2</v>
      </c>
      <c r="C12" s="273">
        <v>3</v>
      </c>
    </row>
    <row r="13" spans="1:4">
      <c r="A13" s="257" t="s">
        <v>38</v>
      </c>
      <c r="B13" s="274" t="s">
        <v>389</v>
      </c>
      <c r="C13" s="275">
        <f>C14</f>
        <v>1034573.5</v>
      </c>
      <c r="D13" s="679"/>
    </row>
    <row r="14" spans="1:4" ht="37.5">
      <c r="A14" s="254" t="s">
        <v>39</v>
      </c>
      <c r="B14" s="286" t="s">
        <v>40</v>
      </c>
      <c r="C14" s="296">
        <f>C15+C38+C18+C77</f>
        <v>1034573.5</v>
      </c>
      <c r="D14" s="679"/>
    </row>
    <row r="15" spans="1:4" ht="37.5">
      <c r="A15" s="254" t="s">
        <v>595</v>
      </c>
      <c r="B15" s="286" t="s">
        <v>434</v>
      </c>
      <c r="C15" s="296">
        <f>C16</f>
        <v>175904.4</v>
      </c>
      <c r="D15" s="679"/>
    </row>
    <row r="16" spans="1:4">
      <c r="A16" s="254" t="s">
        <v>596</v>
      </c>
      <c r="B16" s="286" t="s">
        <v>41</v>
      </c>
      <c r="C16" s="296">
        <f>C17</f>
        <v>175904.4</v>
      </c>
      <c r="D16" s="679"/>
    </row>
    <row r="17" spans="1:6" ht="56.25">
      <c r="A17" s="254" t="s">
        <v>585</v>
      </c>
      <c r="B17" s="286" t="s">
        <v>773</v>
      </c>
      <c r="C17" s="296">
        <v>175904.4</v>
      </c>
      <c r="D17" s="679"/>
    </row>
    <row r="18" spans="1:6" ht="37.5">
      <c r="A18" s="254" t="s">
        <v>597</v>
      </c>
      <c r="B18" s="287" t="s">
        <v>482</v>
      </c>
      <c r="C18" s="296">
        <f>C19+C23+C25+C28</f>
        <v>47093.1</v>
      </c>
      <c r="D18" s="679"/>
    </row>
    <row r="19" spans="1:6" ht="37.5">
      <c r="A19" s="254" t="s">
        <v>664</v>
      </c>
      <c r="B19" s="287" t="s">
        <v>665</v>
      </c>
      <c r="C19" s="296">
        <f>C20</f>
        <v>23837.1</v>
      </c>
      <c r="D19" s="679"/>
    </row>
    <row r="20" spans="1:6" ht="56.25">
      <c r="A20" s="254" t="s">
        <v>662</v>
      </c>
      <c r="B20" s="287" t="s">
        <v>663</v>
      </c>
      <c r="C20" s="296">
        <f>C21+C22</f>
        <v>23837.1</v>
      </c>
      <c r="D20" s="679"/>
    </row>
    <row r="21" spans="1:6" ht="56.25">
      <c r="A21" s="252"/>
      <c r="B21" s="276" t="s">
        <v>677</v>
      </c>
      <c r="C21" s="297">
        <v>23837.1</v>
      </c>
      <c r="D21" s="679">
        <v>921</v>
      </c>
    </row>
    <row r="22" spans="1:6" s="268" customFormat="1" ht="93.75" customHeight="1">
      <c r="A22" s="277"/>
      <c r="B22" s="288" t="s">
        <v>802</v>
      </c>
      <c r="C22" s="298">
        <f>118996.3-118996.3</f>
        <v>0</v>
      </c>
      <c r="D22" s="679">
        <v>921</v>
      </c>
    </row>
    <row r="23" spans="1:6" s="268" customFormat="1" ht="56.25">
      <c r="A23" s="252" t="s">
        <v>855</v>
      </c>
      <c r="B23" s="287" t="s">
        <v>854</v>
      </c>
      <c r="C23" s="296">
        <f>C24</f>
        <v>2234.1</v>
      </c>
      <c r="D23" s="679"/>
    </row>
    <row r="24" spans="1:6" s="268" customFormat="1" ht="75">
      <c r="A24" s="252" t="s">
        <v>661</v>
      </c>
      <c r="B24" s="287" t="s">
        <v>660</v>
      </c>
      <c r="C24" s="296">
        <v>2234.1</v>
      </c>
      <c r="D24" s="679">
        <v>925</v>
      </c>
    </row>
    <row r="25" spans="1:6">
      <c r="A25" s="254" t="s">
        <v>666</v>
      </c>
      <c r="B25" s="287" t="s">
        <v>678</v>
      </c>
      <c r="C25" s="296">
        <f>C26</f>
        <v>3700</v>
      </c>
      <c r="D25" s="679"/>
    </row>
    <row r="26" spans="1:6" ht="37.5">
      <c r="A26" s="254" t="s">
        <v>592</v>
      </c>
      <c r="B26" s="287" t="s">
        <v>494</v>
      </c>
      <c r="C26" s="296">
        <f>C27</f>
        <v>3700</v>
      </c>
      <c r="D26" s="679"/>
    </row>
    <row r="27" spans="1:6" ht="131.25">
      <c r="A27" s="277"/>
      <c r="B27" s="288" t="s">
        <v>668</v>
      </c>
      <c r="C27" s="298">
        <v>3700</v>
      </c>
      <c r="D27" s="680">
        <v>926</v>
      </c>
    </row>
    <row r="28" spans="1:6">
      <c r="A28" s="252" t="s">
        <v>598</v>
      </c>
      <c r="B28" s="287" t="s">
        <v>379</v>
      </c>
      <c r="C28" s="296">
        <f>C29</f>
        <v>17321.900000000001</v>
      </c>
      <c r="D28" s="679"/>
    </row>
    <row r="29" spans="1:6" ht="37.5">
      <c r="A29" s="252" t="s">
        <v>582</v>
      </c>
      <c r="B29" s="287" t="s">
        <v>380</v>
      </c>
      <c r="C29" s="296">
        <f>SUM(C30:C37)</f>
        <v>17321.900000000001</v>
      </c>
      <c r="D29" s="679"/>
    </row>
    <row r="30" spans="1:6" ht="116.25" customHeight="1">
      <c r="A30" s="277"/>
      <c r="B30" s="288" t="s">
        <v>875</v>
      </c>
      <c r="C30" s="298">
        <v>3519</v>
      </c>
      <c r="D30" s="679">
        <v>925</v>
      </c>
      <c r="F30" s="714"/>
    </row>
    <row r="31" spans="1:6" s="268" customFormat="1" ht="37.5">
      <c r="A31" s="277"/>
      <c r="B31" s="288" t="s">
        <v>801</v>
      </c>
      <c r="C31" s="298">
        <v>383.2</v>
      </c>
      <c r="D31" s="679">
        <v>902</v>
      </c>
    </row>
    <row r="32" spans="1:6" ht="112.5">
      <c r="A32" s="277"/>
      <c r="B32" s="276" t="s">
        <v>791</v>
      </c>
      <c r="C32" s="297">
        <v>8863.7000000000007</v>
      </c>
      <c r="D32" s="679">
        <v>925</v>
      </c>
    </row>
    <row r="33" spans="1:4" ht="93.75" customHeight="1">
      <c r="A33" s="277"/>
      <c r="B33" s="276" t="s">
        <v>624</v>
      </c>
      <c r="C33" s="298">
        <v>40</v>
      </c>
      <c r="D33" s="680">
        <v>926</v>
      </c>
    </row>
    <row r="34" spans="1:4" ht="75" customHeight="1">
      <c r="A34" s="277"/>
      <c r="B34" s="276" t="s">
        <v>625</v>
      </c>
      <c r="C34" s="298">
        <v>48.7</v>
      </c>
      <c r="D34" s="680">
        <v>926</v>
      </c>
    </row>
    <row r="35" spans="1:4" ht="56.25">
      <c r="A35" s="277"/>
      <c r="B35" s="276" t="s">
        <v>626</v>
      </c>
      <c r="C35" s="298">
        <v>852.9</v>
      </c>
      <c r="D35" s="680">
        <v>929</v>
      </c>
    </row>
    <row r="36" spans="1:4" ht="75">
      <c r="A36" s="277"/>
      <c r="B36" s="288" t="s">
        <v>667</v>
      </c>
      <c r="C36" s="298">
        <v>740</v>
      </c>
      <c r="D36" s="680">
        <v>902</v>
      </c>
    </row>
    <row r="37" spans="1:4" ht="132" customHeight="1">
      <c r="A37" s="277"/>
      <c r="B37" s="288" t="s">
        <v>783</v>
      </c>
      <c r="C37" s="298">
        <v>2874.4</v>
      </c>
      <c r="D37" s="680">
        <v>925</v>
      </c>
    </row>
    <row r="38" spans="1:4" ht="37.5">
      <c r="A38" s="254" t="s">
        <v>599</v>
      </c>
      <c r="B38" s="286" t="s">
        <v>435</v>
      </c>
      <c r="C38" s="296">
        <f>C39+C65+C69+C71+C73+C75</f>
        <v>810126</v>
      </c>
      <c r="D38" s="679"/>
    </row>
    <row r="39" spans="1:4" ht="39" customHeight="1">
      <c r="A39" s="254" t="s">
        <v>600</v>
      </c>
      <c r="B39" s="286" t="s">
        <v>42</v>
      </c>
      <c r="C39" s="296">
        <f>C40</f>
        <v>730252.7</v>
      </c>
      <c r="D39" s="679"/>
    </row>
    <row r="40" spans="1:4" ht="56.25">
      <c r="A40" s="254" t="s">
        <v>583</v>
      </c>
      <c r="B40" s="286" t="s">
        <v>43</v>
      </c>
      <c r="C40" s="296">
        <f>SUM(C41:C51)+SUM(C53:C58)+C61+C62+C63+C64</f>
        <v>730252.7</v>
      </c>
      <c r="D40" s="679"/>
    </row>
    <row r="41" spans="1:4" ht="149.25" customHeight="1">
      <c r="A41" s="254"/>
      <c r="B41" s="276" t="s">
        <v>669</v>
      </c>
      <c r="C41" s="298">
        <v>125</v>
      </c>
      <c r="D41" s="679">
        <v>925</v>
      </c>
    </row>
    <row r="42" spans="1:4" s="278" customFormat="1" ht="56.25">
      <c r="A42" s="254"/>
      <c r="B42" s="288" t="s">
        <v>44</v>
      </c>
      <c r="C42" s="299">
        <v>3458</v>
      </c>
      <c r="D42" s="680">
        <v>902</v>
      </c>
    </row>
    <row r="43" spans="1:4" ht="56.25">
      <c r="A43" s="254"/>
      <c r="B43" s="288" t="s">
        <v>670</v>
      </c>
      <c r="C43" s="299">
        <v>18260.8</v>
      </c>
      <c r="D43" s="680">
        <v>902</v>
      </c>
    </row>
    <row r="44" spans="1:4" s="278" customFormat="1" ht="75">
      <c r="A44" s="277"/>
      <c r="B44" s="288" t="s">
        <v>323</v>
      </c>
      <c r="C44" s="299">
        <v>3793.4</v>
      </c>
      <c r="D44" s="680">
        <v>925</v>
      </c>
    </row>
    <row r="45" spans="1:4" s="278" customFormat="1" ht="147.75" customHeight="1">
      <c r="A45" s="254"/>
      <c r="B45" s="288" t="s">
        <v>671</v>
      </c>
      <c r="C45" s="299">
        <v>640.6</v>
      </c>
      <c r="D45" s="680">
        <v>902</v>
      </c>
    </row>
    <row r="46" spans="1:4" ht="75">
      <c r="A46" s="289"/>
      <c r="B46" s="288" t="s">
        <v>45</v>
      </c>
      <c r="C46" s="299">
        <v>66</v>
      </c>
      <c r="D46" s="680">
        <v>902</v>
      </c>
    </row>
    <row r="47" spans="1:4" ht="56.25">
      <c r="A47" s="277"/>
      <c r="B47" s="288" t="s">
        <v>502</v>
      </c>
      <c r="C47" s="299">
        <v>640.79999999999995</v>
      </c>
      <c r="D47" s="680">
        <v>953</v>
      </c>
    </row>
    <row r="48" spans="1:4" s="278" customFormat="1" ht="57.75" customHeight="1">
      <c r="A48" s="277"/>
      <c r="B48" s="288" t="s">
        <v>357</v>
      </c>
      <c r="C48" s="299">
        <v>6385.5</v>
      </c>
      <c r="D48" s="680">
        <v>953</v>
      </c>
    </row>
    <row r="49" spans="1:4" ht="110.25" customHeight="1">
      <c r="A49" s="277"/>
      <c r="B49" s="288" t="s">
        <v>460</v>
      </c>
      <c r="C49" s="299">
        <v>16.3</v>
      </c>
      <c r="D49" s="680">
        <v>953</v>
      </c>
    </row>
    <row r="50" spans="1:4" ht="150">
      <c r="A50" s="254"/>
      <c r="B50" s="288" t="s">
        <v>672</v>
      </c>
      <c r="C50" s="299">
        <v>66</v>
      </c>
      <c r="D50" s="680">
        <v>902</v>
      </c>
    </row>
    <row r="51" spans="1:4" s="278" customFormat="1" ht="132" customHeight="1">
      <c r="A51" s="277"/>
      <c r="B51" s="288" t="s">
        <v>326</v>
      </c>
      <c r="C51" s="299">
        <f>C52</f>
        <v>2261.6999999999998</v>
      </c>
      <c r="D51" s="680"/>
    </row>
    <row r="52" spans="1:4" s="278" customFormat="1" ht="57.75" customHeight="1">
      <c r="A52" s="277" t="s">
        <v>322</v>
      </c>
      <c r="B52" s="288" t="s">
        <v>673</v>
      </c>
      <c r="C52" s="299">
        <v>2261.6999999999998</v>
      </c>
      <c r="D52" s="680">
        <v>925</v>
      </c>
    </row>
    <row r="53" spans="1:4" ht="75">
      <c r="A53" s="277"/>
      <c r="B53" s="288" t="s">
        <v>463</v>
      </c>
      <c r="C53" s="299">
        <v>509.2</v>
      </c>
      <c r="D53" s="680">
        <v>953</v>
      </c>
    </row>
    <row r="54" spans="1:4" ht="93.75">
      <c r="A54" s="277"/>
      <c r="B54" s="288" t="s">
        <v>459</v>
      </c>
      <c r="C54" s="299">
        <v>726.3</v>
      </c>
      <c r="D54" s="680">
        <v>953</v>
      </c>
    </row>
    <row r="55" spans="1:4" ht="150" customHeight="1">
      <c r="A55" s="277"/>
      <c r="B55" s="288" t="s">
        <v>527</v>
      </c>
      <c r="C55" s="299">
        <v>46396.7</v>
      </c>
      <c r="D55" s="680">
        <v>921</v>
      </c>
    </row>
    <row r="56" spans="1:4" ht="187.5" customHeight="1">
      <c r="A56" s="277"/>
      <c r="B56" s="288" t="s">
        <v>877</v>
      </c>
      <c r="C56" s="299">
        <v>879.2</v>
      </c>
      <c r="D56" s="680">
        <v>953</v>
      </c>
    </row>
    <row r="57" spans="1:4" ht="130.5" customHeight="1">
      <c r="A57" s="254"/>
      <c r="B57" s="288" t="s">
        <v>782</v>
      </c>
      <c r="C57" s="299">
        <v>183.6</v>
      </c>
      <c r="D57" s="680">
        <v>902</v>
      </c>
    </row>
    <row r="58" spans="1:4" ht="93.75">
      <c r="A58" s="277"/>
      <c r="B58" s="288" t="s">
        <v>438</v>
      </c>
      <c r="C58" s="299">
        <f>SUM(C59:C60)</f>
        <v>631814.1</v>
      </c>
      <c r="D58" s="680"/>
    </row>
    <row r="59" spans="1:4" s="278" customFormat="1" ht="27" customHeight="1">
      <c r="A59" s="277" t="s">
        <v>322</v>
      </c>
      <c r="B59" s="288" t="s">
        <v>324</v>
      </c>
      <c r="C59" s="297">
        <v>214886.5</v>
      </c>
      <c r="D59" s="680">
        <v>925</v>
      </c>
    </row>
    <row r="60" spans="1:4" s="278" customFormat="1">
      <c r="A60" s="277"/>
      <c r="B60" s="290" t="s">
        <v>325</v>
      </c>
      <c r="C60" s="297">
        <v>416927.6</v>
      </c>
      <c r="D60" s="680">
        <v>925</v>
      </c>
    </row>
    <row r="61" spans="1:4" s="278" customFormat="1" ht="187.5" customHeight="1">
      <c r="A61" s="277"/>
      <c r="B61" s="291" t="s">
        <v>676</v>
      </c>
      <c r="C61" s="299">
        <v>4661.3999999999996</v>
      </c>
      <c r="D61" s="680">
        <v>925</v>
      </c>
    </row>
    <row r="62" spans="1:4" s="278" customFormat="1" ht="146.25" customHeight="1">
      <c r="A62" s="277"/>
      <c r="B62" s="753" t="s">
        <v>909</v>
      </c>
      <c r="C62" s="299">
        <v>5.2</v>
      </c>
      <c r="D62" s="681">
        <v>953</v>
      </c>
    </row>
    <row r="63" spans="1:4" s="278" customFormat="1" ht="100.5" customHeight="1">
      <c r="A63" s="277"/>
      <c r="B63" s="288" t="s">
        <v>910</v>
      </c>
      <c r="C63" s="299">
        <v>6720.3</v>
      </c>
      <c r="D63" s="680">
        <v>925</v>
      </c>
    </row>
    <row r="64" spans="1:4" s="278" customFormat="1" ht="347.25" customHeight="1">
      <c r="A64" s="277"/>
      <c r="B64" s="288" t="s">
        <v>927</v>
      </c>
      <c r="C64" s="299">
        <v>2642.6</v>
      </c>
      <c r="D64" s="680">
        <v>921</v>
      </c>
    </row>
    <row r="65" spans="1:8" ht="56.25">
      <c r="A65" s="252" t="s">
        <v>601</v>
      </c>
      <c r="B65" s="287" t="s">
        <v>358</v>
      </c>
      <c r="C65" s="300">
        <f>C66</f>
        <v>61287.3</v>
      </c>
      <c r="D65" s="680"/>
    </row>
    <row r="66" spans="1:8" ht="75">
      <c r="A66" s="252" t="s">
        <v>593</v>
      </c>
      <c r="B66" s="287" t="s">
        <v>359</v>
      </c>
      <c r="C66" s="300">
        <f>SUM(C67:C68)</f>
        <v>61287.3</v>
      </c>
      <c r="D66" s="680"/>
    </row>
    <row r="67" spans="1:8" ht="111.75" customHeight="1">
      <c r="A67" s="277"/>
      <c r="B67" s="288" t="s">
        <v>461</v>
      </c>
      <c r="C67" s="299">
        <v>33951.5</v>
      </c>
      <c r="D67" s="680">
        <v>953</v>
      </c>
    </row>
    <row r="68" spans="1:8" s="265" customFormat="1" ht="75">
      <c r="A68" s="277"/>
      <c r="B68" s="276" t="s">
        <v>462</v>
      </c>
      <c r="C68" s="299">
        <v>27335.8</v>
      </c>
      <c r="D68" s="680">
        <v>953</v>
      </c>
      <c r="E68" s="262"/>
      <c r="F68" s="262"/>
      <c r="G68" s="263"/>
      <c r="H68" s="264"/>
    </row>
    <row r="69" spans="1:8" s="265" customFormat="1" ht="93.75">
      <c r="A69" s="252" t="s">
        <v>602</v>
      </c>
      <c r="B69" s="286" t="s">
        <v>321</v>
      </c>
      <c r="C69" s="300">
        <f>C70</f>
        <v>7904.9</v>
      </c>
      <c r="D69" s="680" t="s">
        <v>503</v>
      </c>
      <c r="E69" s="262"/>
      <c r="F69" s="262"/>
      <c r="G69" s="263"/>
      <c r="H69" s="264"/>
    </row>
    <row r="70" spans="1:8" s="265" customFormat="1" ht="95.25" customHeight="1">
      <c r="A70" s="252" t="s">
        <v>591</v>
      </c>
      <c r="B70" s="286" t="s">
        <v>28</v>
      </c>
      <c r="C70" s="300">
        <v>7904.9</v>
      </c>
      <c r="D70" s="681">
        <v>925</v>
      </c>
      <c r="E70" s="262"/>
      <c r="F70" s="262"/>
    </row>
    <row r="71" spans="1:8" s="265" customFormat="1" ht="75" customHeight="1">
      <c r="A71" s="252" t="s">
        <v>674</v>
      </c>
      <c r="B71" s="286" t="s">
        <v>675</v>
      </c>
      <c r="C71" s="300">
        <f>C72</f>
        <v>9268.6</v>
      </c>
      <c r="D71" s="681"/>
      <c r="E71" s="262"/>
      <c r="F71" s="262"/>
    </row>
    <row r="72" spans="1:8" s="265" customFormat="1" ht="75" customHeight="1">
      <c r="A72" s="252" t="s">
        <v>588</v>
      </c>
      <c r="B72" s="286" t="s">
        <v>23</v>
      </c>
      <c r="C72" s="300">
        <v>9268.6</v>
      </c>
      <c r="D72" s="681">
        <v>921</v>
      </c>
      <c r="E72" s="262"/>
      <c r="F72" s="262"/>
    </row>
    <row r="73" spans="1:8" ht="75">
      <c r="A73" s="254" t="s">
        <v>603</v>
      </c>
      <c r="B73" s="292" t="s">
        <v>526</v>
      </c>
      <c r="C73" s="296">
        <f>C74</f>
        <v>12.4</v>
      </c>
      <c r="D73" s="680"/>
    </row>
    <row r="74" spans="1:8" ht="75">
      <c r="A74" s="254" t="s">
        <v>584</v>
      </c>
      <c r="B74" s="292" t="s">
        <v>483</v>
      </c>
      <c r="C74" s="296">
        <v>12.4</v>
      </c>
      <c r="D74" s="680">
        <v>902</v>
      </c>
    </row>
    <row r="75" spans="1:8" ht="37.5">
      <c r="A75" s="254" t="s">
        <v>803</v>
      </c>
      <c r="B75" s="292" t="s">
        <v>806</v>
      </c>
      <c r="C75" s="296">
        <f>C76</f>
        <v>1400.1</v>
      </c>
      <c r="D75" s="680"/>
    </row>
    <row r="76" spans="1:8" ht="37.5">
      <c r="A76" s="254" t="s">
        <v>804</v>
      </c>
      <c r="B76" s="292" t="s">
        <v>805</v>
      </c>
      <c r="C76" s="296">
        <v>1400.1</v>
      </c>
      <c r="D76" s="680">
        <v>902</v>
      </c>
    </row>
    <row r="77" spans="1:8">
      <c r="A77" s="254" t="s">
        <v>621</v>
      </c>
      <c r="B77" s="292" t="s">
        <v>788</v>
      </c>
      <c r="C77" s="296">
        <f>C78</f>
        <v>1450</v>
      </c>
      <c r="D77" s="680"/>
      <c r="G77" s="243" t="s">
        <v>931</v>
      </c>
    </row>
    <row r="78" spans="1:8" ht="37.5">
      <c r="A78" s="254" t="s">
        <v>930</v>
      </c>
      <c r="B78" s="292" t="s">
        <v>932</v>
      </c>
      <c r="C78" s="296">
        <f>C79</f>
        <v>1450</v>
      </c>
      <c r="D78" s="680"/>
    </row>
    <row r="79" spans="1:8" ht="37.5">
      <c r="A79" s="254" t="s">
        <v>590</v>
      </c>
      <c r="B79" s="292" t="s">
        <v>25</v>
      </c>
      <c r="C79" s="296">
        <v>1450</v>
      </c>
      <c r="D79" s="680"/>
    </row>
    <row r="80" spans="1:8">
      <c r="A80" s="279"/>
      <c r="B80" s="293"/>
      <c r="C80" s="281"/>
    </row>
    <row r="81" spans="1:4">
      <c r="A81" s="279"/>
      <c r="B81" s="293"/>
      <c r="C81" s="281"/>
    </row>
    <row r="82" spans="1:4">
      <c r="A82" s="294" t="s">
        <v>497</v>
      </c>
      <c r="B82" s="261"/>
      <c r="C82" s="262"/>
      <c r="D82" s="282"/>
    </row>
    <row r="83" spans="1:4">
      <c r="A83" s="294" t="s">
        <v>498</v>
      </c>
      <c r="B83" s="261"/>
      <c r="C83" s="262"/>
      <c r="D83" s="282"/>
    </row>
    <row r="84" spans="1:4">
      <c r="A84" s="295" t="s">
        <v>499</v>
      </c>
      <c r="B84" s="261"/>
      <c r="C84" s="267" t="s">
        <v>534</v>
      </c>
      <c r="D84" s="282"/>
    </row>
    <row r="416" spans="12:13">
      <c r="L416" s="243">
        <v>135.4</v>
      </c>
      <c r="M416" s="243">
        <v>140.9</v>
      </c>
    </row>
    <row r="417" spans="12:13">
      <c r="L417" s="243">
        <v>27088.9</v>
      </c>
      <c r="M417" s="243">
        <v>28171.4</v>
      </c>
    </row>
  </sheetData>
  <autoFilter ref="A4:E76"/>
  <mergeCells count="1">
    <mergeCell ref="A8:C8"/>
  </mergeCells>
  <printOptions horizontalCentered="1"/>
  <pageMargins left="1.1811023622047245" right="0.39370078740157483" top="0.6692913385826772" bottom="0.39370078740157483" header="0.31496062992125984" footer="0.31496062992125984"/>
  <pageSetup paperSize="9" scale="74" fitToHeight="0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L407"/>
  <sheetViews>
    <sheetView zoomScale="80" zoomScaleNormal="80" workbookViewId="0">
      <selection activeCell="D2" sqref="D2"/>
    </sheetView>
  </sheetViews>
  <sheetFormatPr defaultColWidth="8.85546875" defaultRowHeight="18.75"/>
  <cols>
    <col min="1" max="1" width="28.7109375" style="243" customWidth="1"/>
    <col min="2" max="2" width="68" style="243" customWidth="1"/>
    <col min="3" max="3" width="13.5703125" style="283" customWidth="1"/>
    <col min="4" max="4" width="12.5703125" style="243" customWidth="1"/>
    <col min="5" max="5" width="12.28515625" style="302" customWidth="1"/>
    <col min="6" max="16384" width="8.85546875" style="243"/>
  </cols>
  <sheetData>
    <row r="1" spans="1:4">
      <c r="D1" s="255" t="s">
        <v>489</v>
      </c>
    </row>
    <row r="2" spans="1:4">
      <c r="D2" s="520" t="s">
        <v>936</v>
      </c>
    </row>
    <row r="4" spans="1:4">
      <c r="D4" s="255" t="s">
        <v>489</v>
      </c>
    </row>
    <row r="5" spans="1:4">
      <c r="D5" s="255" t="s">
        <v>884</v>
      </c>
    </row>
    <row r="7" spans="1:4">
      <c r="A7" s="783" t="s">
        <v>798</v>
      </c>
      <c r="B7" s="783"/>
      <c r="C7" s="783"/>
      <c r="D7" s="783"/>
    </row>
    <row r="8" spans="1:4" ht="15" customHeight="1">
      <c r="A8" s="705"/>
      <c r="B8" s="705"/>
      <c r="C8" s="269"/>
    </row>
    <row r="9" spans="1:4">
      <c r="D9" s="270" t="s">
        <v>46</v>
      </c>
    </row>
    <row r="10" spans="1:4">
      <c r="A10" s="786" t="s">
        <v>35</v>
      </c>
      <c r="B10" s="786" t="s">
        <v>36</v>
      </c>
      <c r="C10" s="784" t="s">
        <v>37</v>
      </c>
      <c r="D10" s="785"/>
    </row>
    <row r="11" spans="1:4">
      <c r="A11" s="787"/>
      <c r="B11" s="787"/>
      <c r="C11" s="271" t="s">
        <v>594</v>
      </c>
      <c r="D11" s="271" t="s">
        <v>622</v>
      </c>
    </row>
    <row r="12" spans="1:4">
      <c r="A12" s="272">
        <v>1</v>
      </c>
      <c r="B12" s="272">
        <v>2</v>
      </c>
      <c r="C12" s="273">
        <v>3</v>
      </c>
      <c r="D12" s="273">
        <v>4</v>
      </c>
    </row>
    <row r="13" spans="1:4">
      <c r="A13" s="257" t="s">
        <v>38</v>
      </c>
      <c r="B13" s="274" t="s">
        <v>389</v>
      </c>
      <c r="C13" s="275">
        <f>C14</f>
        <v>952158.60000000009</v>
      </c>
      <c r="D13" s="275">
        <f>D14</f>
        <v>970221</v>
      </c>
    </row>
    <row r="14" spans="1:4" ht="37.5">
      <c r="A14" s="254" t="s">
        <v>39</v>
      </c>
      <c r="B14" s="286" t="s">
        <v>40</v>
      </c>
      <c r="C14" s="296">
        <f>C15+C33+C18</f>
        <v>952158.60000000009</v>
      </c>
      <c r="D14" s="296">
        <f>D15+D33+D18</f>
        <v>970221</v>
      </c>
    </row>
    <row r="15" spans="1:4" ht="37.5">
      <c r="A15" s="254" t="s">
        <v>595</v>
      </c>
      <c r="B15" s="286" t="s">
        <v>434</v>
      </c>
      <c r="C15" s="296">
        <f>C16</f>
        <v>141298.5</v>
      </c>
      <c r="D15" s="296">
        <f>D16</f>
        <v>143966.70000000001</v>
      </c>
    </row>
    <row r="16" spans="1:4">
      <c r="A16" s="254" t="s">
        <v>596</v>
      </c>
      <c r="B16" s="286" t="s">
        <v>41</v>
      </c>
      <c r="C16" s="296">
        <f>C17</f>
        <v>141298.5</v>
      </c>
      <c r="D16" s="296">
        <f>D17</f>
        <v>143966.70000000001</v>
      </c>
    </row>
    <row r="17" spans="1:6" ht="56.25">
      <c r="A17" s="254" t="s">
        <v>585</v>
      </c>
      <c r="B17" s="286" t="s">
        <v>773</v>
      </c>
      <c r="C17" s="296">
        <v>141298.5</v>
      </c>
      <c r="D17" s="296">
        <v>143966.70000000001</v>
      </c>
    </row>
    <row r="18" spans="1:6" ht="37.5">
      <c r="A18" s="254" t="s">
        <v>597</v>
      </c>
      <c r="B18" s="287" t="s">
        <v>482</v>
      </c>
      <c r="C18" s="296">
        <f>C19+C25+C23</f>
        <v>4233.3</v>
      </c>
      <c r="D18" s="296">
        <f>D19+D25+D23</f>
        <v>19172</v>
      </c>
    </row>
    <row r="19" spans="1:6" ht="35.25" customHeight="1">
      <c r="A19" s="254" t="s">
        <v>664</v>
      </c>
      <c r="B19" s="287" t="s">
        <v>665</v>
      </c>
      <c r="C19" s="296">
        <f>C20</f>
        <v>2355.4</v>
      </c>
      <c r="D19" s="296">
        <f>D20</f>
        <v>8000</v>
      </c>
    </row>
    <row r="20" spans="1:6" ht="56.25">
      <c r="A20" s="254" t="s">
        <v>662</v>
      </c>
      <c r="B20" s="287" t="s">
        <v>663</v>
      </c>
      <c r="C20" s="296">
        <f>C21+C22</f>
        <v>2355.4</v>
      </c>
      <c r="D20" s="296">
        <f>D21+D22</f>
        <v>8000</v>
      </c>
    </row>
    <row r="21" spans="1:6" ht="75" customHeight="1">
      <c r="A21" s="254"/>
      <c r="B21" s="288" t="s">
        <v>878</v>
      </c>
      <c r="C21" s="298">
        <v>0</v>
      </c>
      <c r="D21" s="298">
        <v>8000</v>
      </c>
      <c r="E21" s="302">
        <v>921</v>
      </c>
    </row>
    <row r="22" spans="1:6" ht="53.25" customHeight="1">
      <c r="A22" s="252"/>
      <c r="B22" s="276" t="s">
        <v>677</v>
      </c>
      <c r="C22" s="297">
        <v>2355.4</v>
      </c>
      <c r="D22" s="297">
        <v>0</v>
      </c>
      <c r="E22" s="302">
        <v>921</v>
      </c>
    </row>
    <row r="23" spans="1:6" s="268" customFormat="1" ht="57" customHeight="1">
      <c r="A23" s="252" t="s">
        <v>855</v>
      </c>
      <c r="B23" s="287" t="s">
        <v>854</v>
      </c>
      <c r="C23" s="296">
        <f>C24</f>
        <v>0</v>
      </c>
      <c r="D23" s="296">
        <f>D24</f>
        <v>2251.3000000000002</v>
      </c>
      <c r="E23" s="302"/>
    </row>
    <row r="24" spans="1:6" s="268" customFormat="1" ht="75">
      <c r="A24" s="252" t="s">
        <v>661</v>
      </c>
      <c r="B24" s="287" t="s">
        <v>660</v>
      </c>
      <c r="C24" s="296">
        <v>0</v>
      </c>
      <c r="D24" s="296">
        <v>2251.3000000000002</v>
      </c>
      <c r="E24" s="302">
        <v>925</v>
      </c>
    </row>
    <row r="25" spans="1:6">
      <c r="A25" s="252" t="s">
        <v>598</v>
      </c>
      <c r="B25" s="287" t="s">
        <v>379</v>
      </c>
      <c r="C25" s="296">
        <f>C26</f>
        <v>1877.9</v>
      </c>
      <c r="D25" s="296">
        <f>D26</f>
        <v>8920.7000000000007</v>
      </c>
    </row>
    <row r="26" spans="1:6" ht="37.5">
      <c r="A26" s="252" t="s">
        <v>582</v>
      </c>
      <c r="B26" s="287" t="s">
        <v>380</v>
      </c>
      <c r="C26" s="296">
        <f>SUM(C27:C32)</f>
        <v>1877.9</v>
      </c>
      <c r="D26" s="296">
        <f>SUM(D27:D31)</f>
        <v>8920.7000000000007</v>
      </c>
    </row>
    <row r="27" spans="1:6" ht="166.5" customHeight="1">
      <c r="A27" s="277"/>
      <c r="B27" s="288" t="s">
        <v>876</v>
      </c>
      <c r="C27" s="298">
        <v>479.2</v>
      </c>
      <c r="D27" s="298">
        <v>0</v>
      </c>
      <c r="E27" s="302">
        <v>925</v>
      </c>
      <c r="F27" s="714"/>
    </row>
    <row r="28" spans="1:6" ht="75.75" customHeight="1">
      <c r="A28" s="277"/>
      <c r="B28" s="288" t="s">
        <v>667</v>
      </c>
      <c r="C28" s="298">
        <v>740</v>
      </c>
      <c r="D28" s="298">
        <v>740</v>
      </c>
      <c r="E28" s="302">
        <v>902</v>
      </c>
    </row>
    <row r="29" spans="1:6" ht="58.5" customHeight="1">
      <c r="A29" s="277"/>
      <c r="B29" s="288" t="s">
        <v>679</v>
      </c>
      <c r="C29" s="298">
        <v>0</v>
      </c>
      <c r="D29" s="298">
        <v>8140.7</v>
      </c>
      <c r="E29" s="302">
        <v>925</v>
      </c>
    </row>
    <row r="30" spans="1:6" ht="75">
      <c r="A30" s="277"/>
      <c r="B30" s="288" t="s">
        <v>680</v>
      </c>
      <c r="C30" s="298">
        <v>570</v>
      </c>
      <c r="D30" s="298">
        <v>0</v>
      </c>
      <c r="E30" s="302">
        <v>925</v>
      </c>
    </row>
    <row r="31" spans="1:6" ht="112.5">
      <c r="A31" s="277"/>
      <c r="B31" s="276" t="s">
        <v>624</v>
      </c>
      <c r="C31" s="298">
        <v>40</v>
      </c>
      <c r="D31" s="298">
        <v>40</v>
      </c>
      <c r="E31" s="302">
        <v>926</v>
      </c>
    </row>
    <row r="32" spans="1:6" ht="93.75">
      <c r="A32" s="277"/>
      <c r="B32" s="659" t="s">
        <v>625</v>
      </c>
      <c r="C32" s="298">
        <v>48.7</v>
      </c>
      <c r="D32" s="298">
        <v>0</v>
      </c>
      <c r="E32" s="302">
        <v>926</v>
      </c>
    </row>
    <row r="33" spans="1:5" ht="37.5">
      <c r="A33" s="254" t="s">
        <v>599</v>
      </c>
      <c r="B33" s="286" t="s">
        <v>435</v>
      </c>
      <c r="C33" s="296">
        <f>C34+C58+C62+C64+C66</f>
        <v>806626.8</v>
      </c>
      <c r="D33" s="296">
        <f>D34+D58+D62+D64+D66</f>
        <v>807082.29999999993</v>
      </c>
    </row>
    <row r="34" spans="1:5" ht="39.75" customHeight="1">
      <c r="A34" s="254" t="s">
        <v>600</v>
      </c>
      <c r="B34" s="286" t="s">
        <v>42</v>
      </c>
      <c r="C34" s="296">
        <f>C35</f>
        <v>719869.9</v>
      </c>
      <c r="D34" s="296">
        <f>D35</f>
        <v>719064.89999999991</v>
      </c>
    </row>
    <row r="35" spans="1:5" ht="56.25">
      <c r="A35" s="254" t="s">
        <v>583</v>
      </c>
      <c r="B35" s="286" t="s">
        <v>43</v>
      </c>
      <c r="C35" s="296">
        <f>SUM(C36:C46)+SUM(C48:C53)+C56+C57</f>
        <v>719869.9</v>
      </c>
      <c r="D35" s="296">
        <f>SUM(D36:D46)+SUM(D48:D53)+D56+D57</f>
        <v>719064.89999999991</v>
      </c>
    </row>
    <row r="36" spans="1:5" ht="147" customHeight="1">
      <c r="A36" s="254"/>
      <c r="B36" s="276" t="s">
        <v>669</v>
      </c>
      <c r="C36" s="298">
        <v>125</v>
      </c>
      <c r="D36" s="298">
        <v>125</v>
      </c>
      <c r="E36" s="302">
        <v>925</v>
      </c>
    </row>
    <row r="37" spans="1:5" ht="59.25" customHeight="1">
      <c r="A37" s="254"/>
      <c r="B37" s="288" t="s">
        <v>44</v>
      </c>
      <c r="C37" s="299">
        <v>3458</v>
      </c>
      <c r="D37" s="299">
        <v>3458</v>
      </c>
      <c r="E37" s="302">
        <v>902</v>
      </c>
    </row>
    <row r="38" spans="1:5" ht="56.25">
      <c r="A38" s="254"/>
      <c r="B38" s="288" t="s">
        <v>670</v>
      </c>
      <c r="C38" s="299">
        <v>11711.4</v>
      </c>
      <c r="D38" s="299">
        <v>11711.4</v>
      </c>
      <c r="E38" s="302">
        <v>902</v>
      </c>
    </row>
    <row r="39" spans="1:5" ht="75">
      <c r="A39" s="277"/>
      <c r="B39" s="288" t="s">
        <v>323</v>
      </c>
      <c r="C39" s="299">
        <v>3944.7</v>
      </c>
      <c r="D39" s="299">
        <v>4102.5</v>
      </c>
      <c r="E39" s="302">
        <v>925</v>
      </c>
    </row>
    <row r="40" spans="1:5" ht="169.5" customHeight="1">
      <c r="A40" s="254"/>
      <c r="B40" s="288" t="s">
        <v>671</v>
      </c>
      <c r="C40" s="299">
        <v>640.6</v>
      </c>
      <c r="D40" s="299">
        <v>640.6</v>
      </c>
      <c r="E40" s="302">
        <v>902</v>
      </c>
    </row>
    <row r="41" spans="1:5" s="278" customFormat="1" ht="76.5" customHeight="1">
      <c r="A41" s="289"/>
      <c r="B41" s="288" t="s">
        <v>45</v>
      </c>
      <c r="C41" s="299">
        <v>66</v>
      </c>
      <c r="D41" s="299">
        <v>66</v>
      </c>
      <c r="E41" s="302">
        <v>902</v>
      </c>
    </row>
    <row r="42" spans="1:5" s="278" customFormat="1" ht="56.25">
      <c r="A42" s="277"/>
      <c r="B42" s="288" t="s">
        <v>502</v>
      </c>
      <c r="C42" s="299">
        <v>640.79999999999995</v>
      </c>
      <c r="D42" s="299">
        <v>640.79999999999995</v>
      </c>
      <c r="E42" s="302">
        <v>953</v>
      </c>
    </row>
    <row r="43" spans="1:5" s="278" customFormat="1" ht="59.25" customHeight="1">
      <c r="A43" s="277"/>
      <c r="B43" s="288" t="s">
        <v>357</v>
      </c>
      <c r="C43" s="299">
        <v>6385.5</v>
      </c>
      <c r="D43" s="299">
        <v>6385.5</v>
      </c>
      <c r="E43" s="302">
        <v>953</v>
      </c>
    </row>
    <row r="44" spans="1:5" s="278" customFormat="1" ht="128.25" customHeight="1">
      <c r="A44" s="277"/>
      <c r="B44" s="288" t="s">
        <v>460</v>
      </c>
      <c r="C44" s="299">
        <v>16.3</v>
      </c>
      <c r="D44" s="299">
        <v>16.3</v>
      </c>
      <c r="E44" s="302">
        <v>953</v>
      </c>
    </row>
    <row r="45" spans="1:5" s="278" customFormat="1" ht="153" customHeight="1">
      <c r="A45" s="254"/>
      <c r="B45" s="288" t="s">
        <v>672</v>
      </c>
      <c r="C45" s="299">
        <v>66</v>
      </c>
      <c r="D45" s="299">
        <v>66</v>
      </c>
      <c r="E45" s="302">
        <v>902</v>
      </c>
    </row>
    <row r="46" spans="1:5" s="278" customFormat="1" ht="150" customHeight="1">
      <c r="A46" s="277"/>
      <c r="B46" s="288" t="s">
        <v>326</v>
      </c>
      <c r="C46" s="299">
        <f>C47</f>
        <v>2352</v>
      </c>
      <c r="D46" s="299">
        <f>D47</f>
        <v>2446</v>
      </c>
      <c r="E46" s="302"/>
    </row>
    <row r="47" spans="1:5" s="278" customFormat="1" ht="55.5" customHeight="1">
      <c r="A47" s="277" t="s">
        <v>322</v>
      </c>
      <c r="B47" s="288" t="s">
        <v>673</v>
      </c>
      <c r="C47" s="299">
        <v>2352</v>
      </c>
      <c r="D47" s="299">
        <v>2446</v>
      </c>
      <c r="E47" s="302">
        <v>925</v>
      </c>
    </row>
    <row r="48" spans="1:5" s="278" customFormat="1" ht="77.25" customHeight="1">
      <c r="A48" s="277"/>
      <c r="B48" s="288" t="s">
        <v>463</v>
      </c>
      <c r="C48" s="299">
        <v>529.5</v>
      </c>
      <c r="D48" s="299">
        <v>550.70000000000005</v>
      </c>
      <c r="E48" s="302">
        <v>953</v>
      </c>
    </row>
    <row r="49" spans="1:7" ht="94.5" customHeight="1">
      <c r="A49" s="277"/>
      <c r="B49" s="288" t="s">
        <v>459</v>
      </c>
      <c r="C49" s="299">
        <v>755.4</v>
      </c>
      <c r="D49" s="299">
        <v>785.6</v>
      </c>
      <c r="E49" s="302">
        <v>953</v>
      </c>
    </row>
    <row r="50" spans="1:7" ht="148.5" customHeight="1">
      <c r="A50" s="277"/>
      <c r="B50" s="288" t="s">
        <v>527</v>
      </c>
      <c r="C50" s="572">
        <f>34028.1+12370.1</f>
        <v>46398.2</v>
      </c>
      <c r="D50" s="572">
        <f>34026.6+10823.8</f>
        <v>44850.399999999994</v>
      </c>
      <c r="E50" s="302">
        <v>921</v>
      </c>
    </row>
    <row r="51" spans="1:7" ht="228" customHeight="1">
      <c r="A51" s="277"/>
      <c r="B51" s="288" t="s">
        <v>877</v>
      </c>
      <c r="C51" s="299">
        <v>1318.8</v>
      </c>
      <c r="D51" s="299">
        <v>1758.4</v>
      </c>
      <c r="E51" s="302">
        <v>953</v>
      </c>
    </row>
    <row r="52" spans="1:7" ht="132.75" customHeight="1">
      <c r="A52" s="254"/>
      <c r="B52" s="444" t="s">
        <v>782</v>
      </c>
      <c r="C52" s="299">
        <v>183.6</v>
      </c>
      <c r="D52" s="299">
        <v>183.6</v>
      </c>
      <c r="E52" s="302">
        <v>902</v>
      </c>
    </row>
    <row r="53" spans="1:7" ht="96.75" customHeight="1">
      <c r="A53" s="277"/>
      <c r="B53" s="288" t="s">
        <v>438</v>
      </c>
      <c r="C53" s="299">
        <f>SUM(C54:C55)</f>
        <v>631814.1</v>
      </c>
      <c r="D53" s="299">
        <f>SUM(D54:D55)</f>
        <v>631814.1</v>
      </c>
    </row>
    <row r="54" spans="1:7" ht="20.25" customHeight="1">
      <c r="A54" s="277" t="s">
        <v>322</v>
      </c>
      <c r="B54" s="288" t="s">
        <v>324</v>
      </c>
      <c r="C54" s="297">
        <v>214886.5</v>
      </c>
      <c r="D54" s="297">
        <v>214886.5</v>
      </c>
      <c r="E54" s="302">
        <v>925</v>
      </c>
    </row>
    <row r="55" spans="1:7">
      <c r="A55" s="277"/>
      <c r="B55" s="290" t="s">
        <v>325</v>
      </c>
      <c r="C55" s="297">
        <v>416927.6</v>
      </c>
      <c r="D55" s="297">
        <v>416927.6</v>
      </c>
      <c r="E55" s="302">
        <v>925</v>
      </c>
    </row>
    <row r="56" spans="1:7" ht="186.75" customHeight="1">
      <c r="A56" s="277"/>
      <c r="B56" s="291" t="s">
        <v>676</v>
      </c>
      <c r="C56" s="299">
        <v>2743.7</v>
      </c>
      <c r="D56" s="299">
        <v>2743.7</v>
      </c>
      <c r="E56" s="302">
        <v>925</v>
      </c>
    </row>
    <row r="57" spans="1:7" ht="114.75" customHeight="1">
      <c r="A57" s="277"/>
      <c r="B57" s="570" t="s">
        <v>910</v>
      </c>
      <c r="C57" s="572">
        <v>6720.3</v>
      </c>
      <c r="D57" s="572">
        <v>6720.3</v>
      </c>
      <c r="E57" s="302">
        <v>925</v>
      </c>
    </row>
    <row r="58" spans="1:7" ht="56.25">
      <c r="A58" s="252" t="s">
        <v>601</v>
      </c>
      <c r="B58" s="287" t="s">
        <v>358</v>
      </c>
      <c r="C58" s="300">
        <f>C59</f>
        <v>68025.399999999994</v>
      </c>
      <c r="D58" s="300">
        <f>D59</f>
        <v>70747.799999999988</v>
      </c>
    </row>
    <row r="59" spans="1:7" ht="75">
      <c r="A59" s="252" t="s">
        <v>593</v>
      </c>
      <c r="B59" s="287" t="s">
        <v>359</v>
      </c>
      <c r="C59" s="300">
        <f>SUM(C60:C61)</f>
        <v>68025.399999999994</v>
      </c>
      <c r="D59" s="300">
        <f>SUM(D60:D61)</f>
        <v>70747.799999999988</v>
      </c>
    </row>
    <row r="60" spans="1:7" s="265" customFormat="1" ht="109.5" customHeight="1">
      <c r="A60" s="277"/>
      <c r="B60" s="288" t="s">
        <v>461</v>
      </c>
      <c r="C60" s="299">
        <v>37672</v>
      </c>
      <c r="D60" s="299">
        <v>39179.199999999997</v>
      </c>
      <c r="E60" s="302">
        <v>953</v>
      </c>
      <c r="F60" s="263"/>
      <c r="G60" s="264"/>
    </row>
    <row r="61" spans="1:7" s="265" customFormat="1" ht="75.75" customHeight="1">
      <c r="A61" s="277"/>
      <c r="B61" s="276" t="s">
        <v>462</v>
      </c>
      <c r="C61" s="299">
        <v>30353.4</v>
      </c>
      <c r="D61" s="299">
        <v>31568.6</v>
      </c>
      <c r="E61" s="302">
        <v>953</v>
      </c>
      <c r="F61" s="263"/>
      <c r="G61" s="264"/>
    </row>
    <row r="62" spans="1:7" s="265" customFormat="1" ht="90.75" customHeight="1">
      <c r="A62" s="252" t="s">
        <v>602</v>
      </c>
      <c r="B62" s="286" t="s">
        <v>321</v>
      </c>
      <c r="C62" s="300">
        <f>C63</f>
        <v>7904.9</v>
      </c>
      <c r="D62" s="300">
        <f>D63</f>
        <v>7904.9</v>
      </c>
      <c r="E62" s="302" t="s">
        <v>503</v>
      </c>
    </row>
    <row r="63" spans="1:7" ht="93" customHeight="1">
      <c r="A63" s="252" t="s">
        <v>591</v>
      </c>
      <c r="B63" s="286" t="s">
        <v>28</v>
      </c>
      <c r="C63" s="300">
        <v>7904.9</v>
      </c>
      <c r="D63" s="300">
        <v>7904.9</v>
      </c>
      <c r="E63" s="303">
        <v>925</v>
      </c>
    </row>
    <row r="64" spans="1:7" ht="75.75" customHeight="1">
      <c r="A64" s="252" t="s">
        <v>674</v>
      </c>
      <c r="B64" s="286" t="s">
        <v>675</v>
      </c>
      <c r="C64" s="300">
        <f>C65</f>
        <v>10813.4</v>
      </c>
      <c r="D64" s="300">
        <f>D65</f>
        <v>9268.6</v>
      </c>
      <c r="E64" s="303"/>
    </row>
    <row r="65" spans="1:5" ht="77.25" customHeight="1">
      <c r="A65" s="252" t="s">
        <v>588</v>
      </c>
      <c r="B65" s="286" t="s">
        <v>23</v>
      </c>
      <c r="C65" s="300">
        <v>10813.4</v>
      </c>
      <c r="D65" s="300">
        <v>9268.6</v>
      </c>
      <c r="E65" s="303">
        <v>921</v>
      </c>
    </row>
    <row r="66" spans="1:5" ht="75">
      <c r="A66" s="254" t="s">
        <v>603</v>
      </c>
      <c r="B66" s="292" t="s">
        <v>526</v>
      </c>
      <c r="C66" s="296">
        <f>C67</f>
        <v>13.2</v>
      </c>
      <c r="D66" s="296">
        <f>D67</f>
        <v>96.1</v>
      </c>
    </row>
    <row r="67" spans="1:5" ht="75" customHeight="1">
      <c r="A67" s="254" t="s">
        <v>584</v>
      </c>
      <c r="B67" s="292" t="s">
        <v>483</v>
      </c>
      <c r="C67" s="571">
        <v>13.2</v>
      </c>
      <c r="D67" s="571">
        <v>96.1</v>
      </c>
      <c r="E67" s="302">
        <v>902</v>
      </c>
    </row>
    <row r="68" spans="1:5">
      <c r="A68" s="308"/>
      <c r="B68" s="455"/>
      <c r="C68" s="456"/>
      <c r="D68" s="456"/>
    </row>
    <row r="69" spans="1:5">
      <c r="A69" s="279"/>
      <c r="B69" s="280"/>
      <c r="C69" s="281"/>
    </row>
    <row r="70" spans="1:5">
      <c r="A70" s="260" t="s">
        <v>497</v>
      </c>
      <c r="B70" s="261"/>
      <c r="C70" s="262"/>
      <c r="D70" s="262"/>
      <c r="E70" s="610"/>
    </row>
    <row r="71" spans="1:5">
      <c r="A71" s="260" t="s">
        <v>498</v>
      </c>
      <c r="B71" s="261"/>
      <c r="C71" s="262"/>
      <c r="D71" s="262"/>
      <c r="E71" s="610"/>
    </row>
    <row r="72" spans="1:5">
      <c r="A72" s="266" t="s">
        <v>499</v>
      </c>
      <c r="B72" s="261"/>
      <c r="C72" s="265"/>
      <c r="D72" s="267" t="s">
        <v>534</v>
      </c>
      <c r="E72" s="610"/>
    </row>
    <row r="406" spans="11:12">
      <c r="K406" s="243">
        <v>135.4</v>
      </c>
      <c r="L406" s="243">
        <v>140.9</v>
      </c>
    </row>
    <row r="407" spans="11:12">
      <c r="K407" s="243">
        <v>27088.9</v>
      </c>
      <c r="L407" s="243">
        <v>28171.4</v>
      </c>
    </row>
  </sheetData>
  <autoFilter ref="A12:E67"/>
  <mergeCells count="4">
    <mergeCell ref="C10:D10"/>
    <mergeCell ref="A10:A11"/>
    <mergeCell ref="B10:B11"/>
    <mergeCell ref="A7:D7"/>
  </mergeCells>
  <printOptions horizontalCentered="1"/>
  <pageMargins left="1.1811023622047245" right="0.39370078740157483" top="0.6692913385826772" bottom="0.39370078740157483" header="0.31496062992125984" footer="0"/>
  <pageSetup paperSize="9" scale="69" fitToHeight="0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N56"/>
  <sheetViews>
    <sheetView zoomScaleSheetLayoutView="85" workbookViewId="0">
      <selection activeCell="C2" sqref="C2"/>
    </sheetView>
  </sheetViews>
  <sheetFormatPr defaultColWidth="9.140625" defaultRowHeight="18.75"/>
  <cols>
    <col min="1" max="1" width="26.28515625" style="5" customWidth="1"/>
    <col min="2" max="2" width="78.7109375" style="5" customWidth="1"/>
    <col min="3" max="3" width="16" style="6" customWidth="1"/>
    <col min="4" max="4" width="17.42578125" style="6" customWidth="1"/>
    <col min="5" max="5" width="15.140625" style="6" customWidth="1"/>
    <col min="6" max="6" width="14.28515625" style="14" customWidth="1"/>
    <col min="7" max="7" width="14.5703125" style="5" customWidth="1"/>
    <col min="8" max="8" width="20.7109375" style="5" customWidth="1"/>
    <col min="9" max="9" width="30.7109375" style="5" customWidth="1"/>
    <col min="10" max="16384" width="9.140625" style="5"/>
  </cols>
  <sheetData>
    <row r="1" spans="1:8">
      <c r="C1" s="76" t="s">
        <v>501</v>
      </c>
    </row>
    <row r="2" spans="1:8">
      <c r="C2" s="76" t="s">
        <v>936</v>
      </c>
    </row>
    <row r="4" spans="1:8">
      <c r="C4" s="76" t="s">
        <v>501</v>
      </c>
    </row>
    <row r="5" spans="1:8">
      <c r="C5" s="1" t="s">
        <v>884</v>
      </c>
    </row>
    <row r="6" spans="1:8" ht="12.75" customHeight="1"/>
    <row r="7" spans="1:8" ht="12.75" customHeight="1">
      <c r="F7" s="7"/>
    </row>
    <row r="8" spans="1:8" ht="84.75" customHeight="1">
      <c r="A8" s="788" t="s">
        <v>795</v>
      </c>
      <c r="B8" s="788"/>
      <c r="C8" s="788"/>
      <c r="D8" s="445"/>
      <c r="E8" s="445"/>
      <c r="F8" s="445"/>
      <c r="G8" s="9"/>
      <c r="H8" s="9"/>
    </row>
    <row r="9" spans="1:8" ht="14.25" customHeight="1">
      <c r="A9" s="446"/>
      <c r="B9" s="446"/>
      <c r="C9" s="445"/>
      <c r="D9" s="445"/>
      <c r="E9" s="445"/>
      <c r="F9" s="445"/>
      <c r="G9" s="9"/>
      <c r="H9" s="9"/>
    </row>
    <row r="10" spans="1:8">
      <c r="C10" s="10" t="s">
        <v>46</v>
      </c>
      <c r="F10" s="10"/>
    </row>
    <row r="11" spans="1:8" s="243" customFormat="1">
      <c r="A11" s="254" t="s">
        <v>35</v>
      </c>
      <c r="B11" s="254" t="s">
        <v>36</v>
      </c>
      <c r="C11" s="271" t="s">
        <v>37</v>
      </c>
      <c r="D11" s="268"/>
    </row>
    <row r="12" spans="1:8" s="243" customFormat="1">
      <c r="A12" s="254">
        <v>1</v>
      </c>
      <c r="B12" s="254">
        <v>2</v>
      </c>
      <c r="C12" s="273">
        <v>3</v>
      </c>
      <c r="D12" s="268"/>
    </row>
    <row r="13" spans="1:8" s="243" customFormat="1">
      <c r="A13" s="257" t="s">
        <v>38</v>
      </c>
      <c r="B13" s="274" t="s">
        <v>389</v>
      </c>
      <c r="C13" s="275">
        <f>C14</f>
        <v>1536.0000000000002</v>
      </c>
      <c r="D13" s="301"/>
    </row>
    <row r="14" spans="1:8" s="243" customFormat="1" ht="37.5">
      <c r="A14" s="254" t="s">
        <v>39</v>
      </c>
      <c r="B14" s="286" t="s">
        <v>40</v>
      </c>
      <c r="C14" s="296">
        <f>C15</f>
        <v>1536.0000000000002</v>
      </c>
      <c r="D14" s="301"/>
    </row>
    <row r="15" spans="1:8">
      <c r="A15" s="17" t="s">
        <v>621</v>
      </c>
      <c r="B15" s="94" t="s">
        <v>788</v>
      </c>
      <c r="C15" s="447">
        <f>C16</f>
        <v>1536.0000000000002</v>
      </c>
      <c r="D15" s="5"/>
      <c r="E15" s="5"/>
      <c r="F15" s="5"/>
    </row>
    <row r="16" spans="1:8" ht="75">
      <c r="A16" s="17" t="s">
        <v>789</v>
      </c>
      <c r="B16" s="94" t="s">
        <v>790</v>
      </c>
      <c r="C16" s="447">
        <f>C17</f>
        <v>1536.0000000000002</v>
      </c>
      <c r="D16" s="5"/>
      <c r="E16" s="5"/>
      <c r="F16" s="5"/>
    </row>
    <row r="17" spans="1:6" ht="93.75">
      <c r="A17" s="17" t="s">
        <v>587</v>
      </c>
      <c r="B17" s="94" t="s">
        <v>20</v>
      </c>
      <c r="C17" s="447">
        <f>C18+C31+C41</f>
        <v>1536.0000000000002</v>
      </c>
      <c r="D17" s="5"/>
      <c r="E17" s="5"/>
      <c r="F17" s="5"/>
    </row>
    <row r="18" spans="1:6" ht="37.5">
      <c r="A18" s="17"/>
      <c r="B18" s="94" t="s">
        <v>275</v>
      </c>
      <c r="C18" s="99">
        <f>SUM(C19:C30)</f>
        <v>905.30000000000007</v>
      </c>
      <c r="D18" s="5"/>
      <c r="E18" s="5"/>
      <c r="F18" s="5"/>
    </row>
    <row r="19" spans="1:6">
      <c r="A19" s="17"/>
      <c r="B19" s="448" t="s">
        <v>392</v>
      </c>
      <c r="C19" s="449">
        <v>517.5</v>
      </c>
      <c r="D19" s="5"/>
      <c r="E19" s="5"/>
      <c r="F19" s="5"/>
    </row>
    <row r="20" spans="1:6">
      <c r="A20" s="17"/>
      <c r="B20" s="448" t="s">
        <v>393</v>
      </c>
      <c r="C20" s="449">
        <v>61</v>
      </c>
      <c r="D20" s="5"/>
      <c r="E20" s="5"/>
      <c r="F20" s="5"/>
    </row>
    <row r="21" spans="1:6">
      <c r="A21" s="17"/>
      <c r="B21" s="448" t="s">
        <v>394</v>
      </c>
      <c r="C21" s="449">
        <v>160.6</v>
      </c>
      <c r="D21" s="5"/>
      <c r="E21" s="5"/>
      <c r="F21" s="5"/>
    </row>
    <row r="22" spans="1:6">
      <c r="A22" s="17"/>
      <c r="B22" s="448" t="s">
        <v>395</v>
      </c>
      <c r="C22" s="449">
        <v>11.4</v>
      </c>
      <c r="D22" s="5"/>
      <c r="E22" s="5"/>
      <c r="F22" s="5"/>
    </row>
    <row r="23" spans="1:6">
      <c r="A23" s="17"/>
      <c r="B23" s="448" t="s">
        <v>300</v>
      </c>
      <c r="C23" s="449">
        <v>28.5</v>
      </c>
      <c r="D23" s="5"/>
      <c r="E23" s="5"/>
      <c r="F23" s="5"/>
    </row>
    <row r="24" spans="1:6">
      <c r="A24" s="17"/>
      <c r="B24" s="448" t="s">
        <v>396</v>
      </c>
      <c r="C24" s="449">
        <v>26.5</v>
      </c>
      <c r="D24" s="5"/>
      <c r="E24" s="5"/>
      <c r="F24" s="5"/>
    </row>
    <row r="25" spans="1:6">
      <c r="A25" s="17"/>
      <c r="B25" s="448" t="s">
        <v>397</v>
      </c>
      <c r="C25" s="449">
        <v>22.5</v>
      </c>
      <c r="D25" s="5"/>
      <c r="E25" s="5"/>
      <c r="F25" s="5"/>
    </row>
    <row r="26" spans="1:6">
      <c r="A26" s="17"/>
      <c r="B26" s="448" t="s">
        <v>302</v>
      </c>
      <c r="C26" s="449">
        <v>25.6</v>
      </c>
      <c r="D26" s="5"/>
      <c r="E26" s="5"/>
      <c r="F26" s="5"/>
    </row>
    <row r="27" spans="1:6">
      <c r="A27" s="17"/>
      <c r="B27" s="448" t="s">
        <v>303</v>
      </c>
      <c r="C27" s="449">
        <v>14</v>
      </c>
      <c r="D27" s="5"/>
      <c r="E27" s="5"/>
      <c r="F27" s="5"/>
    </row>
    <row r="28" spans="1:6">
      <c r="A28" s="17"/>
      <c r="B28" s="448" t="s">
        <v>304</v>
      </c>
      <c r="C28" s="449">
        <v>6.1</v>
      </c>
      <c r="D28" s="5"/>
      <c r="E28" s="5"/>
      <c r="F28" s="5"/>
    </row>
    <row r="29" spans="1:6">
      <c r="A29" s="17"/>
      <c r="B29" s="448" t="s">
        <v>305</v>
      </c>
      <c r="C29" s="449">
        <v>17.899999999999999</v>
      </c>
      <c r="D29" s="5"/>
      <c r="E29" s="5"/>
      <c r="F29" s="5"/>
    </row>
    <row r="30" spans="1:6">
      <c r="A30" s="17"/>
      <c r="B30" s="448" t="s">
        <v>306</v>
      </c>
      <c r="C30" s="449">
        <v>13.7</v>
      </c>
      <c r="D30" s="5"/>
      <c r="E30" s="5"/>
      <c r="F30" s="5"/>
    </row>
    <row r="31" spans="1:6" ht="37.5">
      <c r="A31" s="17"/>
      <c r="B31" s="94" t="s">
        <v>254</v>
      </c>
      <c r="C31" s="99">
        <f>SUM(C32:C40)</f>
        <v>430</v>
      </c>
      <c r="D31" s="5"/>
      <c r="E31" s="5"/>
      <c r="F31" s="5"/>
    </row>
    <row r="32" spans="1:6">
      <c r="A32" s="17"/>
      <c r="B32" s="448" t="s">
        <v>393</v>
      </c>
      <c r="C32" s="449">
        <v>70</v>
      </c>
      <c r="D32" s="5"/>
      <c r="E32" s="5"/>
      <c r="F32" s="5"/>
    </row>
    <row r="33" spans="1:9">
      <c r="A33" s="17"/>
      <c r="B33" s="448" t="s">
        <v>395</v>
      </c>
      <c r="C33" s="449">
        <v>60</v>
      </c>
      <c r="D33" s="5"/>
      <c r="E33" s="5"/>
      <c r="F33" s="5"/>
    </row>
    <row r="34" spans="1:9">
      <c r="A34" s="17"/>
      <c r="B34" s="448" t="s">
        <v>300</v>
      </c>
      <c r="C34" s="449">
        <v>100</v>
      </c>
      <c r="D34" s="5"/>
      <c r="E34" s="5"/>
      <c r="F34" s="5"/>
    </row>
    <row r="35" spans="1:9">
      <c r="A35" s="17"/>
      <c r="B35" s="448" t="s">
        <v>396</v>
      </c>
      <c r="C35" s="449">
        <v>60</v>
      </c>
      <c r="D35" s="5"/>
      <c r="E35" s="5"/>
      <c r="F35" s="5"/>
    </row>
    <row r="36" spans="1:9">
      <c r="A36" s="17"/>
      <c r="B36" s="448" t="s">
        <v>397</v>
      </c>
      <c r="C36" s="449">
        <v>10</v>
      </c>
      <c r="D36" s="5"/>
      <c r="E36" s="5"/>
      <c r="F36" s="5"/>
    </row>
    <row r="37" spans="1:9">
      <c r="A37" s="17"/>
      <c r="B37" s="448" t="s">
        <v>302</v>
      </c>
      <c r="C37" s="449">
        <v>15</v>
      </c>
      <c r="D37" s="5"/>
      <c r="E37" s="5"/>
      <c r="F37" s="5"/>
    </row>
    <row r="38" spans="1:9">
      <c r="A38" s="17"/>
      <c r="B38" s="448" t="s">
        <v>303</v>
      </c>
      <c r="C38" s="449">
        <v>55</v>
      </c>
      <c r="D38" s="5"/>
      <c r="E38" s="5"/>
      <c r="F38" s="5"/>
    </row>
    <row r="39" spans="1:9">
      <c r="A39" s="17"/>
      <c r="B39" s="448" t="s">
        <v>304</v>
      </c>
      <c r="C39" s="449">
        <v>5</v>
      </c>
      <c r="D39" s="5"/>
      <c r="E39" s="5"/>
      <c r="F39" s="5"/>
    </row>
    <row r="40" spans="1:9">
      <c r="A40" s="17"/>
      <c r="B40" s="448" t="s">
        <v>305</v>
      </c>
      <c r="C40" s="449">
        <v>55</v>
      </c>
      <c r="D40" s="5"/>
      <c r="E40" s="5"/>
      <c r="F40" s="5"/>
    </row>
    <row r="41" spans="1:9" ht="37.5">
      <c r="A41" s="17"/>
      <c r="B41" s="94" t="s">
        <v>492</v>
      </c>
      <c r="C41" s="99">
        <f>SUM(C42:C51)</f>
        <v>200.70000000000002</v>
      </c>
      <c r="D41" s="5"/>
      <c r="E41" s="5"/>
      <c r="F41" s="5"/>
    </row>
    <row r="42" spans="1:9">
      <c r="A42" s="17"/>
      <c r="B42" s="448" t="s">
        <v>392</v>
      </c>
      <c r="C42" s="449">
        <v>91.6</v>
      </c>
      <c r="D42" s="5"/>
      <c r="E42" s="5"/>
      <c r="F42" s="5"/>
    </row>
    <row r="43" spans="1:9">
      <c r="A43" s="450"/>
      <c r="B43" s="448" t="s">
        <v>394</v>
      </c>
      <c r="C43" s="449">
        <v>48.9</v>
      </c>
      <c r="F43" s="10"/>
    </row>
    <row r="44" spans="1:9">
      <c r="A44" s="450"/>
      <c r="B44" s="448" t="s">
        <v>395</v>
      </c>
      <c r="C44" s="449">
        <v>6.9</v>
      </c>
      <c r="F44" s="10"/>
    </row>
    <row r="45" spans="1:9">
      <c r="A45" s="450"/>
      <c r="B45" s="448" t="s">
        <v>300</v>
      </c>
      <c r="C45" s="449">
        <v>12.8</v>
      </c>
      <c r="F45" s="10"/>
    </row>
    <row r="46" spans="1:9">
      <c r="A46" s="450"/>
      <c r="B46" s="448" t="s">
        <v>396</v>
      </c>
      <c r="C46" s="449">
        <v>8.3000000000000007</v>
      </c>
      <c r="F46" s="10"/>
    </row>
    <row r="47" spans="1:9">
      <c r="A47" s="450"/>
      <c r="B47" s="448" t="s">
        <v>397</v>
      </c>
      <c r="C47" s="449">
        <v>4.8</v>
      </c>
    </row>
    <row r="48" spans="1:9" s="41" customFormat="1">
      <c r="A48" s="451"/>
      <c r="B48" s="448" t="s">
        <v>303</v>
      </c>
      <c r="C48" s="449">
        <v>7.7</v>
      </c>
      <c r="D48" s="44"/>
      <c r="E48" s="44"/>
      <c r="F48" s="44"/>
      <c r="G48" s="45"/>
      <c r="H48" s="46"/>
      <c r="I48" s="42"/>
    </row>
    <row r="49" spans="1:14" s="41" customFormat="1">
      <c r="A49" s="451"/>
      <c r="B49" s="448" t="s">
        <v>304</v>
      </c>
      <c r="C49" s="449">
        <v>2.5</v>
      </c>
      <c r="D49" s="44"/>
      <c r="E49" s="44"/>
      <c r="F49" s="44"/>
      <c r="G49" s="45"/>
      <c r="H49" s="46"/>
      <c r="I49" s="42"/>
    </row>
    <row r="50" spans="1:14" s="41" customFormat="1">
      <c r="A50" s="451"/>
      <c r="B50" s="448" t="s">
        <v>305</v>
      </c>
      <c r="C50" s="449">
        <v>10</v>
      </c>
      <c r="D50" s="44"/>
      <c r="E50" s="44"/>
      <c r="G50" s="45"/>
    </row>
    <row r="51" spans="1:14">
      <c r="A51" s="450"/>
      <c r="B51" s="448" t="s">
        <v>306</v>
      </c>
      <c r="C51" s="449">
        <v>7.2</v>
      </c>
    </row>
    <row r="52" spans="1:14" ht="14.25" customHeight="1">
      <c r="A52" s="452"/>
      <c r="B52" s="453"/>
      <c r="C52" s="454"/>
    </row>
    <row r="53" spans="1:14" ht="15" customHeight="1">
      <c r="G53" s="11"/>
      <c r="H53" s="11"/>
      <c r="I53" s="11"/>
      <c r="J53" s="13"/>
      <c r="K53" s="13"/>
      <c r="L53" s="13"/>
      <c r="M53" s="15"/>
      <c r="N53" s="13"/>
    </row>
    <row r="54" spans="1:14">
      <c r="A54" s="124" t="s">
        <v>497</v>
      </c>
      <c r="C54" s="40" t="s">
        <v>534</v>
      </c>
      <c r="D54" s="8"/>
      <c r="E54" s="8"/>
      <c r="F54" s="16"/>
    </row>
    <row r="55" spans="1:14">
      <c r="A55" s="124" t="s">
        <v>498</v>
      </c>
    </row>
    <row r="56" spans="1:14">
      <c r="A56" s="125" t="s">
        <v>499</v>
      </c>
    </row>
  </sheetData>
  <mergeCells count="1">
    <mergeCell ref="A8:C8"/>
  </mergeCells>
  <printOptions horizontalCentered="1"/>
  <pageMargins left="1.1811023622047245" right="0.39370078740157483" top="0.78740157480314965" bottom="0.78740157480314965" header="0" footer="0"/>
  <pageSetup paperSize="9" scale="70" orientation="portrait" blackAndWhite="1" r:id="rId1"/>
  <headerFooter alignWithMargins="0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H70"/>
  <sheetViews>
    <sheetView zoomScale="80" zoomScaleNormal="80" zoomScaleSheetLayoutView="80" workbookViewId="0">
      <selection activeCell="D2" sqref="D2"/>
    </sheetView>
  </sheetViews>
  <sheetFormatPr defaultColWidth="9.140625" defaultRowHeight="18"/>
  <cols>
    <col min="1" max="1" width="60.7109375" style="21" customWidth="1"/>
    <col min="2" max="2" width="13.42578125" style="21" customWidth="1"/>
    <col min="3" max="3" width="16.28515625" style="21" customWidth="1"/>
    <col min="4" max="4" width="15.7109375" style="23" customWidth="1"/>
    <col min="5" max="5" width="8.140625" style="21" customWidth="1"/>
    <col min="6" max="6" width="22.85546875" style="21" customWidth="1"/>
    <col min="7" max="16384" width="9.140625" style="21"/>
  </cols>
  <sheetData>
    <row r="1" spans="1:6" s="243" customFormat="1" ht="18.75">
      <c r="A1" s="284"/>
      <c r="B1" s="284"/>
      <c r="D1" s="255" t="s">
        <v>501</v>
      </c>
    </row>
    <row r="2" spans="1:6" s="243" customFormat="1" ht="18.75">
      <c r="A2" s="284"/>
      <c r="B2" s="284"/>
      <c r="D2" s="520" t="s">
        <v>936</v>
      </c>
    </row>
    <row r="3" spans="1:6" s="243" customFormat="1" ht="18.75">
      <c r="A3" s="284"/>
      <c r="B3" s="284"/>
      <c r="D3" s="520"/>
    </row>
    <row r="4" spans="1:6" ht="18" customHeight="1">
      <c r="A4" s="791" t="s">
        <v>618</v>
      </c>
      <c r="B4" s="791"/>
      <c r="C4" s="791"/>
      <c r="D4" s="791"/>
    </row>
    <row r="5" spans="1:6" ht="18.75">
      <c r="D5" s="1" t="s">
        <v>884</v>
      </c>
    </row>
    <row r="6" spans="1:6" ht="18.75">
      <c r="A6" s="22"/>
      <c r="B6" s="22"/>
      <c r="C6" s="22"/>
    </row>
    <row r="7" spans="1:6" ht="18.75">
      <c r="A7" s="789" t="s">
        <v>538</v>
      </c>
      <c r="B7" s="790"/>
      <c r="C7" s="790"/>
      <c r="D7" s="790"/>
    </row>
    <row r="8" spans="1:6" ht="18.75">
      <c r="A8" s="789" t="s">
        <v>539</v>
      </c>
      <c r="B8" s="790"/>
      <c r="C8" s="790"/>
      <c r="D8" s="790"/>
    </row>
    <row r="9" spans="1:6" ht="18.75">
      <c r="A9" s="789" t="s">
        <v>627</v>
      </c>
      <c r="B9" s="789"/>
      <c r="C9" s="789"/>
      <c r="D9" s="789"/>
    </row>
    <row r="10" spans="1:6" ht="18.75">
      <c r="A10" s="241"/>
      <c r="B10" s="241"/>
      <c r="C10" s="241"/>
      <c r="D10" s="241"/>
    </row>
    <row r="11" spans="1:6" ht="18.75">
      <c r="A11" s="22"/>
      <c r="D11" s="56" t="s">
        <v>608</v>
      </c>
    </row>
    <row r="12" spans="1:6" ht="56.25">
      <c r="A12" s="706" t="s">
        <v>36</v>
      </c>
      <c r="B12" s="706" t="s">
        <v>540</v>
      </c>
      <c r="C12" s="706" t="s">
        <v>541</v>
      </c>
      <c r="D12" s="706" t="s">
        <v>542</v>
      </c>
    </row>
    <row r="13" spans="1:6" ht="18.75">
      <c r="A13" s="89">
        <v>1</v>
      </c>
      <c r="B13" s="89">
        <v>2</v>
      </c>
      <c r="C13" s="89">
        <v>3</v>
      </c>
      <c r="D13" s="90">
        <v>4</v>
      </c>
    </row>
    <row r="14" spans="1:6" ht="56.25">
      <c r="A14" s="715" t="s">
        <v>543</v>
      </c>
      <c r="B14" s="716"/>
      <c r="C14" s="717"/>
      <c r="D14" s="718"/>
      <c r="F14" s="148"/>
    </row>
    <row r="15" spans="1:6" ht="37.5">
      <c r="A15" s="719" t="s">
        <v>544</v>
      </c>
      <c r="B15" s="716">
        <v>100</v>
      </c>
      <c r="C15" s="720"/>
      <c r="D15" s="721"/>
    </row>
    <row r="16" spans="1:6" ht="37.5">
      <c r="A16" s="719" t="s">
        <v>545</v>
      </c>
      <c r="B16" s="716">
        <v>100</v>
      </c>
      <c r="C16" s="722"/>
      <c r="D16" s="723"/>
      <c r="F16" s="23"/>
    </row>
    <row r="17" spans="1:4" ht="96.75" customHeight="1">
      <c r="A17" s="719" t="s">
        <v>546</v>
      </c>
      <c r="B17" s="716">
        <v>100</v>
      </c>
      <c r="C17" s="724"/>
      <c r="D17" s="721"/>
    </row>
    <row r="18" spans="1:4" ht="56.25">
      <c r="A18" s="719" t="s">
        <v>547</v>
      </c>
      <c r="B18" s="716">
        <v>100</v>
      </c>
      <c r="C18" s="724"/>
      <c r="D18" s="721"/>
    </row>
    <row r="19" spans="1:4" ht="37.5">
      <c r="A19" s="719" t="s">
        <v>548</v>
      </c>
      <c r="B19" s="716">
        <v>100</v>
      </c>
      <c r="C19" s="724"/>
      <c r="D19" s="721"/>
    </row>
    <row r="20" spans="1:4" ht="37.5" customHeight="1">
      <c r="A20" s="715" t="s">
        <v>549</v>
      </c>
      <c r="B20" s="725"/>
      <c r="C20" s="724"/>
      <c r="D20" s="721"/>
    </row>
    <row r="21" spans="1:4" ht="37.5">
      <c r="A21" s="719" t="s">
        <v>550</v>
      </c>
      <c r="B21" s="716" t="s">
        <v>74</v>
      </c>
      <c r="C21" s="724"/>
      <c r="D21" s="721"/>
    </row>
    <row r="22" spans="1:4" ht="37.5">
      <c r="A22" s="719" t="s">
        <v>551</v>
      </c>
      <c r="B22" s="726"/>
      <c r="C22" s="716">
        <v>100</v>
      </c>
      <c r="D22" s="723"/>
    </row>
    <row r="23" spans="1:4" ht="37.5">
      <c r="A23" s="719" t="s">
        <v>552</v>
      </c>
      <c r="B23" s="725"/>
      <c r="C23" s="724"/>
      <c r="D23" s="716">
        <v>100</v>
      </c>
    </row>
    <row r="24" spans="1:4" ht="37.5">
      <c r="A24" s="715" t="s">
        <v>609</v>
      </c>
      <c r="B24" s="725"/>
      <c r="C24" s="724"/>
      <c r="D24" s="721"/>
    </row>
    <row r="25" spans="1:4" ht="56.25">
      <c r="A25" s="719" t="s">
        <v>34</v>
      </c>
      <c r="B25" s="716" t="s">
        <v>74</v>
      </c>
      <c r="C25" s="722"/>
      <c r="D25" s="723"/>
    </row>
    <row r="26" spans="1:4" ht="50.25" customHeight="1">
      <c r="A26" s="719" t="s">
        <v>553</v>
      </c>
      <c r="B26" s="725"/>
      <c r="C26" s="716">
        <v>100</v>
      </c>
      <c r="D26" s="721"/>
    </row>
    <row r="27" spans="1:4" ht="51" customHeight="1">
      <c r="A27" s="719" t="s">
        <v>554</v>
      </c>
      <c r="B27" s="725"/>
      <c r="C27" s="724"/>
      <c r="D27" s="716">
        <v>100</v>
      </c>
    </row>
    <row r="28" spans="1:4" ht="56.25">
      <c r="A28" s="719" t="s">
        <v>555</v>
      </c>
      <c r="B28" s="716" t="s">
        <v>74</v>
      </c>
      <c r="C28" s="724"/>
      <c r="D28" s="721"/>
    </row>
    <row r="29" spans="1:4" ht="56.25">
      <c r="A29" s="719" t="s">
        <v>556</v>
      </c>
      <c r="B29" s="726"/>
      <c r="C29" s="716">
        <v>100</v>
      </c>
      <c r="D29" s="723"/>
    </row>
    <row r="30" spans="1:4" ht="56.25">
      <c r="A30" s="719" t="s">
        <v>557</v>
      </c>
      <c r="B30" s="727"/>
      <c r="C30" s="728"/>
      <c r="D30" s="716">
        <v>100</v>
      </c>
    </row>
    <row r="31" spans="1:4" ht="37.5">
      <c r="A31" s="719" t="s">
        <v>558</v>
      </c>
      <c r="B31" s="716" t="s">
        <v>74</v>
      </c>
      <c r="C31" s="728"/>
      <c r="D31" s="729"/>
    </row>
    <row r="32" spans="1:4" ht="37.5">
      <c r="A32" s="719" t="s">
        <v>559</v>
      </c>
      <c r="B32" s="727"/>
      <c r="C32" s="716">
        <v>100</v>
      </c>
      <c r="D32" s="729"/>
    </row>
    <row r="33" spans="1:5" ht="37.5">
      <c r="A33" s="719" t="s">
        <v>560</v>
      </c>
      <c r="B33" s="726"/>
      <c r="C33" s="722"/>
      <c r="D33" s="716">
        <v>100</v>
      </c>
    </row>
    <row r="34" spans="1:5" ht="18.75">
      <c r="A34" s="715" t="s">
        <v>561</v>
      </c>
      <c r="B34" s="725"/>
      <c r="C34" s="724"/>
      <c r="D34" s="721"/>
    </row>
    <row r="35" spans="1:5" ht="56.25" customHeight="1">
      <c r="A35" s="719" t="s">
        <v>562</v>
      </c>
      <c r="B35" s="716" t="s">
        <v>74</v>
      </c>
      <c r="C35" s="724"/>
      <c r="D35" s="721"/>
    </row>
    <row r="36" spans="1:5" ht="56.25">
      <c r="A36" s="719" t="s">
        <v>563</v>
      </c>
      <c r="B36" s="725"/>
      <c r="C36" s="716">
        <v>100</v>
      </c>
      <c r="D36" s="721"/>
    </row>
    <row r="37" spans="1:5" ht="56.25">
      <c r="A37" s="719" t="s">
        <v>564</v>
      </c>
      <c r="B37" s="725"/>
      <c r="C37" s="730"/>
      <c r="D37" s="716">
        <v>100</v>
      </c>
    </row>
    <row r="38" spans="1:5" ht="18.75">
      <c r="A38" s="715" t="s">
        <v>565</v>
      </c>
      <c r="B38" s="725"/>
      <c r="C38" s="724"/>
      <c r="D38" s="721"/>
    </row>
    <row r="39" spans="1:5" ht="59.25" customHeight="1">
      <c r="A39" s="286" t="s">
        <v>705</v>
      </c>
      <c r="B39" s="731" t="s">
        <v>74</v>
      </c>
      <c r="C39" s="724"/>
      <c r="D39" s="721"/>
    </row>
    <row r="40" spans="1:5" ht="52.5" customHeight="1">
      <c r="A40" s="286" t="s">
        <v>911</v>
      </c>
      <c r="B40" s="725"/>
      <c r="C40" s="716">
        <v>100</v>
      </c>
      <c r="D40" s="721"/>
    </row>
    <row r="41" spans="1:5" ht="57.75" customHeight="1">
      <c r="A41" s="286" t="s">
        <v>912</v>
      </c>
      <c r="B41" s="725"/>
      <c r="C41" s="724"/>
      <c r="D41" s="732">
        <v>100</v>
      </c>
    </row>
    <row r="42" spans="1:5" ht="209.25" customHeight="1">
      <c r="A42" s="286" t="s">
        <v>707</v>
      </c>
      <c r="B42" s="24" t="s">
        <v>74</v>
      </c>
      <c r="C42" s="724"/>
      <c r="D42" s="732"/>
    </row>
    <row r="43" spans="1:5" ht="38.25" customHeight="1">
      <c r="A43" s="286" t="s">
        <v>913</v>
      </c>
      <c r="B43" s="731"/>
      <c r="C43" s="24">
        <v>100</v>
      </c>
      <c r="D43" s="732"/>
      <c r="E43" s="33"/>
    </row>
    <row r="44" spans="1:5" ht="207" customHeight="1">
      <c r="A44" s="286" t="s">
        <v>914</v>
      </c>
      <c r="B44" s="725"/>
      <c r="C44" s="716"/>
      <c r="D44" s="716">
        <v>100</v>
      </c>
    </row>
    <row r="45" spans="1:5" ht="168.75">
      <c r="A45" s="733" t="s">
        <v>709</v>
      </c>
      <c r="B45" s="24" t="s">
        <v>74</v>
      </c>
      <c r="C45" s="30"/>
      <c r="D45" s="734"/>
    </row>
    <row r="46" spans="1:5" ht="168.75">
      <c r="A46" s="733" t="s">
        <v>915</v>
      </c>
      <c r="B46" s="65"/>
      <c r="C46" s="24">
        <v>100</v>
      </c>
      <c r="D46" s="27"/>
    </row>
    <row r="47" spans="1:5" ht="168.75">
      <c r="A47" s="733" t="s">
        <v>916</v>
      </c>
      <c r="B47" s="64"/>
      <c r="C47" s="28"/>
      <c r="D47" s="24">
        <v>100</v>
      </c>
    </row>
    <row r="48" spans="1:5" ht="131.25">
      <c r="A48" s="733" t="s">
        <v>711</v>
      </c>
      <c r="B48" s="24" t="s">
        <v>74</v>
      </c>
      <c r="C48" s="724"/>
      <c r="D48" s="732"/>
    </row>
    <row r="49" spans="1:8" ht="95.25" customHeight="1">
      <c r="A49" s="733" t="s">
        <v>917</v>
      </c>
      <c r="B49" s="725"/>
      <c r="C49" s="24">
        <v>100</v>
      </c>
      <c r="D49" s="732"/>
    </row>
    <row r="50" spans="1:8" ht="93.75" customHeight="1">
      <c r="A50" s="733" t="s">
        <v>918</v>
      </c>
      <c r="B50" s="725"/>
      <c r="C50" s="724"/>
      <c r="D50" s="24">
        <v>100</v>
      </c>
    </row>
    <row r="51" spans="1:8" ht="75.75" customHeight="1">
      <c r="A51" s="733" t="s">
        <v>853</v>
      </c>
      <c r="B51" s="24" t="s">
        <v>74</v>
      </c>
      <c r="C51" s="724"/>
      <c r="D51" s="732"/>
    </row>
    <row r="52" spans="1:8" ht="75.75" customHeight="1">
      <c r="A52" s="733" t="s">
        <v>919</v>
      </c>
      <c r="B52" s="725"/>
      <c r="C52" s="24">
        <v>100</v>
      </c>
      <c r="D52" s="732"/>
    </row>
    <row r="53" spans="1:8" ht="75">
      <c r="A53" s="733" t="s">
        <v>920</v>
      </c>
      <c r="B53" s="725"/>
      <c r="C53" s="724"/>
      <c r="D53" s="24">
        <v>100</v>
      </c>
    </row>
    <row r="54" spans="1:8" ht="18.75">
      <c r="A54" s="715" t="s">
        <v>566</v>
      </c>
      <c r="B54" s="725"/>
      <c r="C54" s="724"/>
      <c r="D54" s="721"/>
    </row>
    <row r="55" spans="1:8" ht="37.5">
      <c r="A55" s="719" t="s">
        <v>3</v>
      </c>
      <c r="B55" s="716" t="s">
        <v>74</v>
      </c>
      <c r="C55" s="724"/>
      <c r="D55" s="721"/>
    </row>
    <row r="56" spans="1:8" s="41" customFormat="1" ht="37.5">
      <c r="A56" s="719" t="s">
        <v>567</v>
      </c>
      <c r="B56" s="725"/>
      <c r="C56" s="716">
        <v>100</v>
      </c>
      <c r="D56" s="716"/>
      <c r="E56" s="44"/>
      <c r="F56" s="45"/>
      <c r="G56" s="46"/>
      <c r="H56" s="42"/>
    </row>
    <row r="57" spans="1:8" s="41" customFormat="1" ht="37.5">
      <c r="A57" s="719" t="s">
        <v>568</v>
      </c>
      <c r="B57" s="725"/>
      <c r="C57" s="716"/>
      <c r="D57" s="716">
        <v>100</v>
      </c>
      <c r="E57" s="44"/>
      <c r="F57" s="45"/>
      <c r="G57" s="46"/>
      <c r="H57" s="42"/>
    </row>
    <row r="58" spans="1:8" s="41" customFormat="1" ht="94.5" customHeight="1">
      <c r="A58" s="719" t="s">
        <v>572</v>
      </c>
      <c r="B58" s="725"/>
      <c r="C58" s="716">
        <v>100</v>
      </c>
      <c r="D58" s="716"/>
      <c r="E58" s="44"/>
      <c r="F58" s="45"/>
    </row>
    <row r="59" spans="1:8" ht="95.25" customHeight="1">
      <c r="A59" s="719" t="s">
        <v>573</v>
      </c>
      <c r="B59" s="725"/>
      <c r="C59" s="716"/>
      <c r="D59" s="716">
        <v>100</v>
      </c>
    </row>
    <row r="60" spans="1:8" ht="37.5">
      <c r="A60" s="719" t="s">
        <v>569</v>
      </c>
      <c r="B60" s="716" t="s">
        <v>74</v>
      </c>
      <c r="C60" s="724"/>
      <c r="D60" s="721"/>
    </row>
    <row r="61" spans="1:8" ht="37.5">
      <c r="A61" s="719" t="s">
        <v>570</v>
      </c>
      <c r="B61" s="725"/>
      <c r="C61" s="716">
        <v>100</v>
      </c>
      <c r="D61" s="721"/>
    </row>
    <row r="62" spans="1:8" ht="37.5">
      <c r="A62" s="719" t="s">
        <v>571</v>
      </c>
      <c r="B62" s="725"/>
      <c r="C62" s="716"/>
      <c r="D62" s="716">
        <v>100</v>
      </c>
    </row>
    <row r="63" spans="1:8" ht="37.5">
      <c r="A63" s="719" t="s">
        <v>574</v>
      </c>
      <c r="B63" s="716" t="s">
        <v>74</v>
      </c>
      <c r="C63" s="716"/>
      <c r="D63" s="721"/>
    </row>
    <row r="64" spans="1:8" ht="37.5">
      <c r="A64" s="719" t="s">
        <v>575</v>
      </c>
      <c r="B64" s="725"/>
      <c r="C64" s="716">
        <v>100</v>
      </c>
      <c r="D64" s="721"/>
    </row>
    <row r="65" spans="1:4" ht="37.5">
      <c r="A65" s="719" t="s">
        <v>576</v>
      </c>
      <c r="B65" s="725"/>
      <c r="C65" s="724"/>
      <c r="D65" s="716">
        <v>100</v>
      </c>
    </row>
    <row r="66" spans="1:4" ht="18.75">
      <c r="A66" s="231"/>
      <c r="B66" s="232"/>
      <c r="C66" s="116"/>
      <c r="D66" s="233"/>
    </row>
    <row r="68" spans="1:4" ht="18.75">
      <c r="A68" s="124" t="s">
        <v>497</v>
      </c>
      <c r="B68" s="43"/>
      <c r="C68" s="44"/>
      <c r="D68" s="44"/>
    </row>
    <row r="69" spans="1:4" ht="18.75">
      <c r="A69" s="124" t="s">
        <v>498</v>
      </c>
      <c r="B69" s="43"/>
      <c r="C69" s="44"/>
      <c r="D69" s="44"/>
    </row>
    <row r="70" spans="1:4" ht="18.75">
      <c r="A70" s="125" t="s">
        <v>499</v>
      </c>
      <c r="B70" s="43"/>
      <c r="C70" s="41"/>
      <c r="D70" s="40" t="s">
        <v>534</v>
      </c>
    </row>
  </sheetData>
  <mergeCells count="4">
    <mergeCell ref="A7:D7"/>
    <mergeCell ref="A8:D8"/>
    <mergeCell ref="A9:D9"/>
    <mergeCell ref="A4:D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61"/>
  <sheetViews>
    <sheetView zoomScale="90" zoomScaleNormal="90" zoomScaleSheetLayoutView="80" workbookViewId="0">
      <selection activeCell="D2" sqref="D2"/>
    </sheetView>
  </sheetViews>
  <sheetFormatPr defaultColWidth="9.140625" defaultRowHeight="18"/>
  <cols>
    <col min="1" max="1" width="6.140625" style="21" customWidth="1"/>
    <col min="2" max="2" width="9.140625" style="21" customWidth="1"/>
    <col min="3" max="3" width="62.140625" style="21" customWidth="1"/>
    <col min="4" max="4" width="17.7109375" style="23" customWidth="1"/>
    <col min="5" max="5" width="8.140625" style="21" customWidth="1"/>
    <col min="6" max="6" width="22.85546875" style="21" customWidth="1"/>
    <col min="7" max="16384" width="9.140625" style="21"/>
  </cols>
  <sheetData>
    <row r="1" spans="1:6" ht="18.75">
      <c r="A1" s="103"/>
      <c r="B1" s="103"/>
      <c r="C1" s="103"/>
      <c r="D1" s="76" t="s">
        <v>882</v>
      </c>
    </row>
    <row r="2" spans="1:6" ht="18.75">
      <c r="A2" s="103"/>
      <c r="B2" s="103"/>
      <c r="C2" s="103"/>
      <c r="D2" s="76" t="s">
        <v>936</v>
      </c>
    </row>
    <row r="4" spans="1:6" ht="18" customHeight="1">
      <c r="D4" s="1" t="s">
        <v>579</v>
      </c>
    </row>
    <row r="5" spans="1:6" ht="18.75">
      <c r="D5" s="1" t="s">
        <v>884</v>
      </c>
    </row>
    <row r="6" spans="1:6" ht="18.75">
      <c r="D6" s="7"/>
    </row>
    <row r="7" spans="1:6" ht="18.75">
      <c r="A7" s="22"/>
      <c r="B7" s="22"/>
      <c r="C7" s="22"/>
    </row>
    <row r="8" spans="1:6" ht="18.75">
      <c r="A8" s="789" t="s">
        <v>197</v>
      </c>
      <c r="B8" s="790"/>
      <c r="C8" s="790"/>
      <c r="D8" s="790"/>
    </row>
    <row r="9" spans="1:6" ht="18.75">
      <c r="A9" s="789" t="s">
        <v>628</v>
      </c>
      <c r="B9" s="790"/>
      <c r="C9" s="790"/>
      <c r="D9" s="790"/>
    </row>
    <row r="10" spans="1:6" ht="18.75">
      <c r="A10" s="22"/>
      <c r="D10" s="21"/>
    </row>
    <row r="11" spans="1:6" ht="18.75">
      <c r="D11" s="10" t="s">
        <v>46</v>
      </c>
    </row>
    <row r="12" spans="1:6" ht="38.450000000000003" customHeight="1">
      <c r="A12" s="132" t="s">
        <v>198</v>
      </c>
      <c r="B12" s="133" t="s">
        <v>412</v>
      </c>
      <c r="C12" s="133" t="s">
        <v>48</v>
      </c>
      <c r="D12" s="61" t="s">
        <v>37</v>
      </c>
    </row>
    <row r="13" spans="1:6" ht="18.75">
      <c r="A13" s="89">
        <v>1</v>
      </c>
      <c r="B13" s="89">
        <v>2</v>
      </c>
      <c r="C13" s="89">
        <v>3</v>
      </c>
      <c r="D13" s="90">
        <v>4</v>
      </c>
    </row>
    <row r="14" spans="1:6" ht="18.75">
      <c r="A14" s="24"/>
      <c r="B14" s="24"/>
      <c r="C14" s="25" t="s">
        <v>199</v>
      </c>
      <c r="D14" s="100">
        <f>D16+D24+D27+D31+D33+D39+D44+D55+D49+D53+D42</f>
        <v>1470942.2386900003</v>
      </c>
      <c r="F14" s="148"/>
    </row>
    <row r="15" spans="1:6" ht="18.75">
      <c r="A15" s="24"/>
      <c r="B15" s="24"/>
      <c r="C15" s="26" t="s">
        <v>200</v>
      </c>
      <c r="D15" s="27"/>
    </row>
    <row r="16" spans="1:6" ht="18.75">
      <c r="A16" s="67">
        <v>1</v>
      </c>
      <c r="B16" s="64" t="s">
        <v>201</v>
      </c>
      <c r="C16" s="28" t="s">
        <v>60</v>
      </c>
      <c r="D16" s="29">
        <f>SUM(D17:D23)+0.1</f>
        <v>148970.046</v>
      </c>
      <c r="F16" s="23"/>
    </row>
    <row r="17" spans="1:4" ht="56.25">
      <c r="A17" s="68"/>
      <c r="B17" s="65" t="s">
        <v>202</v>
      </c>
      <c r="C17" s="30" t="s">
        <v>203</v>
      </c>
      <c r="D17" s="27">
        <f>'прил12(ведом 20)'!M642</f>
        <v>2046.6</v>
      </c>
    </row>
    <row r="18" spans="1:4" ht="75">
      <c r="A18" s="68"/>
      <c r="B18" s="65" t="s">
        <v>204</v>
      </c>
      <c r="C18" s="30" t="s">
        <v>75</v>
      </c>
      <c r="D18" s="27">
        <f>'прил12(ведом 20)'!M643-0.1</f>
        <v>70752.963000000003</v>
      </c>
    </row>
    <row r="19" spans="1:4" ht="18.75">
      <c r="A19" s="68"/>
      <c r="B19" s="65" t="s">
        <v>535</v>
      </c>
      <c r="C19" s="112" t="s">
        <v>528</v>
      </c>
      <c r="D19" s="27">
        <f>'прил12(ведом 20)'!M644</f>
        <v>12.4</v>
      </c>
    </row>
    <row r="20" spans="1:4" ht="56.25">
      <c r="A20" s="68"/>
      <c r="B20" s="65" t="s">
        <v>205</v>
      </c>
      <c r="C20" s="30" t="s">
        <v>162</v>
      </c>
      <c r="D20" s="27">
        <f>'прил12(ведом 20)'!M645</f>
        <v>28722.000000000004</v>
      </c>
    </row>
    <row r="21" spans="1:4" ht="26.25" customHeight="1">
      <c r="A21" s="68"/>
      <c r="B21" s="65" t="s">
        <v>772</v>
      </c>
      <c r="C21" s="30" t="s">
        <v>632</v>
      </c>
      <c r="D21" s="27">
        <f>'прил12(ведом 20)'!M646</f>
        <v>2300</v>
      </c>
    </row>
    <row r="22" spans="1:4" ht="18.75">
      <c r="A22" s="68"/>
      <c r="B22" s="65" t="s">
        <v>206</v>
      </c>
      <c r="C22" s="30" t="s">
        <v>92</v>
      </c>
      <c r="D22" s="27">
        <f>'прил12(ведом 20)'!M647</f>
        <v>1151.5079999999998</v>
      </c>
    </row>
    <row r="23" spans="1:4" ht="18.75">
      <c r="A23" s="68"/>
      <c r="B23" s="65" t="s">
        <v>207</v>
      </c>
      <c r="C23" s="30" t="s">
        <v>99</v>
      </c>
      <c r="D23" s="27">
        <f>'прил12(ведом 20)'!M648</f>
        <v>43984.474999999999</v>
      </c>
    </row>
    <row r="24" spans="1:4" ht="37.5">
      <c r="A24" s="67">
        <v>2</v>
      </c>
      <c r="B24" s="64" t="s">
        <v>208</v>
      </c>
      <c r="C24" s="28" t="s">
        <v>107</v>
      </c>
      <c r="D24" s="29">
        <f>SUM(D25:D26)</f>
        <v>13480.2</v>
      </c>
    </row>
    <row r="25" spans="1:4" ht="56.25">
      <c r="A25" s="68"/>
      <c r="B25" s="65" t="s">
        <v>209</v>
      </c>
      <c r="C25" s="30" t="s">
        <v>108</v>
      </c>
      <c r="D25" s="27">
        <f>'прил12(ведом 20)'!M651</f>
        <v>3447.8</v>
      </c>
    </row>
    <row r="26" spans="1:4" ht="37.5">
      <c r="A26" s="68"/>
      <c r="B26" s="65" t="s">
        <v>210</v>
      </c>
      <c r="C26" s="30" t="s">
        <v>118</v>
      </c>
      <c r="D26" s="27">
        <f>'прил12(ведом 20)'!M652</f>
        <v>10032.400000000001</v>
      </c>
    </row>
    <row r="27" spans="1:4" ht="18.75">
      <c r="A27" s="67">
        <v>3</v>
      </c>
      <c r="B27" s="64" t="s">
        <v>211</v>
      </c>
      <c r="C27" s="28" t="s">
        <v>124</v>
      </c>
      <c r="D27" s="29">
        <f>SUM(D28:D30)</f>
        <v>34590.987589999997</v>
      </c>
    </row>
    <row r="28" spans="1:4" ht="18.75">
      <c r="A28" s="67"/>
      <c r="B28" s="65" t="s">
        <v>212</v>
      </c>
      <c r="C28" s="30" t="s">
        <v>125</v>
      </c>
      <c r="D28" s="27">
        <f>'прил12(ведом 20)'!M655</f>
        <v>17803.599999999999</v>
      </c>
    </row>
    <row r="29" spans="1:4" ht="18.75">
      <c r="A29" s="68"/>
      <c r="B29" s="65" t="s">
        <v>213</v>
      </c>
      <c r="C29" s="30" t="s">
        <v>130</v>
      </c>
      <c r="D29" s="27">
        <f>'прил12(ведом 20)'!M656</f>
        <v>9186.7875899999999</v>
      </c>
    </row>
    <row r="30" spans="1:4" ht="37.5">
      <c r="A30" s="68"/>
      <c r="B30" s="65" t="s">
        <v>214</v>
      </c>
      <c r="C30" s="30" t="s">
        <v>138</v>
      </c>
      <c r="D30" s="27">
        <f>'прил12(ведом 20)'!M657</f>
        <v>7600.6000000000013</v>
      </c>
    </row>
    <row r="31" spans="1:4" ht="18.75">
      <c r="A31" s="67">
        <v>4</v>
      </c>
      <c r="B31" s="64" t="s">
        <v>215</v>
      </c>
      <c r="C31" s="28" t="s">
        <v>216</v>
      </c>
      <c r="D31" s="29">
        <f>SUM(D32:D32)</f>
        <v>23837.1</v>
      </c>
    </row>
    <row r="32" spans="1:4" ht="18.75">
      <c r="A32" s="67"/>
      <c r="B32" s="66" t="s">
        <v>424</v>
      </c>
      <c r="C32" s="31" t="s">
        <v>422</v>
      </c>
      <c r="D32" s="32">
        <f>'прил12(ведом 20)'!M661</f>
        <v>23837.1</v>
      </c>
    </row>
    <row r="33" spans="1:5" ht="18.75">
      <c r="A33" s="67">
        <v>5</v>
      </c>
      <c r="B33" s="64" t="s">
        <v>217</v>
      </c>
      <c r="C33" s="28" t="s">
        <v>218</v>
      </c>
      <c r="D33" s="29">
        <f>SUM(D34:D38)</f>
        <v>1032099.54373</v>
      </c>
    </row>
    <row r="34" spans="1:5" ht="18.75">
      <c r="A34" s="68"/>
      <c r="B34" s="65" t="s">
        <v>219</v>
      </c>
      <c r="C34" s="30" t="s">
        <v>220</v>
      </c>
      <c r="D34" s="27">
        <f>'прил12(ведом 20)'!M665</f>
        <v>326358.64117999998</v>
      </c>
      <c r="E34" s="768"/>
    </row>
    <row r="35" spans="1:5" ht="18.75">
      <c r="A35" s="68"/>
      <c r="B35" s="65" t="s">
        <v>221</v>
      </c>
      <c r="C35" s="30" t="s">
        <v>222</v>
      </c>
      <c r="D35" s="27">
        <f>'прил12(ведом 20)'!M666</f>
        <v>521652.85799000005</v>
      </c>
    </row>
    <row r="36" spans="1:5" ht="18.75">
      <c r="A36" s="68"/>
      <c r="B36" s="65" t="s">
        <v>447</v>
      </c>
      <c r="C36" s="30" t="s">
        <v>448</v>
      </c>
      <c r="D36" s="27">
        <f>'прил12(ведом 20)'!M667</f>
        <v>110953.08189999999</v>
      </c>
    </row>
    <row r="37" spans="1:5" ht="18.75">
      <c r="A37" s="67"/>
      <c r="B37" s="65" t="s">
        <v>223</v>
      </c>
      <c r="C37" s="30" t="s">
        <v>449</v>
      </c>
      <c r="D37" s="27">
        <f>'прил12(ведом 20)'!M669</f>
        <v>11215.819660000001</v>
      </c>
    </row>
    <row r="38" spans="1:5" ht="18.75">
      <c r="A38" s="68"/>
      <c r="B38" s="65" t="s">
        <v>224</v>
      </c>
      <c r="C38" s="30" t="s">
        <v>225</v>
      </c>
      <c r="D38" s="27">
        <f>'прил12(ведом 20)'!M670</f>
        <v>61919.142999999996</v>
      </c>
    </row>
    <row r="39" spans="1:5" ht="18.75">
      <c r="A39" s="71">
        <v>6</v>
      </c>
      <c r="B39" s="64" t="s">
        <v>226</v>
      </c>
      <c r="C39" s="28" t="s">
        <v>227</v>
      </c>
      <c r="D39" s="29">
        <f>SUM(D40:D41)</f>
        <v>34230.6</v>
      </c>
    </row>
    <row r="40" spans="1:5" ht="18.75">
      <c r="A40" s="68"/>
      <c r="B40" s="65" t="s">
        <v>228</v>
      </c>
      <c r="C40" s="30" t="s">
        <v>229</v>
      </c>
      <c r="D40" s="27">
        <f>'прил12(ведом 20)'!M673</f>
        <v>24499.399999999998</v>
      </c>
    </row>
    <row r="41" spans="1:5" ht="37.5">
      <c r="A41" s="68"/>
      <c r="B41" s="65" t="s">
        <v>230</v>
      </c>
      <c r="C41" s="30" t="s">
        <v>231</v>
      </c>
      <c r="D41" s="27">
        <f>'прил12(ведом 20)'!M674</f>
        <v>9731.1999999999989</v>
      </c>
    </row>
    <row r="42" spans="1:5" ht="18.75">
      <c r="A42" s="71">
        <v>7</v>
      </c>
      <c r="B42" s="712" t="s">
        <v>905</v>
      </c>
      <c r="C42" s="713" t="s">
        <v>901</v>
      </c>
      <c r="D42" s="35">
        <f>D43</f>
        <v>2642.6</v>
      </c>
    </row>
    <row r="43" spans="1:5" ht="18.75">
      <c r="A43" s="68"/>
      <c r="B43" s="66" t="s">
        <v>906</v>
      </c>
      <c r="C43" s="371" t="s">
        <v>902</v>
      </c>
      <c r="D43" s="27">
        <f>'прил12(ведом 20)'!M677</f>
        <v>2642.6</v>
      </c>
    </row>
    <row r="44" spans="1:5" s="34" customFormat="1" ht="18.75">
      <c r="A44" s="67">
        <v>8</v>
      </c>
      <c r="B44" s="67">
        <v>1000</v>
      </c>
      <c r="C44" s="28" t="s">
        <v>151</v>
      </c>
      <c r="D44" s="29">
        <f>SUM(D45:D48)</f>
        <v>137522.9</v>
      </c>
    </row>
    <row r="45" spans="1:5" ht="18.75">
      <c r="A45" s="68"/>
      <c r="B45" s="68">
        <v>1001</v>
      </c>
      <c r="C45" s="30" t="s">
        <v>456</v>
      </c>
      <c r="D45" s="27">
        <f>'прил12(ведом 20)'!M680</f>
        <v>552</v>
      </c>
    </row>
    <row r="46" spans="1:5" ht="18.75">
      <c r="A46" s="68"/>
      <c r="B46" s="68">
        <v>1003</v>
      </c>
      <c r="C46" s="211" t="s">
        <v>891</v>
      </c>
      <c r="D46" s="27">
        <f>'прил12(ведом 20)'!M681</f>
        <v>1680</v>
      </c>
    </row>
    <row r="47" spans="1:5" ht="18.75">
      <c r="A47" s="68"/>
      <c r="B47" s="68">
        <v>1004</v>
      </c>
      <c r="C47" s="30" t="s">
        <v>232</v>
      </c>
      <c r="D47" s="32">
        <f>'прил12(ведом 20)'!M682</f>
        <v>126098.2</v>
      </c>
    </row>
    <row r="48" spans="1:5" ht="18.75">
      <c r="A48" s="68"/>
      <c r="B48" s="68">
        <v>1006</v>
      </c>
      <c r="C48" s="30" t="s">
        <v>233</v>
      </c>
      <c r="D48" s="32">
        <f>'прил12(ведом 20)'!M683</f>
        <v>9192.7000000000007</v>
      </c>
    </row>
    <row r="49" spans="1:8" ht="18.75">
      <c r="A49" s="71">
        <v>9</v>
      </c>
      <c r="B49" s="69">
        <v>1100</v>
      </c>
      <c r="C49" s="25" t="s">
        <v>234</v>
      </c>
      <c r="D49" s="35">
        <f>SUM(D50:D52)</f>
        <v>38301.161369999994</v>
      </c>
    </row>
    <row r="50" spans="1:8" ht="18.75">
      <c r="A50" s="96"/>
      <c r="B50" s="70">
        <v>1101</v>
      </c>
      <c r="C50" s="108" t="s">
        <v>468</v>
      </c>
      <c r="D50" s="32">
        <f>'прил12(ведом 20)'!M686</f>
        <v>34366.961369999997</v>
      </c>
    </row>
    <row r="51" spans="1:8" ht="18.75">
      <c r="A51" s="71"/>
      <c r="B51" s="65" t="s">
        <v>235</v>
      </c>
      <c r="C51" s="36" t="s">
        <v>236</v>
      </c>
      <c r="D51" s="32">
        <f>'прил12(ведом 20)'!M687</f>
        <v>1497.1</v>
      </c>
    </row>
    <row r="52" spans="1:8" ht="37.5">
      <c r="A52" s="68"/>
      <c r="B52" s="65" t="s">
        <v>237</v>
      </c>
      <c r="C52" s="37" t="s">
        <v>238</v>
      </c>
      <c r="D52" s="27">
        <f>'прил12(ведом 20)'!M688</f>
        <v>2437.1</v>
      </c>
    </row>
    <row r="53" spans="1:8" ht="37.5">
      <c r="A53" s="67">
        <v>10</v>
      </c>
      <c r="B53" s="64" t="s">
        <v>524</v>
      </c>
      <c r="C53" s="113" t="s">
        <v>506</v>
      </c>
      <c r="D53" s="35">
        <f>D54</f>
        <v>17.100000000000001</v>
      </c>
    </row>
    <row r="54" spans="1:8" ht="37.5">
      <c r="A54" s="68"/>
      <c r="B54" s="65" t="s">
        <v>525</v>
      </c>
      <c r="C54" s="37" t="s">
        <v>507</v>
      </c>
      <c r="D54" s="27">
        <f>'прил12(ведом 20)'!M691</f>
        <v>17.100000000000001</v>
      </c>
    </row>
    <row r="55" spans="1:8" ht="56.25">
      <c r="A55" s="67">
        <v>11</v>
      </c>
      <c r="B55" s="69">
        <v>1400</v>
      </c>
      <c r="C55" s="28" t="s">
        <v>239</v>
      </c>
      <c r="D55" s="38">
        <f>SUM(D56:D56)</f>
        <v>5250</v>
      </c>
    </row>
    <row r="56" spans="1:8" ht="56.25">
      <c r="A56" s="72"/>
      <c r="B56" s="70">
        <v>1401</v>
      </c>
      <c r="C56" s="30" t="s">
        <v>240</v>
      </c>
      <c r="D56" s="39">
        <f>'прил12(ведом 20)'!M694</f>
        <v>5250</v>
      </c>
    </row>
    <row r="59" spans="1:8" s="41" customFormat="1" ht="18.75">
      <c r="A59" s="124" t="s">
        <v>497</v>
      </c>
      <c r="B59" s="43"/>
      <c r="C59" s="44"/>
      <c r="D59" s="44"/>
      <c r="E59" s="44"/>
      <c r="F59" s="45"/>
      <c r="G59" s="46"/>
      <c r="H59" s="42"/>
    </row>
    <row r="60" spans="1:8" s="41" customFormat="1" ht="18.75">
      <c r="A60" s="124" t="s">
        <v>498</v>
      </c>
      <c r="B60" s="43"/>
      <c r="C60" s="44"/>
      <c r="D60" s="44"/>
      <c r="E60" s="44"/>
      <c r="F60" s="45"/>
      <c r="G60" s="46"/>
      <c r="H60" s="42"/>
    </row>
    <row r="61" spans="1:8" s="41" customFormat="1" ht="18.75">
      <c r="A61" s="125" t="s">
        <v>499</v>
      </c>
      <c r="B61" s="43"/>
      <c r="D61" s="40" t="s">
        <v>534</v>
      </c>
      <c r="E61" s="44"/>
      <c r="F61" s="45"/>
    </row>
  </sheetData>
  <mergeCells count="2">
    <mergeCell ref="A8:D8"/>
    <mergeCell ref="A9:D9"/>
  </mergeCells>
  <printOptions horizontalCentered="1"/>
  <pageMargins left="1.1811023622047245" right="0.39370078740157483" top="0.78740157480314965" bottom="0.78740157480314965" header="0" footer="0"/>
  <pageSetup paperSize="9" scale="89" fitToHeight="0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60"/>
  <sheetViews>
    <sheetView zoomScale="80" zoomScaleNormal="80" zoomScaleSheetLayoutView="100" workbookViewId="0">
      <selection activeCell="E2" sqref="E2"/>
    </sheetView>
  </sheetViews>
  <sheetFormatPr defaultColWidth="9.140625" defaultRowHeight="18"/>
  <cols>
    <col min="1" max="1" width="6.140625" style="21" customWidth="1"/>
    <col min="2" max="2" width="9.140625" style="21" customWidth="1"/>
    <col min="3" max="3" width="62.140625" style="21" customWidth="1"/>
    <col min="4" max="4" width="14.7109375" style="23" customWidth="1"/>
    <col min="5" max="5" width="14.140625" style="21" customWidth="1"/>
    <col min="6" max="6" width="8.28515625" style="21" customWidth="1"/>
    <col min="7" max="7" width="22.85546875" style="21" customWidth="1"/>
    <col min="8" max="8" width="22.5703125" style="21" customWidth="1"/>
    <col min="9" max="16384" width="9.140625" style="21"/>
  </cols>
  <sheetData>
    <row r="1" spans="1:8" ht="18.75">
      <c r="C1" s="244"/>
      <c r="D1" s="244"/>
      <c r="E1" s="255" t="s">
        <v>579</v>
      </c>
    </row>
    <row r="2" spans="1:8" ht="18.75">
      <c r="C2" s="244"/>
      <c r="D2" s="244"/>
      <c r="E2" s="255" t="s">
        <v>936</v>
      </c>
    </row>
    <row r="4" spans="1:8" ht="18.75">
      <c r="E4" s="1" t="s">
        <v>581</v>
      </c>
    </row>
    <row r="5" spans="1:8" ht="18.75">
      <c r="E5" s="1" t="s">
        <v>884</v>
      </c>
    </row>
    <row r="7" spans="1:8" ht="18.75">
      <c r="A7" s="22"/>
      <c r="B7" s="22"/>
      <c r="C7" s="22"/>
    </row>
    <row r="8" spans="1:8" ht="24.75" customHeight="1">
      <c r="A8" s="789" t="s">
        <v>197</v>
      </c>
      <c r="B8" s="789"/>
      <c r="C8" s="789"/>
      <c r="D8" s="789"/>
      <c r="E8" s="789"/>
      <c r="F8" s="131"/>
    </row>
    <row r="9" spans="1:8" ht="18.75">
      <c r="A9" s="789" t="s">
        <v>629</v>
      </c>
      <c r="B9" s="789"/>
      <c r="C9" s="789"/>
      <c r="D9" s="789"/>
      <c r="E9" s="789"/>
      <c r="F9" s="131"/>
    </row>
    <row r="10" spans="1:8" ht="18.75">
      <c r="A10" s="22"/>
      <c r="D10" s="21"/>
    </row>
    <row r="11" spans="1:8" ht="18.75">
      <c r="E11" s="10" t="s">
        <v>46</v>
      </c>
    </row>
    <row r="12" spans="1:8" ht="18.75">
      <c r="A12" s="792" t="s">
        <v>198</v>
      </c>
      <c r="B12" s="793" t="s">
        <v>412</v>
      </c>
      <c r="C12" s="793" t="s">
        <v>48</v>
      </c>
      <c r="D12" s="779" t="s">
        <v>37</v>
      </c>
      <c r="E12" s="779"/>
      <c r="F12" s="110"/>
    </row>
    <row r="13" spans="1:8" ht="25.9" customHeight="1">
      <c r="A13" s="792"/>
      <c r="B13" s="793"/>
      <c r="C13" s="793"/>
      <c r="D13" s="61" t="s">
        <v>594</v>
      </c>
      <c r="E13" s="61" t="s">
        <v>622</v>
      </c>
      <c r="F13" s="111"/>
    </row>
    <row r="14" spans="1:8" ht="18.75">
      <c r="A14" s="89">
        <v>1</v>
      </c>
      <c r="B14" s="89">
        <v>2</v>
      </c>
      <c r="C14" s="89">
        <v>3</v>
      </c>
      <c r="D14" s="90">
        <v>4</v>
      </c>
      <c r="E14" s="90">
        <v>5</v>
      </c>
      <c r="F14" s="109"/>
    </row>
    <row r="15" spans="1:8" ht="18.75">
      <c r="A15" s="24"/>
      <c r="B15" s="24"/>
      <c r="C15" s="25" t="s">
        <v>199</v>
      </c>
      <c r="D15" s="100">
        <f>D17+D24+D27+D31+D33+D39+D42+D46+D52+D54+D50</f>
        <v>1343064</v>
      </c>
      <c r="E15" s="100">
        <f>E17+E24+E27+E31+E33+E39+E42+E46+E52+E54+E50</f>
        <v>1375418.2999999998</v>
      </c>
      <c r="G15" s="147">
        <f>D15-'прил13(ведом 21-22)'!M15</f>
        <v>0</v>
      </c>
      <c r="H15" s="147">
        <f>E15-'прил13(ведом 21-22)'!N15</f>
        <v>0</v>
      </c>
    </row>
    <row r="16" spans="1:8" ht="18.75">
      <c r="A16" s="24"/>
      <c r="B16" s="24"/>
      <c r="C16" s="26" t="s">
        <v>200</v>
      </c>
      <c r="D16" s="27"/>
      <c r="E16" s="27"/>
    </row>
    <row r="17" spans="1:7" ht="18.75">
      <c r="A17" s="67">
        <v>1</v>
      </c>
      <c r="B17" s="64" t="s">
        <v>201</v>
      </c>
      <c r="C17" s="28" t="s">
        <v>60</v>
      </c>
      <c r="D17" s="29">
        <f>SUM(D18:D23)</f>
        <v>128501.5</v>
      </c>
      <c r="E17" s="29">
        <f>SUM(E18:E23)</f>
        <v>135084.9</v>
      </c>
      <c r="G17" s="23"/>
    </row>
    <row r="18" spans="1:7" ht="56.25">
      <c r="A18" s="68"/>
      <c r="B18" s="65" t="s">
        <v>202</v>
      </c>
      <c r="C18" s="30" t="s">
        <v>203</v>
      </c>
      <c r="D18" s="27">
        <f>'прил13(ведом 21-22)'!M450</f>
        <v>2046.6</v>
      </c>
      <c r="E18" s="27">
        <f>'прил13(ведом 21-22)'!N450</f>
        <v>2046.6</v>
      </c>
    </row>
    <row r="19" spans="1:7" ht="75">
      <c r="A19" s="68"/>
      <c r="B19" s="65" t="s">
        <v>204</v>
      </c>
      <c r="C19" s="30" t="s">
        <v>75</v>
      </c>
      <c r="D19" s="27">
        <f>'прил13(ведом 21-22)'!M451</f>
        <v>69757.599999999991</v>
      </c>
      <c r="E19" s="27">
        <f>'прил13(ведом 21-22)'!N451</f>
        <v>69578.099999999991</v>
      </c>
    </row>
    <row r="20" spans="1:7" ht="18.75">
      <c r="A20" s="68"/>
      <c r="B20" s="65" t="s">
        <v>535</v>
      </c>
      <c r="C20" s="112" t="s">
        <v>528</v>
      </c>
      <c r="D20" s="27">
        <f>'прил13(ведом 21-22)'!M452</f>
        <v>13.2</v>
      </c>
      <c r="E20" s="27">
        <f>'прил13(ведом 21-22)'!N452</f>
        <v>96.1</v>
      </c>
    </row>
    <row r="21" spans="1:7" ht="56.25">
      <c r="A21" s="68"/>
      <c r="B21" s="65" t="s">
        <v>205</v>
      </c>
      <c r="C21" s="30" t="s">
        <v>162</v>
      </c>
      <c r="D21" s="27">
        <f>'прил13(ведом 21-22)'!M453</f>
        <v>28714.6</v>
      </c>
      <c r="E21" s="27">
        <f>'прил13(ведом 21-22)'!N453</f>
        <v>28139.7</v>
      </c>
    </row>
    <row r="22" spans="1:7" ht="18.75">
      <c r="A22" s="68"/>
      <c r="B22" s="65" t="s">
        <v>206</v>
      </c>
      <c r="C22" s="30" t="s">
        <v>92</v>
      </c>
      <c r="D22" s="27">
        <f>'прил13(ведом 21-22)'!M454</f>
        <v>5000</v>
      </c>
      <c r="E22" s="27">
        <f>'прил13(ведом 21-22)'!N454</f>
        <v>5000</v>
      </c>
    </row>
    <row r="23" spans="1:7" ht="18.75">
      <c r="A23" s="68"/>
      <c r="B23" s="65" t="s">
        <v>207</v>
      </c>
      <c r="C23" s="30" t="s">
        <v>99</v>
      </c>
      <c r="D23" s="27">
        <f>'прил13(ведом 21-22)'!M455</f>
        <v>22969.500000000004</v>
      </c>
      <c r="E23" s="27">
        <f>'прил13(ведом 21-22)'!N455</f>
        <v>30224.400000000001</v>
      </c>
    </row>
    <row r="24" spans="1:7" ht="37.5">
      <c r="A24" s="67">
        <v>2</v>
      </c>
      <c r="B24" s="64" t="s">
        <v>208</v>
      </c>
      <c r="C24" s="28" t="s">
        <v>107</v>
      </c>
      <c r="D24" s="29">
        <f>SUM(D25:D26)</f>
        <v>10885.800000000001</v>
      </c>
      <c r="E24" s="29">
        <f>SUM(E25:E26)</f>
        <v>7359.8</v>
      </c>
    </row>
    <row r="25" spans="1:7" ht="56.25">
      <c r="A25" s="68"/>
      <c r="B25" s="65" t="s">
        <v>209</v>
      </c>
      <c r="C25" s="30" t="s">
        <v>108</v>
      </c>
      <c r="D25" s="27">
        <f>'прил13(ведом 21-22)'!M458</f>
        <v>3282.3</v>
      </c>
      <c r="E25" s="27">
        <f>'прил13(ведом 21-22)'!N458</f>
        <v>0</v>
      </c>
    </row>
    <row r="26" spans="1:7" ht="37.5">
      <c r="A26" s="68"/>
      <c r="B26" s="65" t="s">
        <v>210</v>
      </c>
      <c r="C26" s="30" t="s">
        <v>118</v>
      </c>
      <c r="D26" s="27">
        <f>'прил13(ведом 21-22)'!M459</f>
        <v>7603.5000000000009</v>
      </c>
      <c r="E26" s="27">
        <f>'прил13(ведом 21-22)'!N459</f>
        <v>7359.8</v>
      </c>
    </row>
    <row r="27" spans="1:7" ht="18.75">
      <c r="A27" s="67">
        <v>3</v>
      </c>
      <c r="B27" s="64" t="s">
        <v>211</v>
      </c>
      <c r="C27" s="28" t="s">
        <v>124</v>
      </c>
      <c r="D27" s="29">
        <f>SUM(D28:D30)</f>
        <v>23781.4</v>
      </c>
      <c r="E27" s="29">
        <f>SUM(E28:E30)</f>
        <v>23921.100000000002</v>
      </c>
    </row>
    <row r="28" spans="1:7" ht="18.75">
      <c r="A28" s="67"/>
      <c r="B28" s="65" t="s">
        <v>212</v>
      </c>
      <c r="C28" s="30" t="s">
        <v>125</v>
      </c>
      <c r="D28" s="27">
        <f>'прил13(ведом 21-22)'!M462</f>
        <v>11254.2</v>
      </c>
      <c r="E28" s="27">
        <f>'прил13(ведом 21-22)'!N462</f>
        <v>11254.2</v>
      </c>
    </row>
    <row r="29" spans="1:7" ht="18.75">
      <c r="A29" s="68"/>
      <c r="B29" s="65" t="s">
        <v>213</v>
      </c>
      <c r="C29" s="30" t="s">
        <v>130</v>
      </c>
      <c r="D29" s="27">
        <f>'прил13(ведом 21-22)'!M463</f>
        <v>6753.2</v>
      </c>
      <c r="E29" s="27">
        <f>'прил13(ведом 21-22)'!N463</f>
        <v>7509.6</v>
      </c>
    </row>
    <row r="30" spans="1:7" ht="37.5">
      <c r="A30" s="68"/>
      <c r="B30" s="65" t="s">
        <v>214</v>
      </c>
      <c r="C30" s="30" t="s">
        <v>138</v>
      </c>
      <c r="D30" s="27">
        <f>'прил13(ведом 21-22)'!M464</f>
        <v>5774</v>
      </c>
      <c r="E30" s="27">
        <f>'прил13(ведом 21-22)'!N464</f>
        <v>5157.3</v>
      </c>
    </row>
    <row r="31" spans="1:7" s="34" customFormat="1" ht="18.75">
      <c r="A31" s="67">
        <v>4</v>
      </c>
      <c r="B31" s="64" t="s">
        <v>215</v>
      </c>
      <c r="C31" s="28" t="s">
        <v>216</v>
      </c>
      <c r="D31" s="29">
        <f>D32</f>
        <v>2355.4</v>
      </c>
      <c r="E31" s="29">
        <f>E32</f>
        <v>0</v>
      </c>
    </row>
    <row r="32" spans="1:7" ht="18.75">
      <c r="A32" s="68"/>
      <c r="B32" s="65" t="s">
        <v>424</v>
      </c>
      <c r="C32" s="31" t="s">
        <v>422</v>
      </c>
      <c r="D32" s="27">
        <f>'прил13(ведом 21-22)'!M468</f>
        <v>2355.4</v>
      </c>
      <c r="E32" s="27">
        <f>'прил13(ведом 21-22)'!N468</f>
        <v>0</v>
      </c>
    </row>
    <row r="33" spans="1:5" ht="18.75">
      <c r="A33" s="67">
        <v>5</v>
      </c>
      <c r="B33" s="64" t="s">
        <v>217</v>
      </c>
      <c r="C33" s="28" t="s">
        <v>218</v>
      </c>
      <c r="D33" s="29">
        <f>SUM(D34:D38)</f>
        <v>941442.70000000007</v>
      </c>
      <c r="E33" s="29">
        <f>SUM(E34:E38)</f>
        <v>947555</v>
      </c>
    </row>
    <row r="34" spans="1:5" ht="18.75">
      <c r="A34" s="68"/>
      <c r="B34" s="65" t="s">
        <v>219</v>
      </c>
      <c r="C34" s="30" t="s">
        <v>220</v>
      </c>
      <c r="D34" s="27">
        <f>'прил13(ведом 21-22)'!M472</f>
        <v>293146.09999999998</v>
      </c>
      <c r="E34" s="27">
        <f>'прил13(ведом 21-22)'!N472</f>
        <v>291373</v>
      </c>
    </row>
    <row r="35" spans="1:5" ht="18.75">
      <c r="A35" s="68"/>
      <c r="B35" s="65" t="s">
        <v>221</v>
      </c>
      <c r="C35" s="30" t="s">
        <v>222</v>
      </c>
      <c r="D35" s="27">
        <f>'прил13(ведом 21-22)'!M473</f>
        <v>472421.2</v>
      </c>
      <c r="E35" s="27">
        <f>'прил13(ведом 21-22)'!N473</f>
        <v>482661.50000000006</v>
      </c>
    </row>
    <row r="36" spans="1:5" ht="18.75">
      <c r="A36" s="68"/>
      <c r="B36" s="65" t="s">
        <v>447</v>
      </c>
      <c r="C36" s="30" t="s">
        <v>448</v>
      </c>
      <c r="D36" s="27">
        <f>'прил13(ведом 21-22)'!M474</f>
        <v>104633.60000000001</v>
      </c>
      <c r="E36" s="27">
        <f>'прил13(ведом 21-22)'!N474</f>
        <v>103729.3</v>
      </c>
    </row>
    <row r="37" spans="1:5" ht="18.75">
      <c r="A37" s="67"/>
      <c r="B37" s="65" t="s">
        <v>223</v>
      </c>
      <c r="C37" s="30" t="s">
        <v>449</v>
      </c>
      <c r="D37" s="27">
        <f>'прил13(ведом 21-22)'!M476</f>
        <v>8970.4000000000015</v>
      </c>
      <c r="E37" s="27">
        <f>'прил13(ведом 21-22)'!N476</f>
        <v>8931.5</v>
      </c>
    </row>
    <row r="38" spans="1:5" ht="18.75">
      <c r="A38" s="68"/>
      <c r="B38" s="65" t="s">
        <v>224</v>
      </c>
      <c r="C38" s="30" t="s">
        <v>225</v>
      </c>
      <c r="D38" s="27">
        <f>'прил13(ведом 21-22)'!M477</f>
        <v>62271.399999999994</v>
      </c>
      <c r="E38" s="27">
        <f>'прил13(ведом 21-22)'!N477</f>
        <v>60859.7</v>
      </c>
    </row>
    <row r="39" spans="1:5" ht="18.75">
      <c r="A39" s="71">
        <v>6</v>
      </c>
      <c r="B39" s="64" t="s">
        <v>226</v>
      </c>
      <c r="C39" s="28" t="s">
        <v>227</v>
      </c>
      <c r="D39" s="29">
        <f>SUM(D40:D41)</f>
        <v>32774.699999999997</v>
      </c>
      <c r="E39" s="29">
        <f>SUM(E40:E41)</f>
        <v>31807.499999999996</v>
      </c>
    </row>
    <row r="40" spans="1:5" ht="18.75">
      <c r="A40" s="68"/>
      <c r="B40" s="65" t="s">
        <v>228</v>
      </c>
      <c r="C40" s="30" t="s">
        <v>229</v>
      </c>
      <c r="D40" s="27">
        <f>'прил13(ведом 21-22)'!M480</f>
        <v>23711.199999999997</v>
      </c>
      <c r="E40" s="27">
        <f>'прил13(ведом 21-22)'!N480</f>
        <v>23240.699999999997</v>
      </c>
    </row>
    <row r="41" spans="1:5" ht="37.5">
      <c r="A41" s="68"/>
      <c r="B41" s="65" t="s">
        <v>230</v>
      </c>
      <c r="C41" s="30" t="s">
        <v>231</v>
      </c>
      <c r="D41" s="27">
        <f>'прил13(ведом 21-22)'!M481</f>
        <v>9063.5</v>
      </c>
      <c r="E41" s="27">
        <f>'прил13(ведом 21-22)'!N481</f>
        <v>8566.7999999999993</v>
      </c>
    </row>
    <row r="42" spans="1:5" s="34" customFormat="1" ht="18.75">
      <c r="A42" s="67">
        <v>7</v>
      </c>
      <c r="B42" s="67">
        <v>1000</v>
      </c>
      <c r="C42" s="28" t="s">
        <v>151</v>
      </c>
      <c r="D42" s="29">
        <f>SUM(D43:D45)</f>
        <v>143323.9</v>
      </c>
      <c r="E42" s="29">
        <f>SUM(E43:E45)</f>
        <v>142892.70000000001</v>
      </c>
    </row>
    <row r="43" spans="1:5" ht="18.75">
      <c r="A43" s="68"/>
      <c r="B43" s="68">
        <v>1001</v>
      </c>
      <c r="C43" s="30" t="s">
        <v>456</v>
      </c>
      <c r="D43" s="27">
        <f>'прил13(ведом 21-22)'!M484</f>
        <v>552</v>
      </c>
      <c r="E43" s="27">
        <f>'прил13(ведом 21-22)'!N484</f>
        <v>0</v>
      </c>
    </row>
    <row r="44" spans="1:5" ht="18.75">
      <c r="A44" s="68"/>
      <c r="B44" s="68">
        <v>1004</v>
      </c>
      <c r="C44" s="30" t="s">
        <v>232</v>
      </c>
      <c r="D44" s="32">
        <f>'прил13(ведом 21-22)'!M485</f>
        <v>134426.79999999999</v>
      </c>
      <c r="E44" s="32">
        <f>'прил13(ведом 21-22)'!N485</f>
        <v>134108</v>
      </c>
    </row>
    <row r="45" spans="1:5" ht="18.75">
      <c r="A45" s="68"/>
      <c r="B45" s="68">
        <v>1006</v>
      </c>
      <c r="C45" s="30" t="s">
        <v>233</v>
      </c>
      <c r="D45" s="32">
        <f>'прил13(ведом 21-22)'!M486</f>
        <v>8345.1</v>
      </c>
      <c r="E45" s="32">
        <f>'прил13(ведом 21-22)'!N486</f>
        <v>8784.7000000000007</v>
      </c>
    </row>
    <row r="46" spans="1:5" ht="18.75">
      <c r="A46" s="71">
        <v>8</v>
      </c>
      <c r="B46" s="69">
        <v>1100</v>
      </c>
      <c r="C46" s="25" t="s">
        <v>234</v>
      </c>
      <c r="D46" s="35">
        <f>SUM(D47:D49)</f>
        <v>27781.599999999999</v>
      </c>
      <c r="E46" s="35">
        <f>SUM(E47:E49)</f>
        <v>25637.5</v>
      </c>
    </row>
    <row r="47" spans="1:5" ht="18.75">
      <c r="A47" s="96"/>
      <c r="B47" s="70">
        <v>1101</v>
      </c>
      <c r="C47" s="108" t="s">
        <v>468</v>
      </c>
      <c r="D47" s="32">
        <f>'прил13(ведом 21-22)'!M489</f>
        <v>23721.200000000001</v>
      </c>
      <c r="E47" s="32">
        <f>'прил13(ведом 21-22)'!N489</f>
        <v>23289.200000000001</v>
      </c>
    </row>
    <row r="48" spans="1:5" ht="18.75">
      <c r="A48" s="96"/>
      <c r="B48" s="70">
        <v>1102</v>
      </c>
      <c r="C48" s="36" t="s">
        <v>236</v>
      </c>
      <c r="D48" s="32">
        <f>'прил13(ведом 21-22)'!M490</f>
        <v>1620.3</v>
      </c>
      <c r="E48" s="32">
        <f>'прил13(ведом 21-22)'!N490</f>
        <v>0</v>
      </c>
    </row>
    <row r="49" spans="1:8" ht="37.5">
      <c r="A49" s="68"/>
      <c r="B49" s="65" t="s">
        <v>237</v>
      </c>
      <c r="C49" s="37" t="s">
        <v>238</v>
      </c>
      <c r="D49" s="27">
        <f>'прил13(ведом 21-22)'!M491</f>
        <v>2440.1000000000004</v>
      </c>
      <c r="E49" s="27">
        <f>'прил13(ведом 21-22)'!N491</f>
        <v>2348.3000000000002</v>
      </c>
    </row>
    <row r="50" spans="1:8" ht="37.5">
      <c r="A50" s="67">
        <v>9</v>
      </c>
      <c r="B50" s="64" t="s">
        <v>524</v>
      </c>
      <c r="C50" s="113" t="s">
        <v>506</v>
      </c>
      <c r="D50" s="35">
        <f>D51</f>
        <v>16.5</v>
      </c>
      <c r="E50" s="35">
        <f>E51</f>
        <v>9.4</v>
      </c>
    </row>
    <row r="51" spans="1:8" ht="37.5">
      <c r="A51" s="68"/>
      <c r="B51" s="65" t="s">
        <v>525</v>
      </c>
      <c r="C51" s="37" t="s">
        <v>507</v>
      </c>
      <c r="D51" s="27">
        <f>'прил13(ведом 21-22)'!M494</f>
        <v>16.5</v>
      </c>
      <c r="E51" s="27">
        <f>'прил13(ведом 21-22)'!N494</f>
        <v>9.4</v>
      </c>
    </row>
    <row r="52" spans="1:8" ht="56.25">
      <c r="A52" s="67">
        <v>10</v>
      </c>
      <c r="B52" s="69">
        <v>1400</v>
      </c>
      <c r="C52" s="28" t="s">
        <v>239</v>
      </c>
      <c r="D52" s="38">
        <f>SUM(D53:D53)</f>
        <v>5250</v>
      </c>
      <c r="E52" s="38">
        <f>SUM(E53:E53)</f>
        <v>5250</v>
      </c>
    </row>
    <row r="53" spans="1:8" ht="56.25">
      <c r="A53" s="72"/>
      <c r="B53" s="70">
        <v>1401</v>
      </c>
      <c r="C53" s="30" t="s">
        <v>240</v>
      </c>
      <c r="D53" s="39">
        <f>'прил13(ведом 21-22)'!M497</f>
        <v>5250</v>
      </c>
      <c r="E53" s="39">
        <f>'прил13(ведом 21-22)'!N497</f>
        <v>5250</v>
      </c>
    </row>
    <row r="54" spans="1:8" ht="18.75">
      <c r="A54" s="67">
        <v>11</v>
      </c>
      <c r="B54" s="69"/>
      <c r="C54" s="28" t="s">
        <v>471</v>
      </c>
      <c r="D54" s="38">
        <f>SUM(D55:D55)</f>
        <v>26950.5</v>
      </c>
      <c r="E54" s="38">
        <f>SUM(E55:E55)</f>
        <v>55900.4</v>
      </c>
    </row>
    <row r="55" spans="1:8" ht="18.75">
      <c r="A55" s="72"/>
      <c r="B55" s="70"/>
      <c r="C55" s="30" t="s">
        <v>471</v>
      </c>
      <c r="D55" s="39">
        <f>'прил13(ведом 21-22)'!M500</f>
        <v>26950.5</v>
      </c>
      <c r="E55" s="39">
        <f>'прил13(ведом 21-22)'!N500</f>
        <v>55900.4</v>
      </c>
    </row>
    <row r="58" spans="1:8" s="41" customFormat="1" ht="18.75">
      <c r="A58" s="124" t="s">
        <v>497</v>
      </c>
      <c r="B58" s="43"/>
      <c r="C58" s="44"/>
      <c r="D58" s="44"/>
      <c r="E58" s="44"/>
      <c r="F58" s="45"/>
      <c r="G58" s="46"/>
      <c r="H58" s="42"/>
    </row>
    <row r="59" spans="1:8" s="41" customFormat="1" ht="18.75">
      <c r="A59" s="124" t="s">
        <v>498</v>
      </c>
      <c r="B59" s="43"/>
      <c r="C59" s="44"/>
      <c r="D59" s="44"/>
      <c r="E59" s="44"/>
      <c r="F59" s="45"/>
      <c r="G59" s="46"/>
      <c r="H59" s="42"/>
    </row>
    <row r="60" spans="1:8" s="41" customFormat="1" ht="18.75">
      <c r="A60" s="125" t="s">
        <v>499</v>
      </c>
      <c r="B60" s="43"/>
      <c r="E60" s="40" t="s">
        <v>534</v>
      </c>
      <c r="F60" s="45"/>
    </row>
  </sheetData>
  <mergeCells count="6">
    <mergeCell ref="A8:E8"/>
    <mergeCell ref="D12:E12"/>
    <mergeCell ref="A12:A13"/>
    <mergeCell ref="B12:B13"/>
    <mergeCell ref="C12:C13"/>
    <mergeCell ref="A9:E9"/>
  </mergeCells>
  <printOptions horizontalCentered="1"/>
  <pageMargins left="1.1811023622047245" right="0.39370078740157483" top="0.78740157480314965" bottom="0.78740157480314965" header="0" footer="0"/>
  <pageSetup paperSize="9" scale="80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30</vt:i4>
      </vt:variant>
    </vt:vector>
  </HeadingPairs>
  <TitlesOfParts>
    <vt:vector size="51" baseType="lpstr">
      <vt:lpstr>прил.1 (админ.)</vt:lpstr>
      <vt:lpstr>прил. 2 (поступл.20)</vt:lpstr>
      <vt:lpstr>прил. 3 (поступл. 21-22)</vt:lpstr>
      <vt:lpstr>прил.4 (пост.безв.20)</vt:lpstr>
      <vt:lpstr>прил.5 (пост.безв.21-22)</vt:lpstr>
      <vt:lpstr>прил.6 (безв.от пос.20) (2)</vt:lpstr>
      <vt:lpstr>прил.7 (норм.доходов)</vt:lpstr>
      <vt:lpstr>прил 8 (Рз,ПР 20)</vt:lpstr>
      <vt:lpstr>прил 9 (Рз,ПР 21-22)</vt:lpstr>
      <vt:lpstr>прил 10 (ЦС,ВР 20)</vt:lpstr>
      <vt:lpstr>прил 11 (ЦС,ВР 21-22)</vt:lpstr>
      <vt:lpstr>прил12(ведом 20)</vt:lpstr>
      <vt:lpstr>прил13(ведом 21-22)</vt:lpstr>
      <vt:lpstr>прил.14 (Источники 20)</vt:lpstr>
      <vt:lpstr>прил.15 (Источники 21-22)</vt:lpstr>
      <vt:lpstr>прил.16(безв.всего 19)</vt:lpstr>
      <vt:lpstr>прил.17(безв.всего 20-21)</vt:lpstr>
      <vt:lpstr>прил.18(дотация 20)</vt:lpstr>
      <vt:lpstr>прил.19(дотация 21-22)</vt:lpstr>
      <vt:lpstr>прил.20мун.заим.20-22)</vt:lpstr>
      <vt:lpstr>прил.21(гар. 20-22)</vt:lpstr>
      <vt:lpstr>'прил 10 (ЦС,ВР 20)'!Заголовки_для_печати</vt:lpstr>
      <vt:lpstr>'прил 11 (ЦС,ВР 21-22)'!Заголовки_для_печати</vt:lpstr>
      <vt:lpstr>'прил 8 (Рз,ПР 20)'!Заголовки_для_печати</vt:lpstr>
      <vt:lpstr>'прил 9 (Рз,ПР 21-22)'!Заголовки_для_печати</vt:lpstr>
      <vt:lpstr>'прил. 2 (поступл.20)'!Заголовки_для_печати</vt:lpstr>
      <vt:lpstr>'прил. 3 (поступл. 21-22)'!Заголовки_для_печати</vt:lpstr>
      <vt:lpstr>'прил.1 (админ.)'!Заголовки_для_печати</vt:lpstr>
      <vt:lpstr>'прил.14 (Источники 20)'!Заголовки_для_печати</vt:lpstr>
      <vt:lpstr>'прил.15 (Источники 21-22)'!Заголовки_для_печати</vt:lpstr>
      <vt:lpstr>'прил.4 (пост.безв.20)'!Заголовки_для_печати</vt:lpstr>
      <vt:lpstr>'прил.5 (пост.безв.21-22)'!Заголовки_для_печати</vt:lpstr>
      <vt:lpstr>'прил.6 (безв.от пос.20) (2)'!Заголовки_для_печати</vt:lpstr>
      <vt:lpstr>'прил.7 (норм.доходов)'!Заголовки_для_печати</vt:lpstr>
      <vt:lpstr>'прил12(ведом 20)'!Заголовки_для_печати</vt:lpstr>
      <vt:lpstr>'прил13(ведом 21-22)'!Заголовки_для_печати</vt:lpstr>
      <vt:lpstr>'прил 10 (ЦС,ВР 20)'!Область_печати</vt:lpstr>
      <vt:lpstr>'прил 11 (ЦС,ВР 21-22)'!Область_печати</vt:lpstr>
      <vt:lpstr>'прил 8 (Рз,ПР 20)'!Область_печати</vt:lpstr>
      <vt:lpstr>'прил 9 (Рз,ПР 21-22)'!Область_печати</vt:lpstr>
      <vt:lpstr>'прил. 2 (поступл.20)'!Область_печати</vt:lpstr>
      <vt:lpstr>'прил.1 (админ.)'!Область_печати</vt:lpstr>
      <vt:lpstr>'прил.14 (Источники 20)'!Область_печати</vt:lpstr>
      <vt:lpstr>'прил.18(дотация 20)'!Область_печати</vt:lpstr>
      <vt:lpstr>'прил.19(дотация 21-22)'!Область_печати</vt:lpstr>
      <vt:lpstr>'прил.4 (пост.безв.20)'!Область_печати</vt:lpstr>
      <vt:lpstr>'прил.5 (пост.безв.21-22)'!Область_печати</vt:lpstr>
      <vt:lpstr>'прил.6 (безв.от пос.20) (2)'!Область_печати</vt:lpstr>
      <vt:lpstr>'прил.7 (норм.доходов)'!Область_печати</vt:lpstr>
      <vt:lpstr>'прил12(ведом 20)'!Область_печати</vt:lpstr>
      <vt:lpstr>'прил13(ведом 21-22)'!Область_печати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2020-03-27T08:24:04Z</dcterms:modified>
</cp:coreProperties>
</file>