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" yWindow="2730" windowWidth="14925" windowHeight="5445" tabRatio="852" firstSheet="6" activeTab="12"/>
  </bookViews>
  <sheets>
    <sheet name="прил.1 (админ.)" sheetId="1" r:id="rId1"/>
    <sheet name="прил. 2 (поступл.19)" sheetId="5" r:id="rId2"/>
    <sheet name="прил. 3 (поступл. 20-21)" sheetId="15" r:id="rId3"/>
    <sheet name="прил.4 (пост.безв.19)" sheetId="2" r:id="rId4"/>
    <sheet name="прил.5 (пост.безв.20-21)" sheetId="16" r:id="rId5"/>
    <sheet name="прил.6 (безв.от пос.19)" sheetId="4" r:id="rId6"/>
    <sheet name="прил.7 (норм.доходов)" sheetId="26" r:id="rId7"/>
    <sheet name="прил 8 (Рз,ПР 19)" sheetId="6" r:id="rId8"/>
    <sheet name="прил 9 (Рз,ПР 20-21)" sheetId="17" r:id="rId9"/>
    <sheet name="прил 10 (ЦС,ВР 19)" sheetId="7" r:id="rId10"/>
    <sheet name="прил 11 (ЦС,ВР 20-21)" sheetId="18" r:id="rId11"/>
    <sheet name="прил12(ведом 19)" sheetId="3" r:id="rId12"/>
    <sheet name="прил13(ведом 20-21)" sheetId="19" r:id="rId13"/>
    <sheet name="прил.14 (Источники 19)" sheetId="8" r:id="rId14"/>
    <sheet name="прил.15 (Источники 20-21)" sheetId="20" r:id="rId15"/>
    <sheet name="прил.16(безв.всего 19)" sheetId="9" r:id="rId16"/>
    <sheet name="прил.17(безв.всего 20-21)" sheetId="21" r:id="rId17"/>
    <sheet name="прил.18(дотация 19)" sheetId="11" r:id="rId18"/>
    <sheet name="прил.19(дотация 20-21)" sheetId="22" r:id="rId19"/>
    <sheet name="прил.20мун.заим.19-21)" sheetId="12" r:id="rId20"/>
    <sheet name="прил.21(гар. 19-21)" sheetId="13" r:id="rId21"/>
  </sheets>
  <definedNames>
    <definedName name="_xlnm._FilterDatabase" localSheetId="9" hidden="1">'прил 10 (ЦС,ВР 19)'!$A$4:$H$460</definedName>
    <definedName name="_xlnm._FilterDatabase" localSheetId="10" hidden="1">'прил 11 (ЦС,ВР 20-21)'!$A$4:$I$272</definedName>
    <definedName name="_xlnm._FilterDatabase" localSheetId="7" hidden="1">'прил 8 (Рз,ПР 19)'!$A$12:$AI$55</definedName>
    <definedName name="_xlnm._FilterDatabase" localSheetId="8" hidden="1">'прил 9 (Рз,ПР 20-21)'!$A$10:$AJ$46</definedName>
    <definedName name="_xlnm._FilterDatabase" localSheetId="0" hidden="1">'прил.1 (админ.)'!$A$1:$C$162</definedName>
    <definedName name="_xlnm._FilterDatabase" localSheetId="3" hidden="1">'прил.4 (пост.безв.19)'!$A$1:$E$60</definedName>
    <definedName name="_xlnm._FilterDatabase" localSheetId="4" hidden="1">'прил.5 (пост.безв.20-21)'!$A$10:$F$54</definedName>
    <definedName name="_xlnm._FilterDatabase" localSheetId="11" hidden="1">'прил12(ведом 19)'!$A$4:$M$1062</definedName>
    <definedName name="_xlnm._FilterDatabase" localSheetId="12" hidden="1">'прил13(ведом 20-21)'!$A$4:$N$418</definedName>
    <definedName name="Z_168CADD9_CFDC_4445_BFE6_DAD4B9423C72_.wvu.FilterData" localSheetId="9" hidden="1">'прил 10 (ЦС,ВР 19)'!#REF!</definedName>
    <definedName name="Z_168CADD9_CFDC_4445_BFE6_DAD4B9423C72_.wvu.FilterData" localSheetId="10" hidden="1">'прил 11 (ЦС,ВР 20-21)'!#REF!</definedName>
    <definedName name="Z_1F25B6A1_C9F7_11D8_A2FD_006098EF8B30_.wvu.FilterData" localSheetId="9" hidden="1">'прил 10 (ЦС,ВР 19)'!#REF!</definedName>
    <definedName name="Z_1F25B6A1_C9F7_11D8_A2FD_006098EF8B30_.wvu.FilterData" localSheetId="10" hidden="1">'прил 11 (ЦС,ВР 20-21)'!#REF!</definedName>
    <definedName name="Z_29D950F2_21ED_48E6_BFC6_87DD89E0125A_.wvu.FilterData" localSheetId="9" hidden="1">'прил 10 (ЦС,ВР 19)'!#REF!</definedName>
    <definedName name="Z_29D950F2_21ED_48E6_BFC6_87DD89E0125A_.wvu.FilterData" localSheetId="10" hidden="1">'прил 11 (ЦС,ВР 20-21)'!#REF!</definedName>
    <definedName name="Z_2CA7FCD5_27A5_4474_9D49_7A7E23BD2FF9_.wvu.FilterData" localSheetId="9" hidden="1">'прил 10 (ЦС,ВР 19)'!#REF!</definedName>
    <definedName name="Z_2CA7FCD5_27A5_4474_9D49_7A7E23BD2FF9_.wvu.FilterData" localSheetId="10" hidden="1">'прил 11 (ЦС,ВР 20-21)'!#REF!</definedName>
    <definedName name="Z_48E28AC5_4E0A_4FBA_AE6D_340F9E8D4B3C_.wvu.FilterData" localSheetId="9" hidden="1">'прил 10 (ЦС,ВР 19)'!#REF!</definedName>
    <definedName name="Z_48E28AC5_4E0A_4FBA_AE6D_340F9E8D4B3C_.wvu.FilterData" localSheetId="10" hidden="1">'прил 11 (ЦС,ВР 20-21)'!#REF!</definedName>
    <definedName name="Z_6398E0F2_3205_40F4_BF0A_C9F4D0DA9A75_.wvu.FilterData" localSheetId="9" hidden="1">'прил 10 (ЦС,ВР 19)'!#REF!</definedName>
    <definedName name="Z_6398E0F2_3205_40F4_BF0A_C9F4D0DA9A75_.wvu.FilterData" localSheetId="10" hidden="1">'прил 11 (ЦС,ВР 20-21)'!#REF!</definedName>
    <definedName name="Z_64DF1B77_0EDD_4B56_A91C_5E003BE599EF_.wvu.FilterData" localSheetId="9" hidden="1">'прил 10 (ЦС,ВР 19)'!#REF!</definedName>
    <definedName name="Z_64DF1B77_0EDD_4B56_A91C_5E003BE599EF_.wvu.FilterData" localSheetId="10" hidden="1">'прил 11 (ЦС,ВР 20-21)'!#REF!</definedName>
    <definedName name="Z_6786C020_BCF1_463A_B3E9_7DE69D46EAB3_.wvu.FilterData" localSheetId="9" hidden="1">'прил 10 (ЦС,ВР 19)'!#REF!</definedName>
    <definedName name="Z_6786C020_BCF1_463A_B3E9_7DE69D46EAB3_.wvu.FilterData" localSheetId="10" hidden="1">'прил 11 (ЦС,ВР 20-21)'!#REF!</definedName>
    <definedName name="Z_8E2E7D81_C767_11D8_A2FD_006098EF8B30_.wvu.FilterData" localSheetId="9" hidden="1">'прил 10 (ЦС,ВР 19)'!#REF!</definedName>
    <definedName name="Z_8E2E7D81_C767_11D8_A2FD_006098EF8B30_.wvu.FilterData" localSheetId="10" hidden="1">'прил 11 (ЦС,ВР 20-21)'!#REF!</definedName>
    <definedName name="Z_97D0CDFA_8A34_4B3C_BA32_D4F0E3218B75_.wvu.FilterData" localSheetId="9" hidden="1">'прил 10 (ЦС,ВР 19)'!#REF!</definedName>
    <definedName name="Z_97D0CDFA_8A34_4B3C_BA32_D4F0E3218B75_.wvu.FilterData" localSheetId="10" hidden="1">'прил 11 (ЦС,ВР 20-21)'!#REF!</definedName>
    <definedName name="Z_B246FE0E_E986_4211_B02A_04E4565C0FED_.wvu.Cols" localSheetId="9" hidden="1">'прил 10 (ЦС,ВР 19)'!$A:$A,'прил 10 (ЦС,ВР 19)'!#REF!</definedName>
    <definedName name="Z_B246FE0E_E986_4211_B02A_04E4565C0FED_.wvu.Cols" localSheetId="10" hidden="1">'прил 11 (ЦС,ВР 20-21)'!$A:$A,'прил 11 (ЦС,ВР 20-21)'!#REF!</definedName>
    <definedName name="Z_B246FE0E_E986_4211_B02A_04E4565C0FED_.wvu.FilterData" localSheetId="9" hidden="1">'прил 10 (ЦС,ВР 19)'!#REF!</definedName>
    <definedName name="Z_B246FE0E_E986_4211_B02A_04E4565C0FED_.wvu.FilterData" localSheetId="10" hidden="1">'прил 11 (ЦС,ВР 20-21)'!#REF!</definedName>
    <definedName name="Z_B246FE0E_E986_4211_B02A_04E4565C0FED_.wvu.PrintArea" localSheetId="9" hidden="1">'прил 10 (ЦС,ВР 19)'!#REF!</definedName>
    <definedName name="Z_B246FE0E_E986_4211_B02A_04E4565C0FED_.wvu.PrintArea" localSheetId="10" hidden="1">'прил 11 (ЦС,ВР 20-21)'!#REF!</definedName>
    <definedName name="Z_B246FE0E_E986_4211_B02A_04E4565C0FED_.wvu.PrintTitles" localSheetId="9" hidden="1">'прил 10 (ЦС,ВР 19)'!#REF!</definedName>
    <definedName name="Z_B246FE0E_E986_4211_B02A_04E4565C0FED_.wvu.PrintTitles" localSheetId="10" hidden="1">'прил 11 (ЦС,ВР 20-21)'!#REF!</definedName>
    <definedName name="Z_C54CDF8B_FA5C_4A02_B343_3FEFD9721392_.wvu.FilterData" localSheetId="9" hidden="1">'прил 10 (ЦС,ВР 19)'!#REF!</definedName>
    <definedName name="Z_C54CDF8B_FA5C_4A02_B343_3FEFD9721392_.wvu.FilterData" localSheetId="10" hidden="1">'прил 11 (ЦС,ВР 20-21)'!#REF!</definedName>
    <definedName name="Z_D7174C22_B878_4584_A218_37ED88979064_.wvu.FilterData" localSheetId="9" hidden="1">'прил 10 (ЦС,ВР 19)'!#REF!</definedName>
    <definedName name="Z_D7174C22_B878_4584_A218_37ED88979064_.wvu.FilterData" localSheetId="10" hidden="1">'прил 11 (ЦС,ВР 20-21)'!#REF!</definedName>
    <definedName name="Z_DD7538FB_7299_4DEE_90D5_2739132A1616_.wvu.FilterData" localSheetId="9" hidden="1">'прил 10 (ЦС,ВР 19)'!#REF!</definedName>
    <definedName name="Z_DD7538FB_7299_4DEE_90D5_2739132A1616_.wvu.FilterData" localSheetId="10" hidden="1">'прил 11 (ЦС,ВР 20-21)'!#REF!</definedName>
    <definedName name="Z_E4B436A8_4A5B_422F_8C0E_9267F763D19D_.wvu.FilterData" localSheetId="9" hidden="1">'прил 10 (ЦС,ВР 19)'!#REF!</definedName>
    <definedName name="Z_E4B436A8_4A5B_422F_8C0E_9267F763D19D_.wvu.FilterData" localSheetId="10" hidden="1">'прил 11 (ЦС,ВР 20-21)'!#REF!</definedName>
    <definedName name="Z_E6BB4361_1D58_11D9_A2FD_006098EF8B30_.wvu.FilterData" localSheetId="9" hidden="1">'прил 10 (ЦС,ВР 19)'!#REF!</definedName>
    <definedName name="Z_E6BB4361_1D58_11D9_A2FD_006098EF8B30_.wvu.FilterData" localSheetId="10" hidden="1">'прил 11 (ЦС,ВР 20-21)'!#REF!</definedName>
    <definedName name="Z_EF486DA3_1DF3_11D9_A2FD_006098EF8B30_.wvu.FilterData" localSheetId="9" hidden="1">'прил 10 (ЦС,ВР 19)'!#REF!</definedName>
    <definedName name="Z_EF486DA3_1DF3_11D9_A2FD_006098EF8B30_.wvu.FilterData" localSheetId="10" hidden="1">'прил 11 (ЦС,ВР 20-21)'!#REF!</definedName>
    <definedName name="Z_EF486DA8_1DF3_11D9_A2FD_006098EF8B30_.wvu.FilterData" localSheetId="9" hidden="1">'прил 10 (ЦС,ВР 19)'!#REF!</definedName>
    <definedName name="Z_EF486DA8_1DF3_11D9_A2FD_006098EF8B30_.wvu.FilterData" localSheetId="10" hidden="1">'прил 11 (ЦС,ВР 20-21)'!#REF!</definedName>
    <definedName name="Z_EF486DAA_1DF3_11D9_A2FD_006098EF8B30_.wvu.FilterData" localSheetId="9" hidden="1">'прил 10 (ЦС,ВР 19)'!#REF!</definedName>
    <definedName name="Z_EF486DAA_1DF3_11D9_A2FD_006098EF8B30_.wvu.FilterData" localSheetId="10" hidden="1">'прил 11 (ЦС,ВР 20-21)'!#REF!</definedName>
    <definedName name="Z_EF486DAC_1DF3_11D9_A2FD_006098EF8B30_.wvu.FilterData" localSheetId="9" hidden="1">'прил 10 (ЦС,ВР 19)'!#REF!</definedName>
    <definedName name="Z_EF486DAC_1DF3_11D9_A2FD_006098EF8B30_.wvu.FilterData" localSheetId="10" hidden="1">'прил 11 (ЦС,ВР 20-21)'!#REF!</definedName>
    <definedName name="Z_EF5A4981_C8E4_11D8_A2FC_006098EF8BA8_.wvu.Cols" localSheetId="9" hidden="1">'прил 10 (ЦС,ВР 19)'!$A:$A,'прил 10 (ЦС,ВР 19)'!#REF!,'прил 10 (ЦС,ВР 19)'!#REF!</definedName>
    <definedName name="Z_EF5A4981_C8E4_11D8_A2FC_006098EF8BA8_.wvu.Cols" localSheetId="10" hidden="1">'прил 11 (ЦС,ВР 20-21)'!$A:$A,'прил 11 (ЦС,ВР 20-21)'!#REF!,'прил 11 (ЦС,ВР 20-21)'!#REF!</definedName>
    <definedName name="Z_EF5A4981_C8E4_11D8_A2FC_006098EF8BA8_.wvu.FilterData" localSheetId="9" hidden="1">'прил 10 (ЦС,ВР 19)'!#REF!</definedName>
    <definedName name="Z_EF5A4981_C8E4_11D8_A2FC_006098EF8BA8_.wvu.FilterData" localSheetId="10" hidden="1">'прил 11 (ЦС,ВР 20-21)'!#REF!</definedName>
    <definedName name="Z_EF5A4981_C8E4_11D8_A2FC_006098EF8BA8_.wvu.PrintArea" localSheetId="9" hidden="1">'прил 10 (ЦС,ВР 19)'!#REF!</definedName>
    <definedName name="Z_EF5A4981_C8E4_11D8_A2FC_006098EF8BA8_.wvu.PrintArea" localSheetId="10" hidden="1">'прил 11 (ЦС,ВР 20-21)'!#REF!</definedName>
    <definedName name="Z_EF5A4981_C8E4_11D8_A2FC_006098EF8BA8_.wvu.PrintTitles" localSheetId="9" hidden="1">'прил 10 (ЦС,ВР 19)'!#REF!</definedName>
    <definedName name="Z_EF5A4981_C8E4_11D8_A2FC_006098EF8BA8_.wvu.PrintTitles" localSheetId="10" hidden="1">'прил 11 (ЦС,ВР 20-21)'!#REF!</definedName>
    <definedName name="_xlnm.Print_Titles" localSheetId="9">'прил 10 (ЦС,ВР 19)'!$12:$12</definedName>
    <definedName name="_xlnm.Print_Titles" localSheetId="10">'прил 11 (ЦС,ВР 20-21)'!$13:$13</definedName>
    <definedName name="_xlnm.Print_Titles" localSheetId="7">'прил 8 (Рз,ПР 19)'!$13:$13</definedName>
    <definedName name="_xlnm.Print_Titles" localSheetId="8">'прил 9 (Рз,ПР 20-21)'!$11:$11</definedName>
    <definedName name="_xlnm.Print_Titles" localSheetId="1">'прил. 2 (поступл.19)'!$12:$12</definedName>
    <definedName name="_xlnm.Print_Titles" localSheetId="2">'прил. 3 (поступл. 20-21)'!$13:$13</definedName>
    <definedName name="_xlnm.Print_Titles" localSheetId="0">'прил.1 (админ.)'!$10:$10</definedName>
    <definedName name="_xlnm.Print_Titles" localSheetId="13">'прил.14 (Источники 19)'!$13:$13</definedName>
    <definedName name="_xlnm.Print_Titles" localSheetId="14">'прил.15 (Источники 20-21)'!$12:$12</definedName>
    <definedName name="_xlnm.Print_Titles" localSheetId="19">'прил.20мун.заим.19-21)'!#REF!</definedName>
    <definedName name="_xlnm.Print_Titles" localSheetId="3">'прил.4 (пост.безв.19)'!$9:$9</definedName>
    <definedName name="_xlnm.Print_Titles" localSheetId="4">'прил.5 (пост.безв.20-21)'!$10:$10</definedName>
    <definedName name="_xlnm.Print_Titles" localSheetId="6">'прил.7 (норм.доходов)'!$10:$10</definedName>
    <definedName name="_xlnm.Print_Titles" localSheetId="11">'прил12(ведом 19)'!$14:$14</definedName>
    <definedName name="_xlnm.Print_Titles" localSheetId="12">'прил13(ведом 20-21)'!$14:$14</definedName>
    <definedName name="_xlnm.Print_Area" localSheetId="9">'прил 10 (ЦС,ВР 19)'!$A$1:$H$446</definedName>
    <definedName name="_xlnm.Print_Area" localSheetId="10">'прил 11 (ЦС,ВР 20-21)'!$A$1:$I$258</definedName>
    <definedName name="_xlnm.Print_Area" localSheetId="7">'прил 8 (Рз,ПР 19)'!$A$1:$D$60</definedName>
    <definedName name="_xlnm.Print_Area" localSheetId="8">'прил 9 (Рз,ПР 20-21)'!$A$1:$E$51</definedName>
    <definedName name="_xlnm.Print_Area" localSheetId="1">'прил. 2 (поступл.19)'!$A$1:$C$43</definedName>
    <definedName name="_xlnm.Print_Area" localSheetId="2">'прил. 3 (поступл. 20-21)'!$A$1:$D$60</definedName>
    <definedName name="_xlnm.Print_Area" localSheetId="0">'прил.1 (админ.)'!$A$1:$C$162</definedName>
    <definedName name="_xlnm.Print_Area" localSheetId="17">'прил.18(дотация 19)'!$A$1:$F$24</definedName>
    <definedName name="_xlnm.Print_Area" localSheetId="18">'прил.19(дотация 20-21)'!$A$1:$G$25</definedName>
    <definedName name="_xlnm.Print_Area" localSheetId="3">'прил.4 (пост.безв.19)'!$A$1:$C$60</definedName>
    <definedName name="_xlnm.Print_Area" localSheetId="4">'прил.5 (пост.безв.20-21)'!$A$1:$D$59</definedName>
    <definedName name="_xlnm.Print_Area" localSheetId="5">'прил.6 (безв.от пос.19)'!$A$1:$F$31</definedName>
    <definedName name="_xlnm.Print_Area" localSheetId="11">'прил12(ведом 19)'!$A$1:$M$605</definedName>
    <definedName name="_xlnm.Print_Area" localSheetId="12">'прил13(ведом 20-21)'!$A$1:$N$347</definedName>
  </definedNames>
  <calcPr calcId="145621"/>
</workbook>
</file>

<file path=xl/calcChain.xml><?xml version="1.0" encoding="utf-8"?>
<calcChain xmlns="http://schemas.openxmlformats.org/spreadsheetml/2006/main">
  <c r="M515" i="3" l="1"/>
  <c r="M514" i="3"/>
  <c r="M513" i="3"/>
  <c r="H45" i="7" l="1"/>
  <c r="M358" i="3"/>
  <c r="M355" i="3"/>
  <c r="L356" i="3"/>
  <c r="M285" i="3"/>
  <c r="C30" i="12" l="1"/>
  <c r="D18" i="12"/>
  <c r="C23" i="5"/>
  <c r="M83" i="3" l="1"/>
  <c r="M195" i="3" l="1"/>
  <c r="C16" i="15"/>
  <c r="C17" i="20"/>
  <c r="C18" i="8"/>
  <c r="H46" i="7" l="1"/>
  <c r="L292" i="3"/>
  <c r="L291" i="3" s="1"/>
  <c r="L290" i="3" s="1"/>
  <c r="L289" i="3" s="1"/>
  <c r="L288" i="3" s="1"/>
  <c r="L287" i="3" s="1"/>
  <c r="L286" i="3" s="1"/>
  <c r="M291" i="3"/>
  <c r="M290" i="3" s="1"/>
  <c r="M289" i="3" s="1"/>
  <c r="M288" i="3" s="1"/>
  <c r="M287" i="3" s="1"/>
  <c r="M286" i="3" s="1"/>
  <c r="H271" i="7"/>
  <c r="H270" i="7" s="1"/>
  <c r="H269" i="7" s="1"/>
  <c r="M263" i="3"/>
  <c r="M262" i="3" s="1"/>
  <c r="M261" i="3" s="1"/>
  <c r="L264" i="3"/>
  <c r="L263" i="3" s="1"/>
  <c r="L262" i="3" s="1"/>
  <c r="L261" i="3" s="1"/>
  <c r="M347" i="3"/>
  <c r="H105" i="7"/>
  <c r="H104" i="7"/>
  <c r="M411" i="3"/>
  <c r="L413" i="3"/>
  <c r="L412" i="3"/>
  <c r="H133" i="7"/>
  <c r="H132" i="7" s="1"/>
  <c r="H131" i="7" s="1"/>
  <c r="L411" i="3" l="1"/>
  <c r="H103" i="7"/>
  <c r="M457" i="3" l="1"/>
  <c r="M456" i="3" s="1"/>
  <c r="M455" i="3" s="1"/>
  <c r="M454" i="3" s="1"/>
  <c r="M453" i="3" s="1"/>
  <c r="L458" i="3"/>
  <c r="L457" i="3" s="1"/>
  <c r="L456" i="3" s="1"/>
  <c r="L455" i="3" s="1"/>
  <c r="L454" i="3" s="1"/>
  <c r="L453" i="3" s="1"/>
  <c r="M548" i="3"/>
  <c r="L357" i="3"/>
  <c r="I177" i="18" l="1"/>
  <c r="H177" i="18"/>
  <c r="I176" i="18"/>
  <c r="H176" i="18"/>
  <c r="N149" i="19"/>
  <c r="N151" i="19"/>
  <c r="I179" i="18" s="1"/>
  <c r="I178" i="18" s="1"/>
  <c r="L152" i="19"/>
  <c r="M151" i="19"/>
  <c r="H179" i="18" s="1"/>
  <c r="H178" i="18" s="1"/>
  <c r="L151" i="19"/>
  <c r="L150" i="19"/>
  <c r="M149" i="19"/>
  <c r="L149" i="19"/>
  <c r="N148" i="19"/>
  <c r="M148" i="19"/>
  <c r="L342" i="19"/>
  <c r="L339" i="19"/>
  <c r="L338" i="19"/>
  <c r="L336" i="19"/>
  <c r="L335" i="19"/>
  <c r="L333" i="19"/>
  <c r="L332" i="19"/>
  <c r="L326" i="19"/>
  <c r="L324" i="19"/>
  <c r="L321" i="19"/>
  <c r="L320" i="19"/>
  <c r="L318" i="19"/>
  <c r="L317" i="19"/>
  <c r="L315" i="19"/>
  <c r="L314" i="19"/>
  <c r="L312" i="19"/>
  <c r="L311" i="19"/>
  <c r="L304" i="19"/>
  <c r="L295" i="19"/>
  <c r="L294" i="19"/>
  <c r="L293" i="19"/>
  <c r="L287" i="19"/>
  <c r="L286" i="19"/>
  <c r="L277" i="19"/>
  <c r="L276" i="19"/>
  <c r="L275" i="19"/>
  <c r="L269" i="19"/>
  <c r="L268" i="19"/>
  <c r="L267" i="19"/>
  <c r="L258" i="19"/>
  <c r="L256" i="19"/>
  <c r="L255" i="19"/>
  <c r="L249" i="19"/>
  <c r="L246" i="19"/>
  <c r="L239" i="19"/>
  <c r="L230" i="19"/>
  <c r="L229" i="19"/>
  <c r="L222" i="19"/>
  <c r="L221" i="19"/>
  <c r="L219" i="19"/>
  <c r="L218" i="19"/>
  <c r="L216" i="19"/>
  <c r="L215" i="19"/>
  <c r="L214" i="19"/>
  <c r="L208" i="19"/>
  <c r="L202" i="19"/>
  <c r="L200" i="19"/>
  <c r="L198" i="19"/>
  <c r="L197" i="19"/>
  <c r="L196" i="19"/>
  <c r="L195" i="19"/>
  <c r="L189" i="19"/>
  <c r="L185" i="19"/>
  <c r="L184" i="19"/>
  <c r="L182" i="19"/>
  <c r="L181" i="19"/>
  <c r="L180" i="19"/>
  <c r="L178" i="19"/>
  <c r="L177" i="19"/>
  <c r="L176" i="19"/>
  <c r="L174" i="19"/>
  <c r="L173" i="19"/>
  <c r="L172" i="19"/>
  <c r="L171" i="19"/>
  <c r="L165" i="19"/>
  <c r="L163" i="19"/>
  <c r="L161" i="19"/>
  <c r="L148" i="19"/>
  <c r="L141" i="19"/>
  <c r="L140" i="19"/>
  <c r="L135" i="19"/>
  <c r="L134" i="19"/>
  <c r="L133" i="19"/>
  <c r="L131" i="19"/>
  <c r="L122" i="19"/>
  <c r="L119" i="19"/>
  <c r="L110" i="19"/>
  <c r="L103" i="19"/>
  <c r="L102" i="19"/>
  <c r="L93" i="19"/>
  <c r="L92" i="19"/>
  <c r="L87" i="19"/>
  <c r="L81" i="19"/>
  <c r="L78" i="19"/>
  <c r="L71" i="19"/>
  <c r="L70" i="19"/>
  <c r="L66" i="19"/>
  <c r="L60" i="19"/>
  <c r="L53" i="19"/>
  <c r="L47" i="19"/>
  <c r="L41" i="19"/>
  <c r="L39" i="19"/>
  <c r="L37" i="19"/>
  <c r="L36" i="19"/>
  <c r="L34" i="19"/>
  <c r="L32" i="19"/>
  <c r="L30" i="19"/>
  <c r="L29" i="19"/>
  <c r="L23" i="19"/>
  <c r="K403" i="19"/>
  <c r="K389" i="19"/>
  <c r="K371" i="19"/>
  <c r="K341" i="19"/>
  <c r="K408" i="19" s="1"/>
  <c r="K338" i="19"/>
  <c r="K337" i="19" s="1"/>
  <c r="K335" i="19"/>
  <c r="K334" i="19" s="1"/>
  <c r="K332" i="19"/>
  <c r="K331" i="19" s="1"/>
  <c r="K325" i="19"/>
  <c r="K323" i="19"/>
  <c r="K319" i="19"/>
  <c r="K316" i="19"/>
  <c r="K313" i="19"/>
  <c r="K310" i="19"/>
  <c r="K303" i="19"/>
  <c r="K302" i="19" s="1"/>
  <c r="K301" i="19" s="1"/>
  <c r="K300" i="19" s="1"/>
  <c r="K299" i="19" s="1"/>
  <c r="K298" i="19" s="1"/>
  <c r="K292" i="19"/>
  <c r="K291" i="19" s="1"/>
  <c r="K290" i="19" s="1"/>
  <c r="K289" i="19" s="1"/>
  <c r="K288" i="19" s="1"/>
  <c r="K285" i="19"/>
  <c r="K284" i="19" s="1"/>
  <c r="K283" i="19" s="1"/>
  <c r="K282" i="19" s="1"/>
  <c r="K281" i="19" s="1"/>
  <c r="K274" i="19"/>
  <c r="K273" i="19" s="1"/>
  <c r="K272" i="19" s="1"/>
  <c r="K271" i="19" s="1"/>
  <c r="K270" i="19" s="1"/>
  <c r="K399" i="19" s="1"/>
  <c r="K266" i="19"/>
  <c r="K265" i="19" s="1"/>
  <c r="K264" i="19" s="1"/>
  <c r="K263" i="19" s="1"/>
  <c r="K262" i="19" s="1"/>
  <c r="K257" i="19"/>
  <c r="K254" i="19"/>
  <c r="K248" i="19"/>
  <c r="K247" i="19" s="1"/>
  <c r="K245" i="19"/>
  <c r="K244" i="19" s="1"/>
  <c r="K238" i="19"/>
  <c r="K237" i="19" s="1"/>
  <c r="K236" i="19" s="1"/>
  <c r="K235" i="19" s="1"/>
  <c r="K234" i="19" s="1"/>
  <c r="K233" i="19" s="1"/>
  <c r="K228" i="19"/>
  <c r="K227" i="19" s="1"/>
  <c r="K226" i="19" s="1"/>
  <c r="K225" i="19" s="1"/>
  <c r="K224" i="19" s="1"/>
  <c r="K222" i="19"/>
  <c r="K220" i="19"/>
  <c r="K217" i="19"/>
  <c r="K213" i="19"/>
  <c r="K207" i="19"/>
  <c r="K206" i="19" s="1"/>
  <c r="K205" i="19" s="1"/>
  <c r="K204" i="19" s="1"/>
  <c r="K203" i="19" s="1"/>
  <c r="K202" i="19"/>
  <c r="K201" i="19" s="1"/>
  <c r="K199" i="19"/>
  <c r="K194" i="19"/>
  <c r="K188" i="19"/>
  <c r="K187" i="19" s="1"/>
  <c r="K186" i="19" s="1"/>
  <c r="K183" i="19"/>
  <c r="K182" i="19"/>
  <c r="K181" i="19"/>
  <c r="K180" i="19"/>
  <c r="K179" i="19"/>
  <c r="K178" i="19"/>
  <c r="K175" i="19"/>
  <c r="K170" i="19"/>
  <c r="K164" i="19"/>
  <c r="K163" i="19"/>
  <c r="K162" i="19"/>
  <c r="K160" i="19"/>
  <c r="K147" i="19"/>
  <c r="K146" i="19" s="1"/>
  <c r="K145" i="19" s="1"/>
  <c r="K144" i="19" s="1"/>
  <c r="K143" i="19" s="1"/>
  <c r="K142" i="19" s="1"/>
  <c r="K139" i="19"/>
  <c r="K138" i="19" s="1"/>
  <c r="K137" i="19" s="1"/>
  <c r="K136" i="19" s="1"/>
  <c r="K132" i="19"/>
  <c r="K130" i="19"/>
  <c r="K121" i="19"/>
  <c r="K120" i="19" s="1"/>
  <c r="K118" i="19"/>
  <c r="K117" i="19" s="1"/>
  <c r="K109" i="19"/>
  <c r="K108" i="19" s="1"/>
  <c r="K107" i="19" s="1"/>
  <c r="K106" i="19" s="1"/>
  <c r="K105" i="19" s="1"/>
  <c r="K101" i="19"/>
  <c r="K100" i="19" s="1"/>
  <c r="K99" i="19" s="1"/>
  <c r="K98" i="19" s="1"/>
  <c r="K97" i="19" s="1"/>
  <c r="K91" i="19"/>
  <c r="K90" i="19" s="1"/>
  <c r="K89" i="19" s="1"/>
  <c r="K88" i="19" s="1"/>
  <c r="K365" i="19" s="1"/>
  <c r="K86" i="19"/>
  <c r="K85" i="19" s="1"/>
  <c r="K84" i="19" s="1"/>
  <c r="K83" i="19" s="1"/>
  <c r="K82" i="19" s="1"/>
  <c r="K364" i="19" s="1"/>
  <c r="K80" i="19"/>
  <c r="K79" i="19" s="1"/>
  <c r="K77" i="19"/>
  <c r="K76" i="19" s="1"/>
  <c r="K69" i="19"/>
  <c r="K68" i="19" s="1"/>
  <c r="K67" i="19" s="1"/>
  <c r="K65" i="19"/>
  <c r="K64" i="19" s="1"/>
  <c r="K63" i="19" s="1"/>
  <c r="K59" i="19"/>
  <c r="K58" i="19" s="1"/>
  <c r="K57" i="19" s="1"/>
  <c r="K56" i="19" s="1"/>
  <c r="K55" i="19" s="1"/>
  <c r="K359" i="19" s="1"/>
  <c r="K52" i="19"/>
  <c r="K51" i="19" s="1"/>
  <c r="K50" i="19" s="1"/>
  <c r="K49" i="19" s="1"/>
  <c r="K48" i="19" s="1"/>
  <c r="K355" i="19" s="1"/>
  <c r="K47" i="19"/>
  <c r="K46" i="19" s="1"/>
  <c r="K45" i="19" s="1"/>
  <c r="K44" i="19" s="1"/>
  <c r="K43" i="19" s="1"/>
  <c r="K42" i="19" s="1"/>
  <c r="K353" i="19" s="1"/>
  <c r="K40" i="19"/>
  <c r="K38" i="19"/>
  <c r="K37" i="19"/>
  <c r="K35" i="19" s="1"/>
  <c r="K33" i="19"/>
  <c r="K31" i="19"/>
  <c r="K28" i="19"/>
  <c r="K22" i="19"/>
  <c r="K21" i="19" s="1"/>
  <c r="K20" i="19" s="1"/>
  <c r="K19" i="19" s="1"/>
  <c r="K18" i="19" s="1"/>
  <c r="K322" i="19" l="1"/>
  <c r="K75" i="19"/>
  <c r="K74" i="19" s="1"/>
  <c r="K73" i="19" s="1"/>
  <c r="K159" i="19"/>
  <c r="K158" i="19" s="1"/>
  <c r="K157" i="19" s="1"/>
  <c r="K156" i="19" s="1"/>
  <c r="K169" i="19"/>
  <c r="K168" i="19" s="1"/>
  <c r="K167" i="19" s="1"/>
  <c r="K166" i="19" s="1"/>
  <c r="K374" i="19" s="1"/>
  <c r="K212" i="19"/>
  <c r="K211" i="19" s="1"/>
  <c r="K210" i="19" s="1"/>
  <c r="K209" i="19" s="1"/>
  <c r="K378" i="19" s="1"/>
  <c r="K243" i="19"/>
  <c r="K242" i="19" s="1"/>
  <c r="K241" i="19" s="1"/>
  <c r="K309" i="19"/>
  <c r="K308" i="19" s="1"/>
  <c r="K307" i="19" s="1"/>
  <c r="K306" i="19" s="1"/>
  <c r="K253" i="19"/>
  <c r="K252" i="19" s="1"/>
  <c r="K251" i="19" s="1"/>
  <c r="K250" i="19" s="1"/>
  <c r="K382" i="19" s="1"/>
  <c r="K116" i="19"/>
  <c r="K115" i="19" s="1"/>
  <c r="K114" i="19" s="1"/>
  <c r="K113" i="19" s="1"/>
  <c r="K112" i="19" s="1"/>
  <c r="K129" i="19"/>
  <c r="K128" i="19" s="1"/>
  <c r="K127" i="19" s="1"/>
  <c r="K126" i="19" s="1"/>
  <c r="K356" i="19" s="1"/>
  <c r="K62" i="19"/>
  <c r="K61" i="19" s="1"/>
  <c r="K193" i="19"/>
  <c r="K192" i="19" s="1"/>
  <c r="K191" i="19" s="1"/>
  <c r="K190" i="19" s="1"/>
  <c r="K375" i="19" s="1"/>
  <c r="K360" i="19"/>
  <c r="K361" i="19" s="1"/>
  <c r="K54" i="19"/>
  <c r="K351" i="19"/>
  <c r="K27" i="19"/>
  <c r="K26" i="19" s="1"/>
  <c r="K25" i="19" s="1"/>
  <c r="K24" i="19" s="1"/>
  <c r="K352" i="19" s="1"/>
  <c r="K72" i="19"/>
  <c r="K363" i="19"/>
  <c r="K366" i="19" s="1"/>
  <c r="K354" i="19"/>
  <c r="K96" i="19"/>
  <c r="K104" i="19"/>
  <c r="K405" i="19"/>
  <c r="K406" i="19" s="1"/>
  <c r="K125" i="19"/>
  <c r="K124" i="19" s="1"/>
  <c r="K373" i="19"/>
  <c r="K155" i="19"/>
  <c r="K393" i="19"/>
  <c r="K223" i="19"/>
  <c r="K381" i="19"/>
  <c r="K240" i="19"/>
  <c r="K232" i="19" s="1"/>
  <c r="K397" i="19"/>
  <c r="K400" i="19" s="1"/>
  <c r="K261" i="19"/>
  <c r="K260" i="19" s="1"/>
  <c r="K377" i="19"/>
  <c r="K280" i="19"/>
  <c r="K279" i="19" s="1"/>
  <c r="K330" i="19"/>
  <c r="K329" i="19" s="1"/>
  <c r="K328" i="19" s="1"/>
  <c r="K327" i="19" s="1"/>
  <c r="K394" i="19" s="1"/>
  <c r="K383" i="19" l="1"/>
  <c r="K95" i="19"/>
  <c r="K154" i="19"/>
  <c r="K305" i="19"/>
  <c r="K297" i="19" s="1"/>
  <c r="K357" i="19"/>
  <c r="K413" i="19"/>
  <c r="K395" i="19"/>
  <c r="K379" i="19"/>
  <c r="K17" i="19"/>
  <c r="K16" i="19" s="1"/>
  <c r="H298" i="7"/>
  <c r="H297" i="7" s="1"/>
  <c r="H296" i="7"/>
  <c r="H295" i="7" s="1"/>
  <c r="H83" i="7"/>
  <c r="H82" i="7" s="1"/>
  <c r="H75" i="7"/>
  <c r="H74" i="7"/>
  <c r="H69" i="7"/>
  <c r="H68" i="7" s="1"/>
  <c r="M309" i="3"/>
  <c r="M307" i="3"/>
  <c r="L310" i="3"/>
  <c r="L309" i="3" s="1"/>
  <c r="L308" i="3"/>
  <c r="L307" i="3" s="1"/>
  <c r="M306" i="3"/>
  <c r="M390" i="3"/>
  <c r="M388" i="3"/>
  <c r="M387" i="3"/>
  <c r="K15" i="19" l="1"/>
  <c r="K349" i="19" s="1"/>
  <c r="K412" i="19"/>
  <c r="K410" i="19"/>
  <c r="K411" i="19" s="1"/>
  <c r="H73" i="7"/>
  <c r="M405" i="3"/>
  <c r="L406" i="3"/>
  <c r="L405" i="3" s="1"/>
  <c r="M368" i="3"/>
  <c r="M381" i="3"/>
  <c r="M334" i="3"/>
  <c r="M475" i="3"/>
  <c r="L398" i="3"/>
  <c r="M396" i="3"/>
  <c r="C19" i="4"/>
  <c r="K417" i="19" l="1"/>
  <c r="M499" i="3"/>
  <c r="M490" i="3"/>
  <c r="L397" i="3"/>
  <c r="L396" i="3" s="1"/>
  <c r="M391" i="3"/>
  <c r="L392" i="3"/>
  <c r="L391" i="3" s="1"/>
  <c r="M350" i="3"/>
  <c r="M349" i="3" s="1"/>
  <c r="M321" i="3"/>
  <c r="M122" i="3"/>
  <c r="M320" i="3" l="1"/>
  <c r="H20" i="7"/>
  <c r="H19" i="7" s="1"/>
  <c r="L350" i="3"/>
  <c r="L349" i="3" s="1"/>
  <c r="H39" i="7"/>
  <c r="H38" i="7" s="1"/>
  <c r="L321" i="3"/>
  <c r="L320" i="3" s="1"/>
  <c r="M105" i="3"/>
  <c r="M179" i="3"/>
  <c r="M71" i="3"/>
  <c r="M76" i="3"/>
  <c r="H376" i="7"/>
  <c r="H375" i="7" s="1"/>
  <c r="L68" i="3"/>
  <c r="L67" i="3" s="1"/>
  <c r="L66" i="3" s="1"/>
  <c r="M67" i="3"/>
  <c r="M66" i="3" s="1"/>
  <c r="M429" i="3" l="1"/>
  <c r="M425" i="3"/>
  <c r="M30" i="3"/>
  <c r="M226" i="3"/>
  <c r="K599" i="3"/>
  <c r="K598" i="3" s="1"/>
  <c r="K596" i="3"/>
  <c r="K595" i="3" s="1"/>
  <c r="K593" i="3"/>
  <c r="K592" i="3" s="1"/>
  <c r="K586" i="3"/>
  <c r="K584" i="3"/>
  <c r="K580" i="3"/>
  <c r="K577" i="3"/>
  <c r="K574" i="3"/>
  <c r="K571" i="3"/>
  <c r="K564" i="3"/>
  <c r="K563" i="3" s="1"/>
  <c r="K562" i="3" s="1"/>
  <c r="K561" i="3" s="1"/>
  <c r="K560" i="3" s="1"/>
  <c r="K559" i="3" s="1"/>
  <c r="K553" i="3"/>
  <c r="K552" i="3" s="1"/>
  <c r="K551" i="3" s="1"/>
  <c r="K550" i="3" s="1"/>
  <c r="K549" i="3" s="1"/>
  <c r="K547" i="3"/>
  <c r="K544" i="3"/>
  <c r="K533" i="3"/>
  <c r="K532" i="3" s="1"/>
  <c r="K531" i="3" s="1"/>
  <c r="K530" i="3" s="1"/>
  <c r="K529" i="3" s="1"/>
  <c r="K527" i="3"/>
  <c r="K526" i="3" s="1"/>
  <c r="K525" i="3" s="1"/>
  <c r="K522" i="3"/>
  <c r="K521" i="3" s="1"/>
  <c r="K520" i="3" s="1"/>
  <c r="K517" i="3"/>
  <c r="K516" i="3" s="1"/>
  <c r="K514" i="3"/>
  <c r="K512" i="3" s="1"/>
  <c r="K508" i="3"/>
  <c r="K507" i="3" s="1"/>
  <c r="K506" i="3" s="1"/>
  <c r="K497" i="3"/>
  <c r="K493" i="3"/>
  <c r="K489" i="3"/>
  <c r="K488" i="3" s="1"/>
  <c r="K487" i="3" s="1"/>
  <c r="K483" i="3"/>
  <c r="K482" i="3" s="1"/>
  <c r="K481" i="3" s="1"/>
  <c r="K478" i="3"/>
  <c r="K477" i="3" s="1"/>
  <c r="K476" i="3" s="1"/>
  <c r="K474" i="3"/>
  <c r="K472" i="3"/>
  <c r="K471" i="3"/>
  <c r="K470" i="3" s="1"/>
  <c r="K463" i="3"/>
  <c r="K462" i="3" s="1"/>
  <c r="K461" i="3" s="1"/>
  <c r="K460" i="3" s="1"/>
  <c r="K459" i="3" s="1"/>
  <c r="K451" i="3"/>
  <c r="K450" i="3"/>
  <c r="K449" i="3" s="1"/>
  <c r="K439" i="3"/>
  <c r="K438" i="3" s="1"/>
  <c r="K437" i="3" s="1"/>
  <c r="K436" i="3" s="1"/>
  <c r="K435" i="3" s="1"/>
  <c r="K434" i="3" s="1"/>
  <c r="K433" i="3"/>
  <c r="K431" i="3" s="1"/>
  <c r="K429" i="3"/>
  <c r="K427" i="3" s="1"/>
  <c r="K425" i="3"/>
  <c r="K423" i="3" s="1"/>
  <c r="K419" i="3"/>
  <c r="K418" i="3" s="1"/>
  <c r="K414" i="3"/>
  <c r="K410" i="3" s="1"/>
  <c r="K409" i="3" s="1"/>
  <c r="K408" i="3" s="1"/>
  <c r="K407" i="3" s="1"/>
  <c r="K404" i="3"/>
  <c r="K403" i="3" s="1"/>
  <c r="K401" i="3"/>
  <c r="K399" i="3"/>
  <c r="K395" i="3"/>
  <c r="K394" i="3"/>
  <c r="K389" i="3"/>
  <c r="K388" i="3"/>
  <c r="K387" i="3"/>
  <c r="K379" i="3"/>
  <c r="K378" i="3" s="1"/>
  <c r="K377" i="3" s="1"/>
  <c r="K376" i="3" s="1"/>
  <c r="K374" i="3"/>
  <c r="K373" i="3" s="1"/>
  <c r="K372" i="3" s="1"/>
  <c r="K369" i="3"/>
  <c r="K368" i="3"/>
  <c r="K367" i="3"/>
  <c r="K366" i="3"/>
  <c r="K364" i="3"/>
  <c r="K361" i="3" s="1"/>
  <c r="K359" i="3"/>
  <c r="K358" i="3"/>
  <c r="K355" i="3"/>
  <c r="K353" i="3"/>
  <c r="K352" i="3"/>
  <c r="K347" i="3"/>
  <c r="K346" i="3"/>
  <c r="K338" i="3"/>
  <c r="K337" i="3" s="1"/>
  <c r="K336" i="3" s="1"/>
  <c r="K335" i="3" s="1"/>
  <c r="K333" i="3"/>
  <c r="K332" i="3" s="1"/>
  <c r="K331" i="3" s="1"/>
  <c r="K330" i="3" s="1"/>
  <c r="K328" i="3"/>
  <c r="K327" i="3"/>
  <c r="K326" i="3" s="1"/>
  <c r="K324" i="3"/>
  <c r="K323" i="3"/>
  <c r="K322" i="3" s="1"/>
  <c r="K319" i="3"/>
  <c r="K318" i="3" s="1"/>
  <c r="K306" i="3"/>
  <c r="K305" i="3" s="1"/>
  <c r="K304" i="3" s="1"/>
  <c r="K303" i="3" s="1"/>
  <c r="K302" i="3" s="1"/>
  <c r="K301" i="3" s="1"/>
  <c r="K300" i="3" s="1"/>
  <c r="K298" i="3"/>
  <c r="K297" i="3" s="1"/>
  <c r="K296" i="3" s="1"/>
  <c r="K295" i="3" s="1"/>
  <c r="K294" i="3" s="1"/>
  <c r="K293" i="3" s="1"/>
  <c r="K285" i="3"/>
  <c r="K284" i="3" s="1"/>
  <c r="K283" i="3" s="1"/>
  <c r="K282" i="3" s="1"/>
  <c r="K281" i="3" s="1"/>
  <c r="K280" i="3" s="1"/>
  <c r="K279" i="3" s="1"/>
  <c r="K277" i="3"/>
  <c r="K276" i="3" s="1"/>
  <c r="K275" i="3" s="1"/>
  <c r="K274" i="3" s="1"/>
  <c r="K273" i="3" s="1"/>
  <c r="K272" i="3" s="1"/>
  <c r="K270" i="3"/>
  <c r="K268" i="3" s="1"/>
  <c r="K267" i="3" s="1"/>
  <c r="K266" i="3" s="1"/>
  <c r="K265" i="3" s="1"/>
  <c r="K259" i="3"/>
  <c r="K258" i="3" s="1"/>
  <c r="K256" i="3"/>
  <c r="K255" i="3" s="1"/>
  <c r="K253" i="3"/>
  <c r="K249" i="3"/>
  <c r="K247" i="3"/>
  <c r="K245" i="3" s="1"/>
  <c r="K242" i="3"/>
  <c r="K241" i="3" s="1"/>
  <c r="K240" i="3" s="1"/>
  <c r="K238" i="3"/>
  <c r="K237" i="3" s="1"/>
  <c r="K229" i="3"/>
  <c r="K228" i="3" s="1"/>
  <c r="K224" i="3"/>
  <c r="K223" i="3" s="1"/>
  <c r="K221" i="3"/>
  <c r="K220" i="3" s="1"/>
  <c r="K212" i="3"/>
  <c r="K211" i="3" s="1"/>
  <c r="K210" i="3" s="1"/>
  <c r="K209" i="3" s="1"/>
  <c r="K208" i="3" s="1"/>
  <c r="K207" i="3" s="1"/>
  <c r="K205" i="3"/>
  <c r="K204" i="3" s="1"/>
  <c r="K203" i="3" s="1"/>
  <c r="K202" i="3" s="1"/>
  <c r="K201" i="3" s="1"/>
  <c r="K199" i="3"/>
  <c r="K198" i="3" s="1"/>
  <c r="K194" i="3"/>
  <c r="K193" i="3" s="1"/>
  <c r="K185" i="3"/>
  <c r="K184" i="3" s="1"/>
  <c r="K183" i="3" s="1"/>
  <c r="K182" i="3" s="1"/>
  <c r="K181" i="3" s="1"/>
  <c r="K180" i="3" s="1"/>
  <c r="K178" i="3"/>
  <c r="K177" i="3" s="1"/>
  <c r="K176" i="3" s="1"/>
  <c r="K175" i="3" s="1"/>
  <c r="K173" i="3"/>
  <c r="K172" i="3" s="1"/>
  <c r="K171" i="3" s="1"/>
  <c r="K170" i="3" s="1"/>
  <c r="K167" i="3"/>
  <c r="K166" i="3" s="1"/>
  <c r="K165" i="3" s="1"/>
  <c r="K164" i="3" s="1"/>
  <c r="K163" i="3" s="1"/>
  <c r="K161" i="3"/>
  <c r="K160" i="3" s="1"/>
  <c r="K159" i="3" s="1"/>
  <c r="K158" i="3" s="1"/>
  <c r="K157" i="3" s="1"/>
  <c r="K156" i="3" s="1"/>
  <c r="K154" i="3"/>
  <c r="K153" i="3" s="1"/>
  <c r="K152" i="3" s="1"/>
  <c r="K151" i="3" s="1"/>
  <c r="K150" i="3" s="1"/>
  <c r="K148" i="3"/>
  <c r="K147" i="3" s="1"/>
  <c r="K143" i="3"/>
  <c r="K138" i="3"/>
  <c r="K136" i="3"/>
  <c r="K132" i="3"/>
  <c r="K131" i="3" s="1"/>
  <c r="K130" i="3" s="1"/>
  <c r="K129" i="3" s="1"/>
  <c r="K127" i="3"/>
  <c r="K126" i="3" s="1"/>
  <c r="K125" i="3" s="1"/>
  <c r="K121" i="3"/>
  <c r="K120" i="3" s="1"/>
  <c r="K119" i="3" s="1"/>
  <c r="K118" i="3" s="1"/>
  <c r="K117" i="3" s="1"/>
  <c r="K115" i="3"/>
  <c r="K114" i="3" s="1"/>
  <c r="K112" i="3"/>
  <c r="K111" i="3" s="1"/>
  <c r="K105" i="3"/>
  <c r="K103" i="3" s="1"/>
  <c r="K102" i="3" s="1"/>
  <c r="K101" i="3" s="1"/>
  <c r="K99" i="3"/>
  <c r="K98" i="3" s="1"/>
  <c r="K97" i="3"/>
  <c r="K96" i="3" s="1"/>
  <c r="K94" i="3"/>
  <c r="K89" i="3"/>
  <c r="K88" i="3" s="1"/>
  <c r="K86" i="3"/>
  <c r="K84" i="3"/>
  <c r="K82" i="3"/>
  <c r="K75" i="3"/>
  <c r="K73" i="3"/>
  <c r="K70" i="3"/>
  <c r="K69" i="3" s="1"/>
  <c r="K62" i="3"/>
  <c r="K61" i="3" s="1"/>
  <c r="K60" i="3" s="1"/>
  <c r="K59" i="3" s="1"/>
  <c r="K56" i="3"/>
  <c r="K55" i="3" s="1"/>
  <c r="K54" i="3" s="1"/>
  <c r="K53" i="3" s="1"/>
  <c r="K52" i="3" s="1"/>
  <c r="K51" i="3"/>
  <c r="K50" i="3" s="1"/>
  <c r="K49" i="3" s="1"/>
  <c r="K48" i="3" s="1"/>
  <c r="K47" i="3" s="1"/>
  <c r="K46" i="3" s="1"/>
  <c r="K44" i="3"/>
  <c r="K43" i="3" s="1"/>
  <c r="K41" i="3"/>
  <c r="K39" i="3"/>
  <c r="K38" i="3"/>
  <c r="K36" i="3" s="1"/>
  <c r="K34" i="3"/>
  <c r="K32" i="3"/>
  <c r="K30" i="3"/>
  <c r="K28" i="3"/>
  <c r="K22" i="3"/>
  <c r="K21" i="3" s="1"/>
  <c r="K20" i="3" s="1"/>
  <c r="K19" i="3" s="1"/>
  <c r="K18" i="3" s="1"/>
  <c r="K393" i="3" l="1"/>
  <c r="K351" i="3"/>
  <c r="K354" i="3"/>
  <c r="K511" i="3"/>
  <c r="K510" i="3" s="1"/>
  <c r="K344" i="3"/>
  <c r="K365" i="3"/>
  <c r="K386" i="3"/>
  <c r="K385" i="3" s="1"/>
  <c r="K384" i="3" s="1"/>
  <c r="K383" i="3" s="1"/>
  <c r="K382" i="3" s="1"/>
  <c r="K505" i="3"/>
  <c r="K504" i="3" s="1"/>
  <c r="K93" i="3"/>
  <c r="K92" i="3" s="1"/>
  <c r="K91" i="3" s="1"/>
  <c r="K90" i="3" s="1"/>
  <c r="K492" i="3"/>
  <c r="K491" i="3" s="1"/>
  <c r="K486" i="3" s="1"/>
  <c r="K485" i="3" s="1"/>
  <c r="K124" i="3"/>
  <c r="K236" i="3"/>
  <c r="K244" i="3"/>
  <c r="K243" i="3" s="1"/>
  <c r="K110" i="3"/>
  <c r="K109" i="3" s="1"/>
  <c r="K108" i="3" s="1"/>
  <c r="K135" i="3"/>
  <c r="K134" i="3" s="1"/>
  <c r="K133" i="3" s="1"/>
  <c r="K192" i="3"/>
  <c r="K191" i="3" s="1"/>
  <c r="K190" i="3" s="1"/>
  <c r="K189" i="3" s="1"/>
  <c r="K188" i="3" s="1"/>
  <c r="K219" i="3"/>
  <c r="K218" i="3" s="1"/>
  <c r="K217" i="3" s="1"/>
  <c r="K216" i="3" s="1"/>
  <c r="K215" i="3" s="1"/>
  <c r="K422" i="3"/>
  <c r="K421" i="3" s="1"/>
  <c r="K417" i="3" s="1"/>
  <c r="K416" i="3" s="1"/>
  <c r="K448" i="3"/>
  <c r="K447" i="3" s="1"/>
  <c r="K446" i="3" s="1"/>
  <c r="K445" i="3" s="1"/>
  <c r="K444" i="3" s="1"/>
  <c r="K543" i="3"/>
  <c r="K542" i="3" s="1"/>
  <c r="K541" i="3" s="1"/>
  <c r="K540" i="3" s="1"/>
  <c r="K539" i="3" s="1"/>
  <c r="K538" i="3" s="1"/>
  <c r="K570" i="3"/>
  <c r="K583" i="3"/>
  <c r="K591" i="3"/>
  <c r="K590" i="3" s="1"/>
  <c r="K589" i="3" s="1"/>
  <c r="K588" i="3" s="1"/>
  <c r="K519" i="3"/>
  <c r="K518" i="3" s="1"/>
  <c r="K503" i="3" s="1"/>
  <c r="K502" i="3" s="1"/>
  <c r="K27" i="3"/>
  <c r="K26" i="3" s="1"/>
  <c r="K25" i="3" s="1"/>
  <c r="K24" i="3" s="1"/>
  <c r="K72" i="3"/>
  <c r="K142" i="3"/>
  <c r="K141" i="3" s="1"/>
  <c r="K140" i="3" s="1"/>
  <c r="K149" i="3"/>
  <c r="K317" i="3"/>
  <c r="K316" i="3" s="1"/>
  <c r="K315" i="3" s="1"/>
  <c r="K314" i="3" s="1"/>
  <c r="K469" i="3"/>
  <c r="K468" i="3" s="1"/>
  <c r="K467" i="3" s="1"/>
  <c r="K466" i="3" s="1"/>
  <c r="K81" i="3"/>
  <c r="K80" i="3" s="1"/>
  <c r="K79" i="3" s="1"/>
  <c r="K78" i="3" s="1"/>
  <c r="K169" i="3"/>
  <c r="K162" i="3" s="1"/>
  <c r="K343" i="3" l="1"/>
  <c r="K342" i="3" s="1"/>
  <c r="K341" i="3" s="1"/>
  <c r="K340" i="3" s="1"/>
  <c r="K313" i="3" s="1"/>
  <c r="K312" i="3" s="1"/>
  <c r="K77" i="3"/>
  <c r="K65" i="3"/>
  <c r="K64" i="3" s="1"/>
  <c r="K58" i="3" s="1"/>
  <c r="K17" i="3" s="1"/>
  <c r="K235" i="3"/>
  <c r="K234" i="3" s="1"/>
  <c r="K233" i="3" s="1"/>
  <c r="K232" i="3" s="1"/>
  <c r="K569" i="3"/>
  <c r="K568" i="3" s="1"/>
  <c r="K567" i="3" s="1"/>
  <c r="K566" i="3" s="1"/>
  <c r="K558" i="3" s="1"/>
  <c r="K123" i="3"/>
  <c r="K107" i="3" s="1"/>
  <c r="K465" i="3"/>
  <c r="K443" i="3" s="1"/>
  <c r="M242" i="3"/>
  <c r="K16" i="3" l="1"/>
  <c r="K15" i="3" s="1"/>
  <c r="L600" i="3"/>
  <c r="L597" i="3"/>
  <c r="L594" i="3"/>
  <c r="L587" i="3"/>
  <c r="L586" i="3" s="1"/>
  <c r="L585" i="3"/>
  <c r="L584" i="3" s="1"/>
  <c r="L582" i="3"/>
  <c r="L581" i="3"/>
  <c r="L579" i="3"/>
  <c r="L578" i="3"/>
  <c r="L576" i="3"/>
  <c r="L575" i="3"/>
  <c r="L573" i="3"/>
  <c r="L572" i="3"/>
  <c r="L565" i="3"/>
  <c r="L564" i="3" s="1"/>
  <c r="L563" i="3" s="1"/>
  <c r="L562" i="3" s="1"/>
  <c r="L561" i="3" s="1"/>
  <c r="L560" i="3" s="1"/>
  <c r="L559" i="3" s="1"/>
  <c r="L556" i="3"/>
  <c r="L555" i="3"/>
  <c r="L554" i="3"/>
  <c r="L548" i="3"/>
  <c r="L547" i="3" s="1"/>
  <c r="L546" i="3"/>
  <c r="L545" i="3"/>
  <c r="L536" i="3"/>
  <c r="L535" i="3"/>
  <c r="L534" i="3"/>
  <c r="L528" i="3"/>
  <c r="L527" i="3" s="1"/>
  <c r="L526" i="3" s="1"/>
  <c r="L525" i="3" s="1"/>
  <c r="L524" i="3"/>
  <c r="L523" i="3"/>
  <c r="L515" i="3"/>
  <c r="L513" i="3"/>
  <c r="L509" i="3"/>
  <c r="L508" i="3" s="1"/>
  <c r="L507" i="3" s="1"/>
  <c r="L506" i="3" s="1"/>
  <c r="L500" i="3"/>
  <c r="L499" i="3"/>
  <c r="L498" i="3"/>
  <c r="L496" i="3"/>
  <c r="L495" i="3"/>
  <c r="L494" i="3"/>
  <c r="L490" i="3"/>
  <c r="L489" i="3" s="1"/>
  <c r="L488" i="3" s="1"/>
  <c r="L487" i="3" s="1"/>
  <c r="L484" i="3"/>
  <c r="L483" i="3" s="1"/>
  <c r="L482" i="3" s="1"/>
  <c r="L481" i="3" s="1"/>
  <c r="L480" i="3"/>
  <c r="L479" i="3"/>
  <c r="L475" i="3"/>
  <c r="L474" i="3" s="1"/>
  <c r="L473" i="3"/>
  <c r="L472" i="3" s="1"/>
  <c r="L464" i="3"/>
  <c r="L463" i="3" s="1"/>
  <c r="L462" i="3" s="1"/>
  <c r="L461" i="3" s="1"/>
  <c r="L460" i="3" s="1"/>
  <c r="L459" i="3" s="1"/>
  <c r="L452" i="3"/>
  <c r="L451" i="3" s="1"/>
  <c r="L441" i="3"/>
  <c r="L440" i="3"/>
  <c r="L432" i="3"/>
  <c r="L430" i="3"/>
  <c r="L429" i="3"/>
  <c r="L428" i="3"/>
  <c r="L426" i="3"/>
  <c r="L425" i="3"/>
  <c r="L424" i="3"/>
  <c r="L420" i="3"/>
  <c r="L419" i="3" s="1"/>
  <c r="L418" i="3" s="1"/>
  <c r="L415" i="3"/>
  <c r="L414" i="3" s="1"/>
  <c r="L410" i="3" s="1"/>
  <c r="L409" i="3" s="1"/>
  <c r="L408" i="3" s="1"/>
  <c r="L407" i="3" s="1"/>
  <c r="L402" i="3"/>
  <c r="L401" i="3" s="1"/>
  <c r="L400" i="3"/>
  <c r="L399" i="3" s="1"/>
  <c r="L390" i="3"/>
  <c r="L388" i="3"/>
  <c r="L381" i="3"/>
  <c r="L380" i="3"/>
  <c r="L375" i="3"/>
  <c r="L374" i="3" s="1"/>
  <c r="L373" i="3" s="1"/>
  <c r="L372" i="3" s="1"/>
  <c r="L371" i="3"/>
  <c r="L370" i="3"/>
  <c r="L363" i="3"/>
  <c r="L362" i="3"/>
  <c r="L360" i="3"/>
  <c r="L359" i="3" s="1"/>
  <c r="L348" i="3"/>
  <c r="L345" i="3"/>
  <c r="L339" i="3"/>
  <c r="L338" i="3" s="1"/>
  <c r="L337" i="3" s="1"/>
  <c r="L336" i="3" s="1"/>
  <c r="L335" i="3" s="1"/>
  <c r="L334" i="3"/>
  <c r="L333" i="3" s="1"/>
  <c r="L332" i="3" s="1"/>
  <c r="L331" i="3" s="1"/>
  <c r="L330" i="3" s="1"/>
  <c r="L329" i="3"/>
  <c r="L328" i="3" s="1"/>
  <c r="L325" i="3"/>
  <c r="L324" i="3" s="1"/>
  <c r="L299" i="3"/>
  <c r="L298" i="3" s="1"/>
  <c r="L297" i="3" s="1"/>
  <c r="L296" i="3" s="1"/>
  <c r="L295" i="3" s="1"/>
  <c r="L294" i="3" s="1"/>
  <c r="L293" i="3" s="1"/>
  <c r="L278" i="3"/>
  <c r="L277" i="3" s="1"/>
  <c r="L276" i="3" s="1"/>
  <c r="L275" i="3" s="1"/>
  <c r="L274" i="3" s="1"/>
  <c r="L273" i="3" s="1"/>
  <c r="L272" i="3" s="1"/>
  <c r="L271" i="3"/>
  <c r="L269" i="3"/>
  <c r="L260" i="3"/>
  <c r="L259" i="3" s="1"/>
  <c r="L258" i="3" s="1"/>
  <c r="L257" i="3"/>
  <c r="L256" i="3" s="1"/>
  <c r="L255" i="3" s="1"/>
  <c r="L254" i="3"/>
  <c r="L253" i="3" s="1"/>
  <c r="L252" i="3"/>
  <c r="L251" i="3"/>
  <c r="L250" i="3"/>
  <c r="L248" i="3"/>
  <c r="L246" i="3"/>
  <c r="L242" i="3"/>
  <c r="L241" i="3" s="1"/>
  <c r="L240" i="3" s="1"/>
  <c r="L239" i="3"/>
  <c r="L238" i="3" s="1"/>
  <c r="L237" i="3" s="1"/>
  <c r="L230" i="3"/>
  <c r="L229" i="3" s="1"/>
  <c r="L228" i="3" s="1"/>
  <c r="L227" i="3"/>
  <c r="L226" i="3"/>
  <c r="L225" i="3"/>
  <c r="L222" i="3"/>
  <c r="L221" i="3" s="1"/>
  <c r="L220" i="3" s="1"/>
  <c r="L213" i="3"/>
  <c r="L212" i="3" s="1"/>
  <c r="L211" i="3" s="1"/>
  <c r="L210" i="3" s="1"/>
  <c r="L209" i="3" s="1"/>
  <c r="L208" i="3" s="1"/>
  <c r="L207" i="3" s="1"/>
  <c r="L206" i="3"/>
  <c r="L205" i="3" s="1"/>
  <c r="L204" i="3" s="1"/>
  <c r="L203" i="3" s="1"/>
  <c r="L202" i="3" s="1"/>
  <c r="L201" i="3" s="1"/>
  <c r="L200" i="3"/>
  <c r="L199" i="3" s="1"/>
  <c r="L198" i="3" s="1"/>
  <c r="L197" i="3"/>
  <c r="L196" i="3"/>
  <c r="L195" i="3"/>
  <c r="L186" i="3"/>
  <c r="L185" i="3" s="1"/>
  <c r="L184" i="3" s="1"/>
  <c r="L183" i="3" s="1"/>
  <c r="L182" i="3" s="1"/>
  <c r="L181" i="3" s="1"/>
  <c r="L180" i="3" s="1"/>
  <c r="L179" i="3"/>
  <c r="L178" i="3" s="1"/>
  <c r="L177" i="3" s="1"/>
  <c r="L176" i="3" s="1"/>
  <c r="L175" i="3" s="1"/>
  <c r="L174" i="3"/>
  <c r="L173" i="3" s="1"/>
  <c r="L172" i="3" s="1"/>
  <c r="L171" i="3" s="1"/>
  <c r="L170" i="3" s="1"/>
  <c r="L168" i="3"/>
  <c r="L167" i="3" s="1"/>
  <c r="L166" i="3" s="1"/>
  <c r="L165" i="3" s="1"/>
  <c r="L164" i="3" s="1"/>
  <c r="L163" i="3" s="1"/>
  <c r="L155" i="3"/>
  <c r="L154" i="3" s="1"/>
  <c r="L153" i="3" s="1"/>
  <c r="L152" i="3" s="1"/>
  <c r="L151" i="3" s="1"/>
  <c r="L150" i="3" s="1"/>
  <c r="L146" i="3"/>
  <c r="L145" i="3"/>
  <c r="L144" i="3"/>
  <c r="L139" i="3"/>
  <c r="L138" i="3" s="1"/>
  <c r="L137" i="3"/>
  <c r="L136" i="3" s="1"/>
  <c r="L128" i="3"/>
  <c r="L127" i="3" s="1"/>
  <c r="L126" i="3" s="1"/>
  <c r="L125" i="3" s="1"/>
  <c r="L122" i="3"/>
  <c r="L121" i="3" s="1"/>
  <c r="L120" i="3" s="1"/>
  <c r="L119" i="3" s="1"/>
  <c r="L118" i="3" s="1"/>
  <c r="L117" i="3" s="1"/>
  <c r="L116" i="3"/>
  <c r="L115" i="3" s="1"/>
  <c r="L114" i="3" s="1"/>
  <c r="L113" i="3"/>
  <c r="L112" i="3" s="1"/>
  <c r="L111" i="3" s="1"/>
  <c r="L106" i="3"/>
  <c r="L105" i="3"/>
  <c r="L104" i="3"/>
  <c r="L100" i="3"/>
  <c r="L99" i="3" s="1"/>
  <c r="L98" i="3" s="1"/>
  <c r="L95" i="3"/>
  <c r="L94" i="3" s="1"/>
  <c r="L87" i="3"/>
  <c r="L86" i="3" s="1"/>
  <c r="L85" i="3"/>
  <c r="L84" i="3" s="1"/>
  <c r="L83" i="3"/>
  <c r="L82" i="3" s="1"/>
  <c r="L76" i="3"/>
  <c r="L75" i="3" s="1"/>
  <c r="L74" i="3"/>
  <c r="L73" i="3" s="1"/>
  <c r="L71" i="3"/>
  <c r="L70" i="3" s="1"/>
  <c r="L69" i="3" s="1"/>
  <c r="L63" i="3"/>
  <c r="L62" i="3" s="1"/>
  <c r="L61" i="3" s="1"/>
  <c r="L60" i="3" s="1"/>
  <c r="L59" i="3" s="1"/>
  <c r="L57" i="3"/>
  <c r="L56" i="3" s="1"/>
  <c r="L55" i="3" s="1"/>
  <c r="L54" i="3" s="1"/>
  <c r="L53" i="3" s="1"/>
  <c r="L52" i="3" s="1"/>
  <c r="L45" i="3"/>
  <c r="L44" i="3" s="1"/>
  <c r="L43" i="3" s="1"/>
  <c r="L42" i="3"/>
  <c r="L41" i="3" s="1"/>
  <c r="L40" i="3"/>
  <c r="L39" i="3" s="1"/>
  <c r="L37" i="3"/>
  <c r="L35" i="3"/>
  <c r="L34" i="3" s="1"/>
  <c r="L33" i="3"/>
  <c r="L32" i="3" s="1"/>
  <c r="L31" i="3"/>
  <c r="L30" i="3"/>
  <c r="L29" i="3"/>
  <c r="L23" i="3"/>
  <c r="L22" i="3" s="1"/>
  <c r="L21" i="3" s="1"/>
  <c r="L20" i="3" s="1"/>
  <c r="L19" i="3" s="1"/>
  <c r="L18" i="3" s="1"/>
  <c r="K657" i="3"/>
  <c r="K649" i="3"/>
  <c r="K622" i="3"/>
  <c r="K613" i="3"/>
  <c r="K610" i="3"/>
  <c r="L28" i="3" l="1"/>
  <c r="L72" i="3"/>
  <c r="L65" i="3" s="1"/>
  <c r="L64" i="3" s="1"/>
  <c r="L58" i="3" s="1"/>
  <c r="L110" i="3"/>
  <c r="L109" i="3" s="1"/>
  <c r="L108" i="3" s="1"/>
  <c r="L135" i="3"/>
  <c r="L134" i="3" s="1"/>
  <c r="L133" i="3" s="1"/>
  <c r="L143" i="3"/>
  <c r="L169" i="3"/>
  <c r="L162" i="3" s="1"/>
  <c r="L194" i="3"/>
  <c r="L193" i="3" s="1"/>
  <c r="L192" i="3" s="1"/>
  <c r="L191" i="3" s="1"/>
  <c r="L190" i="3" s="1"/>
  <c r="L189" i="3" s="1"/>
  <c r="L188" i="3" s="1"/>
  <c r="L369" i="3"/>
  <c r="L427" i="3"/>
  <c r="L439" i="3"/>
  <c r="L438" i="3" s="1"/>
  <c r="L437" i="3" s="1"/>
  <c r="L436" i="3" s="1"/>
  <c r="L435" i="3" s="1"/>
  <c r="L434" i="3" s="1"/>
  <c r="L493" i="3"/>
  <c r="L533" i="3"/>
  <c r="L532" i="3" s="1"/>
  <c r="L531" i="3" s="1"/>
  <c r="L530" i="3" s="1"/>
  <c r="L529" i="3" s="1"/>
  <c r="L553" i="3"/>
  <c r="L552" i="3" s="1"/>
  <c r="L551" i="3" s="1"/>
  <c r="L550" i="3" s="1"/>
  <c r="L549" i="3" s="1"/>
  <c r="L571" i="3"/>
  <c r="L574" i="3"/>
  <c r="L577" i="3"/>
  <c r="L580" i="3"/>
  <c r="L583" i="3"/>
  <c r="L103" i="3"/>
  <c r="L102" i="3" s="1"/>
  <c r="L101" i="3" s="1"/>
  <c r="L224" i="3"/>
  <c r="L223" i="3" s="1"/>
  <c r="L219" i="3" s="1"/>
  <c r="L218" i="3" s="1"/>
  <c r="L217" i="3" s="1"/>
  <c r="L216" i="3" s="1"/>
  <c r="L215" i="3" s="1"/>
  <c r="L236" i="3"/>
  <c r="L249" i="3"/>
  <c r="L379" i="3"/>
  <c r="L378" i="3" s="1"/>
  <c r="L377" i="3" s="1"/>
  <c r="L376" i="3" s="1"/>
  <c r="L423" i="3"/>
  <c r="L497" i="3"/>
  <c r="L522" i="3"/>
  <c r="L521" i="3" s="1"/>
  <c r="L520" i="3" s="1"/>
  <c r="L519" i="3" s="1"/>
  <c r="L518" i="3" s="1"/>
  <c r="L544" i="3"/>
  <c r="L543" i="3" s="1"/>
  <c r="L542" i="3" s="1"/>
  <c r="L541" i="3" s="1"/>
  <c r="L540" i="3" s="1"/>
  <c r="K632" i="3"/>
  <c r="K656" i="3"/>
  <c r="K609" i="3"/>
  <c r="K618" i="3"/>
  <c r="K608" i="3"/>
  <c r="K617" i="3"/>
  <c r="K621" i="3"/>
  <c r="K627" i="3"/>
  <c r="K628" i="3"/>
  <c r="K660" i="3"/>
  <c r="K661" i="3" s="1"/>
  <c r="K663" i="3"/>
  <c r="K665" i="3" s="1"/>
  <c r="K644" i="3"/>
  <c r="K647" i="3" s="1"/>
  <c r="K631" i="3"/>
  <c r="K655" i="3"/>
  <c r="K658" i="3" s="1"/>
  <c r="K636" i="3"/>
  <c r="K651" i="3"/>
  <c r="K640" i="3"/>
  <c r="K670" i="3"/>
  <c r="L539" i="3" l="1"/>
  <c r="L538" i="3" s="1"/>
  <c r="L492" i="3"/>
  <c r="L491" i="3" s="1"/>
  <c r="L486" i="3" s="1"/>
  <c r="L485" i="3" s="1"/>
  <c r="L570" i="3"/>
  <c r="L569" i="3" s="1"/>
  <c r="L568" i="3" s="1"/>
  <c r="L567" i="3" s="1"/>
  <c r="K619" i="3"/>
  <c r="K633" i="3"/>
  <c r="K623" i="3"/>
  <c r="K624" i="3" s="1"/>
  <c r="K635" i="3"/>
  <c r="K629" i="3"/>
  <c r="K639" i="3"/>
  <c r="K641" i="3" s="1"/>
  <c r="K652" i="3"/>
  <c r="K653" i="3" s="1"/>
  <c r="K611" i="3"/>
  <c r="K614" i="3"/>
  <c r="K637" i="3" l="1"/>
  <c r="K669" i="3" s="1"/>
  <c r="K615" i="3"/>
  <c r="K667" i="3" l="1"/>
  <c r="K668" i="3" s="1"/>
  <c r="K672" i="3" l="1"/>
  <c r="N202" i="19"/>
  <c r="M202" i="19"/>
  <c r="M404" i="3"/>
  <c r="L404" i="3" s="1"/>
  <c r="L403" i="3" s="1"/>
  <c r="N178" i="19"/>
  <c r="M178" i="19"/>
  <c r="M364" i="3"/>
  <c r="L364" i="3" s="1"/>
  <c r="L361" i="3" s="1"/>
  <c r="N163" i="19"/>
  <c r="M163" i="19"/>
  <c r="M327" i="3"/>
  <c r="L327" i="3" s="1"/>
  <c r="L326" i="3" s="1"/>
  <c r="M395" i="3" l="1"/>
  <c r="L395" i="3" s="1"/>
  <c r="M394" i="3"/>
  <c r="L394" i="3" s="1"/>
  <c r="M353" i="3"/>
  <c r="L353" i="3" s="1"/>
  <c r="M352" i="3"/>
  <c r="L352" i="3" s="1"/>
  <c r="M323" i="3"/>
  <c r="L323" i="3" s="1"/>
  <c r="L322" i="3" s="1"/>
  <c r="L358" i="3"/>
  <c r="L351" i="3" l="1"/>
  <c r="L393" i="3"/>
  <c r="N338" i="19"/>
  <c r="M338" i="19"/>
  <c r="N335" i="19"/>
  <c r="M335" i="19"/>
  <c r="N332" i="19"/>
  <c r="M332" i="19"/>
  <c r="M599" i="3" l="1"/>
  <c r="L599" i="3" s="1"/>
  <c r="L598" i="3" s="1"/>
  <c r="M596" i="3"/>
  <c r="L596" i="3" s="1"/>
  <c r="L595" i="3" s="1"/>
  <c r="M593" i="3"/>
  <c r="L593" i="3" s="1"/>
  <c r="L592" i="3" s="1"/>
  <c r="L591" i="3" l="1"/>
  <c r="L590" i="3" s="1"/>
  <c r="L589" i="3" s="1"/>
  <c r="L588" i="3" s="1"/>
  <c r="L566" i="3" s="1"/>
  <c r="L558" i="3" s="1"/>
  <c r="H314" i="7"/>
  <c r="H313" i="7" s="1"/>
  <c r="H312" i="7" s="1"/>
  <c r="I70" i="18"/>
  <c r="H70" i="18"/>
  <c r="H69" i="18" s="1"/>
  <c r="I69" i="18"/>
  <c r="N47" i="19"/>
  <c r="M47" i="19"/>
  <c r="N37" i="19"/>
  <c r="M37" i="19"/>
  <c r="M173" i="3"/>
  <c r="M172" i="3" s="1"/>
  <c r="M171" i="3" s="1"/>
  <c r="M170" i="3" s="1"/>
  <c r="M161" i="3" l="1"/>
  <c r="L161" i="3" s="1"/>
  <c r="L160" i="3" s="1"/>
  <c r="L159" i="3" s="1"/>
  <c r="L158" i="3" s="1"/>
  <c r="L157" i="3" s="1"/>
  <c r="L156" i="3" s="1"/>
  <c r="L149" i="3" s="1"/>
  <c r="M154" i="3"/>
  <c r="M153" i="3" s="1"/>
  <c r="M152" i="3" s="1"/>
  <c r="M151" i="3" s="1"/>
  <c r="M150" i="3" s="1"/>
  <c r="M148" i="3"/>
  <c r="L148" i="3" s="1"/>
  <c r="L147" i="3" s="1"/>
  <c r="L142" i="3" s="1"/>
  <c r="L141" i="3" s="1"/>
  <c r="L140" i="3" s="1"/>
  <c r="M132" i="3"/>
  <c r="L132" i="3" s="1"/>
  <c r="L131" i="3" s="1"/>
  <c r="L130" i="3" s="1"/>
  <c r="L129" i="3" s="1"/>
  <c r="L124" i="3" s="1"/>
  <c r="M97" i="3"/>
  <c r="L97" i="3" s="1"/>
  <c r="L96" i="3" s="1"/>
  <c r="L93" i="3" s="1"/>
  <c r="L92" i="3" s="1"/>
  <c r="L91" i="3" s="1"/>
  <c r="L90" i="3" s="1"/>
  <c r="M89" i="3"/>
  <c r="L89" i="3" s="1"/>
  <c r="L88" i="3" s="1"/>
  <c r="L81" i="3" s="1"/>
  <c r="L80" i="3" s="1"/>
  <c r="L79" i="3" s="1"/>
  <c r="L78" i="3" s="1"/>
  <c r="M51" i="3"/>
  <c r="L51" i="3" s="1"/>
  <c r="L50" i="3" s="1"/>
  <c r="L49" i="3" s="1"/>
  <c r="L48" i="3" s="1"/>
  <c r="L47" i="3" s="1"/>
  <c r="L46" i="3" s="1"/>
  <c r="M38" i="3"/>
  <c r="L38" i="3" s="1"/>
  <c r="L36" i="3" s="1"/>
  <c r="L27" i="3" s="1"/>
  <c r="L26" i="3" s="1"/>
  <c r="L25" i="3" s="1"/>
  <c r="L24" i="3" s="1"/>
  <c r="L17" i="3" l="1"/>
  <c r="L77" i="3"/>
  <c r="L123" i="3"/>
  <c r="L107" i="3" s="1"/>
  <c r="L514" i="3"/>
  <c r="L512" i="3" s="1"/>
  <c r="M517" i="3"/>
  <c r="L517" i="3" s="1"/>
  <c r="L516" i="3" s="1"/>
  <c r="L511" i="3" l="1"/>
  <c r="L510" i="3" s="1"/>
  <c r="L505" i="3" s="1"/>
  <c r="L504" i="3" s="1"/>
  <c r="L16" i="3"/>
  <c r="M478" i="3"/>
  <c r="L478" i="3" s="1"/>
  <c r="L477" i="3" s="1"/>
  <c r="L476" i="3" s="1"/>
  <c r="M471" i="3"/>
  <c r="L471" i="3" s="1"/>
  <c r="L470" i="3" s="1"/>
  <c r="L469" i="3" s="1"/>
  <c r="M450" i="3"/>
  <c r="L450" i="3" s="1"/>
  <c r="L449" i="3" s="1"/>
  <c r="L448" i="3" s="1"/>
  <c r="L447" i="3" s="1"/>
  <c r="L446" i="3" s="1"/>
  <c r="L445" i="3" s="1"/>
  <c r="L444" i="3" s="1"/>
  <c r="L306" i="3"/>
  <c r="L305" i="3" s="1"/>
  <c r="L304" i="3" s="1"/>
  <c r="L303" i="3" s="1"/>
  <c r="L302" i="3" s="1"/>
  <c r="L301" i="3" s="1"/>
  <c r="L300" i="3" s="1"/>
  <c r="M270" i="3"/>
  <c r="L270" i="3" s="1"/>
  <c r="L268" i="3" s="1"/>
  <c r="L267" i="3" s="1"/>
  <c r="L266" i="3" s="1"/>
  <c r="L265" i="3" s="1"/>
  <c r="M247" i="3"/>
  <c r="L247" i="3" s="1"/>
  <c r="L245" i="3" s="1"/>
  <c r="L244" i="3" s="1"/>
  <c r="L243" i="3" s="1"/>
  <c r="L235" i="3" s="1"/>
  <c r="N207" i="19"/>
  <c r="N206" i="19" s="1"/>
  <c r="N205" i="19" s="1"/>
  <c r="N204" i="19" s="1"/>
  <c r="N203" i="19" s="1"/>
  <c r="L207" i="19"/>
  <c r="L206" i="19" s="1"/>
  <c r="L205" i="19" s="1"/>
  <c r="L204" i="19" s="1"/>
  <c r="L203" i="19" s="1"/>
  <c r="M207" i="19"/>
  <c r="M206" i="19" s="1"/>
  <c r="M205" i="19" s="1"/>
  <c r="M204" i="19" s="1"/>
  <c r="M203" i="19" s="1"/>
  <c r="N222" i="19"/>
  <c r="M222" i="19"/>
  <c r="N182" i="19"/>
  <c r="N181" i="19"/>
  <c r="N180" i="19"/>
  <c r="M182" i="19"/>
  <c r="M181" i="19"/>
  <c r="M180" i="19"/>
  <c r="L503" i="3" l="1"/>
  <c r="L502" i="3" s="1"/>
  <c r="L655" i="3"/>
  <c r="L234" i="3"/>
  <c r="L233" i="3" s="1"/>
  <c r="L468" i="3"/>
  <c r="L467" i="3" s="1"/>
  <c r="L466" i="3" s="1"/>
  <c r="L465" i="3" s="1"/>
  <c r="L443" i="3" s="1"/>
  <c r="H320" i="7"/>
  <c r="L285" i="3"/>
  <c r="L284" i="3" s="1"/>
  <c r="L283" i="3" s="1"/>
  <c r="L282" i="3" s="1"/>
  <c r="L281" i="3" s="1"/>
  <c r="L280" i="3" s="1"/>
  <c r="L279" i="3" s="1"/>
  <c r="M433" i="3"/>
  <c r="L433" i="3" s="1"/>
  <c r="L431" i="3" s="1"/>
  <c r="L422" i="3" s="1"/>
  <c r="L421" i="3" s="1"/>
  <c r="L417" i="3" s="1"/>
  <c r="L416" i="3" s="1"/>
  <c r="M389" i="3"/>
  <c r="L389" i="3" s="1"/>
  <c r="L387" i="3"/>
  <c r="L368" i="3"/>
  <c r="M367" i="3"/>
  <c r="L367" i="3" s="1"/>
  <c r="M366" i="3"/>
  <c r="L366" i="3" s="1"/>
  <c r="L355" i="3"/>
  <c r="L354" i="3" s="1"/>
  <c r="L347" i="3"/>
  <c r="M346" i="3"/>
  <c r="L346" i="3" s="1"/>
  <c r="M319" i="3"/>
  <c r="L319" i="3" s="1"/>
  <c r="L318" i="3" s="1"/>
  <c r="L317" i="3" s="1"/>
  <c r="L316" i="3" s="1"/>
  <c r="L315" i="3" s="1"/>
  <c r="L314" i="3" s="1"/>
  <c r="L631" i="3" s="1"/>
  <c r="L232" i="3" l="1"/>
  <c r="L344" i="3"/>
  <c r="L386" i="3"/>
  <c r="L385" i="3" s="1"/>
  <c r="L384" i="3" s="1"/>
  <c r="L383" i="3" s="1"/>
  <c r="L382" i="3" s="1"/>
  <c r="L365" i="3"/>
  <c r="D54" i="16"/>
  <c r="C54" i="16"/>
  <c r="D46" i="16"/>
  <c r="C46" i="16"/>
  <c r="D40" i="16"/>
  <c r="C40" i="16"/>
  <c r="D39" i="16"/>
  <c r="C39" i="16"/>
  <c r="D33" i="16"/>
  <c r="C33" i="16"/>
  <c r="D23" i="16"/>
  <c r="C23" i="16"/>
  <c r="C18" i="16"/>
  <c r="C17" i="16" s="1"/>
  <c r="C16" i="16" s="1"/>
  <c r="C35" i="15" s="1"/>
  <c r="D18" i="16"/>
  <c r="D17" i="16" s="1"/>
  <c r="D16" i="16" s="1"/>
  <c r="D35" i="15" s="1"/>
  <c r="C55" i="2"/>
  <c r="C47" i="2"/>
  <c r="C41" i="2"/>
  <c r="C40" i="2"/>
  <c r="C34" i="2"/>
  <c r="C31" i="2"/>
  <c r="C23" i="2"/>
  <c r="L343" i="3" l="1"/>
  <c r="L342" i="3" s="1"/>
  <c r="L341" i="3" s="1"/>
  <c r="L340" i="3" s="1"/>
  <c r="L313" i="3" s="1"/>
  <c r="L312" i="3" s="1"/>
  <c r="L15" i="3" s="1"/>
  <c r="C29" i="5"/>
  <c r="C26" i="5"/>
  <c r="C24" i="5"/>
  <c r="C15" i="5"/>
  <c r="L632" i="3" l="1"/>
  <c r="C13" i="5"/>
  <c r="I234" i="18"/>
  <c r="I235" i="18"/>
  <c r="H235" i="18"/>
  <c r="H234" i="18"/>
  <c r="I231" i="18"/>
  <c r="H231" i="18"/>
  <c r="I149" i="18"/>
  <c r="I150" i="18"/>
  <c r="H150" i="18"/>
  <c r="H149" i="18"/>
  <c r="I137" i="18"/>
  <c r="H137" i="18"/>
  <c r="I125" i="18"/>
  <c r="H125" i="18"/>
  <c r="H124" i="18" s="1"/>
  <c r="H123" i="18" s="1"/>
  <c r="H122" i="18" s="1"/>
  <c r="I124" i="18"/>
  <c r="I123" i="18" s="1"/>
  <c r="I122" i="18" s="1"/>
  <c r="I121" i="18"/>
  <c r="H121" i="18"/>
  <c r="H120" i="18" s="1"/>
  <c r="H119" i="18" s="1"/>
  <c r="I120" i="18"/>
  <c r="I119" i="18" s="1"/>
  <c r="I118" i="18" s="1"/>
  <c r="I109" i="18"/>
  <c r="H109" i="18"/>
  <c r="I96" i="18"/>
  <c r="I97" i="18"/>
  <c r="H97" i="18"/>
  <c r="H96" i="18"/>
  <c r="I66" i="18"/>
  <c r="H66" i="18"/>
  <c r="I52" i="18"/>
  <c r="I51" i="18" s="1"/>
  <c r="H52" i="18"/>
  <c r="H51" i="18" s="1"/>
  <c r="H407" i="7"/>
  <c r="H406" i="7" s="1"/>
  <c r="H405" i="7" s="1"/>
  <c r="H207" i="7"/>
  <c r="H206" i="7"/>
  <c r="H137" i="7"/>
  <c r="H420" i="7"/>
  <c r="H419" i="7" s="1"/>
  <c r="H418" i="7" s="1"/>
  <c r="H417" i="7" s="1"/>
  <c r="H416" i="7" s="1"/>
  <c r="I233" i="18" l="1"/>
  <c r="I232" i="18" s="1"/>
  <c r="H233" i="18"/>
  <c r="H232" i="18" s="1"/>
  <c r="H205" i="7"/>
  <c r="H171" i="7"/>
  <c r="H170" i="7" s="1"/>
  <c r="H319" i="7"/>
  <c r="H318" i="7" s="1"/>
  <c r="H268" i="7"/>
  <c r="H77" i="7"/>
  <c r="H49" i="7"/>
  <c r="H48" i="7" s="1"/>
  <c r="C13" i="21" l="1"/>
  <c r="B13" i="21"/>
  <c r="B12" i="9"/>
  <c r="M69" i="19" l="1"/>
  <c r="N69" i="19"/>
  <c r="M257" i="19"/>
  <c r="N257" i="19"/>
  <c r="M28" i="19"/>
  <c r="N28" i="19"/>
  <c r="M285" i="19" l="1"/>
  <c r="N285" i="19"/>
  <c r="M274" i="19" l="1"/>
  <c r="N274" i="19"/>
  <c r="M217" i="19" l="1"/>
  <c r="N217" i="19"/>
  <c r="M379" i="3"/>
  <c r="M378" i="3" s="1"/>
  <c r="M254" i="19" l="1"/>
  <c r="N254" i="19"/>
  <c r="M220" i="19" l="1"/>
  <c r="N220" i="19"/>
  <c r="N199" i="19"/>
  <c r="M199" i="19"/>
  <c r="L199" i="19"/>
  <c r="M139" i="19"/>
  <c r="N139" i="19"/>
  <c r="M132" i="19" l="1"/>
  <c r="N132" i="19"/>
  <c r="L109" i="19" l="1"/>
  <c r="M109" i="19"/>
  <c r="M101" i="19"/>
  <c r="N101" i="19"/>
  <c r="N91" i="19" l="1"/>
  <c r="N90" i="19" s="1"/>
  <c r="M91" i="19"/>
  <c r="M90" i="19" s="1"/>
  <c r="M65" i="19"/>
  <c r="M64" i="19" s="1"/>
  <c r="M63" i="19" s="1"/>
  <c r="N65" i="19"/>
  <c r="N64" i="19" s="1"/>
  <c r="N63" i="19" s="1"/>
  <c r="L65" i="19"/>
  <c r="L64" i="19" s="1"/>
  <c r="L63" i="19" s="1"/>
  <c r="L59" i="19"/>
  <c r="L58" i="19" s="1"/>
  <c r="N59" i="19"/>
  <c r="N58" i="19" s="1"/>
  <c r="M59" i="19"/>
  <c r="M58" i="19" s="1"/>
  <c r="L91" i="19" l="1"/>
  <c r="L90" i="19" s="1"/>
  <c r="L285" i="19" l="1"/>
  <c r="L274" i="19"/>
  <c r="L257" i="19"/>
  <c r="L220" i="19"/>
  <c r="L139" i="19"/>
  <c r="L132" i="19"/>
  <c r="L101" i="19"/>
  <c r="L69" i="19" l="1"/>
  <c r="L28" i="19"/>
  <c r="L217" i="19"/>
  <c r="L254" i="19"/>
  <c r="M516" i="3" l="1"/>
  <c r="M333" i="3" l="1"/>
  <c r="M332" i="3" s="1"/>
  <c r="M331" i="3" s="1"/>
  <c r="M330" i="3" s="1"/>
  <c r="L660" i="3" l="1"/>
  <c r="L661" i="3" s="1"/>
  <c r="M185" i="3"/>
  <c r="M184" i="3" s="1"/>
  <c r="M183" i="3" s="1"/>
  <c r="M182" i="3" s="1"/>
  <c r="M181" i="3" s="1"/>
  <c r="M180" i="3" l="1"/>
  <c r="M660" i="3"/>
  <c r="D53" i="6" s="1"/>
  <c r="D52" i="6" s="1"/>
  <c r="F20" i="22" l="1"/>
  <c r="F19" i="11"/>
  <c r="L649" i="3" l="1"/>
  <c r="L622" i="3"/>
  <c r="L613" i="3"/>
  <c r="L610" i="3"/>
  <c r="L608" i="3"/>
  <c r="L628" i="3" l="1"/>
  <c r="B11" i="9"/>
  <c r="L656" i="3"/>
  <c r="L657" i="3"/>
  <c r="L627" i="3"/>
  <c r="L629" i="3" s="1"/>
  <c r="L617" i="3"/>
  <c r="L621" i="3"/>
  <c r="L635" i="3" l="1"/>
  <c r="L663" i="3"/>
  <c r="L665" i="3" s="1"/>
  <c r="L611" i="3"/>
  <c r="L609" i="3"/>
  <c r="L640" i="3"/>
  <c r="L658" i="3"/>
  <c r="L652" i="3"/>
  <c r="L623" i="3" l="1"/>
  <c r="L624" i="3" s="1"/>
  <c r="L644" i="3"/>
  <c r="L647" i="3" s="1"/>
  <c r="L618" i="3"/>
  <c r="L619" i="3" s="1"/>
  <c r="L636" i="3"/>
  <c r="L633" i="3"/>
  <c r="L637" i="3" l="1"/>
  <c r="L614" i="3"/>
  <c r="L615" i="3" s="1"/>
  <c r="L639" i="3"/>
  <c r="L641" i="3" s="1"/>
  <c r="L651" i="3"/>
  <c r="L653" i="3" s="1"/>
  <c r="C19" i="8" l="1"/>
  <c r="D27" i="12" l="1"/>
  <c r="C27" i="12"/>
  <c r="D16" i="12"/>
  <c r="D14" i="15" l="1"/>
  <c r="C14" i="15"/>
  <c r="C17" i="2" l="1"/>
  <c r="M241" i="3" l="1"/>
  <c r="M240" i="3" s="1"/>
  <c r="H267" i="7" l="1"/>
  <c r="H266" i="7" s="1"/>
  <c r="H265" i="7" s="1"/>
  <c r="M564" i="3" l="1"/>
  <c r="H294" i="7" l="1"/>
  <c r="H292" i="7"/>
  <c r="I173" i="18"/>
  <c r="H173" i="18"/>
  <c r="I171" i="18"/>
  <c r="H171" i="18"/>
  <c r="I175" i="18"/>
  <c r="H175" i="18"/>
  <c r="H79" i="7"/>
  <c r="H78" i="7" s="1"/>
  <c r="M401" i="3" l="1"/>
  <c r="N147" i="19" l="1"/>
  <c r="N146" i="19" s="1"/>
  <c r="M147" i="19"/>
  <c r="M146" i="19" s="1"/>
  <c r="L147" i="19"/>
  <c r="L146" i="19" s="1"/>
  <c r="M305" i="3"/>
  <c r="M304" i="3" l="1"/>
  <c r="M303" i="3" s="1"/>
  <c r="M302" i="3" s="1"/>
  <c r="M301" i="3" s="1"/>
  <c r="M300" i="3" s="1"/>
  <c r="M145" i="19"/>
  <c r="M144" i="19" s="1"/>
  <c r="M143" i="19" s="1"/>
  <c r="M142" i="19" s="1"/>
  <c r="L145" i="19"/>
  <c r="L144" i="19" s="1"/>
  <c r="L143" i="19" s="1"/>
  <c r="L142" i="19" s="1"/>
  <c r="N145" i="19"/>
  <c r="N144" i="19" s="1"/>
  <c r="N143" i="19" s="1"/>
  <c r="N142" i="19" s="1"/>
  <c r="L325" i="19" l="1"/>
  <c r="N325" i="19"/>
  <c r="M325" i="19"/>
  <c r="L323" i="19"/>
  <c r="N323" i="19"/>
  <c r="M323" i="19"/>
  <c r="M586" i="3"/>
  <c r="M584" i="3"/>
  <c r="M583" i="3" l="1"/>
  <c r="N322" i="19"/>
  <c r="M322" i="19"/>
  <c r="L322" i="19"/>
  <c r="M598" i="3"/>
  <c r="M595" i="3"/>
  <c r="M592" i="3"/>
  <c r="M580" i="3"/>
  <c r="M577" i="3"/>
  <c r="M574" i="3"/>
  <c r="M571" i="3"/>
  <c r="M563" i="3"/>
  <c r="M562" i="3" s="1"/>
  <c r="M561" i="3" s="1"/>
  <c r="M560" i="3" s="1"/>
  <c r="M559" i="3" s="1"/>
  <c r="M553" i="3"/>
  <c r="M552" i="3" s="1"/>
  <c r="M551" i="3" s="1"/>
  <c r="M550" i="3" s="1"/>
  <c r="M549" i="3" s="1"/>
  <c r="M547" i="3"/>
  <c r="M544" i="3"/>
  <c r="M533" i="3"/>
  <c r="M532" i="3" s="1"/>
  <c r="M531" i="3" s="1"/>
  <c r="M530" i="3" s="1"/>
  <c r="M529" i="3" s="1"/>
  <c r="M527" i="3"/>
  <c r="M526" i="3" s="1"/>
  <c r="M525" i="3" s="1"/>
  <c r="M522" i="3"/>
  <c r="M521" i="3" s="1"/>
  <c r="M520" i="3" s="1"/>
  <c r="M512" i="3"/>
  <c r="M511" i="3" s="1"/>
  <c r="M508" i="3"/>
  <c r="M507" i="3" s="1"/>
  <c r="M506" i="3" s="1"/>
  <c r="M497" i="3"/>
  <c r="M493" i="3"/>
  <c r="M489" i="3"/>
  <c r="M488" i="3" s="1"/>
  <c r="M487" i="3" s="1"/>
  <c r="M483" i="3"/>
  <c r="M482" i="3" s="1"/>
  <c r="M477" i="3"/>
  <c r="M476" i="3" s="1"/>
  <c r="M474" i="3"/>
  <c r="M472" i="3"/>
  <c r="M470" i="3"/>
  <c r="M463" i="3"/>
  <c r="M462" i="3" s="1"/>
  <c r="M461" i="3" s="1"/>
  <c r="M460" i="3" s="1"/>
  <c r="M459" i="3" s="1"/>
  <c r="M451" i="3"/>
  <c r="M449" i="3"/>
  <c r="M439" i="3"/>
  <c r="M438" i="3" s="1"/>
  <c r="M437" i="3" s="1"/>
  <c r="M436" i="3" s="1"/>
  <c r="M435" i="3" s="1"/>
  <c r="M431" i="3"/>
  <c r="M427" i="3"/>
  <c r="M423" i="3"/>
  <c r="M419" i="3"/>
  <c r="M418" i="3" s="1"/>
  <c r="M414" i="3"/>
  <c r="M410" i="3" s="1"/>
  <c r="M403" i="3"/>
  <c r="M399" i="3"/>
  <c r="M393" i="3"/>
  <c r="M386" i="3"/>
  <c r="M374" i="3"/>
  <c r="M373" i="3" s="1"/>
  <c r="M372" i="3" s="1"/>
  <c r="M369" i="3"/>
  <c r="M365" i="3"/>
  <c r="M361" i="3"/>
  <c r="M359" i="3"/>
  <c r="M354" i="3"/>
  <c r="M351" i="3"/>
  <c r="M344" i="3"/>
  <c r="M338" i="3"/>
  <c r="M337" i="3" s="1"/>
  <c r="M336" i="3" s="1"/>
  <c r="M335" i="3" s="1"/>
  <c r="M328" i="3"/>
  <c r="M326" i="3"/>
  <c r="M324" i="3"/>
  <c r="M322" i="3"/>
  <c r="M318" i="3"/>
  <c r="M298" i="3"/>
  <c r="M297" i="3" s="1"/>
  <c r="M284" i="3"/>
  <c r="M283" i="3" s="1"/>
  <c r="M277" i="3"/>
  <c r="M276" i="3" s="1"/>
  <c r="M275" i="3" s="1"/>
  <c r="M274" i="3" s="1"/>
  <c r="M273" i="3" s="1"/>
  <c r="M272" i="3" s="1"/>
  <c r="M268" i="3"/>
  <c r="M267" i="3" s="1"/>
  <c r="M266" i="3" s="1"/>
  <c r="M259" i="3"/>
  <c r="M258" i="3" s="1"/>
  <c r="M256" i="3"/>
  <c r="M255" i="3" s="1"/>
  <c r="M253" i="3"/>
  <c r="M249" i="3"/>
  <c r="M245" i="3"/>
  <c r="M238" i="3"/>
  <c r="M237" i="3" s="1"/>
  <c r="M229" i="3"/>
  <c r="M228" i="3" s="1"/>
  <c r="M224" i="3"/>
  <c r="M223" i="3" s="1"/>
  <c r="M221" i="3"/>
  <c r="M220" i="3" s="1"/>
  <c r="M212" i="3"/>
  <c r="M211" i="3" s="1"/>
  <c r="M210" i="3" s="1"/>
  <c r="M209" i="3" s="1"/>
  <c r="M208" i="3" s="1"/>
  <c r="M207" i="3" s="1"/>
  <c r="M205" i="3"/>
  <c r="M204" i="3" s="1"/>
  <c r="M203" i="3" s="1"/>
  <c r="M202" i="3" s="1"/>
  <c r="M201" i="3" s="1"/>
  <c r="M199" i="3"/>
  <c r="M198" i="3" s="1"/>
  <c r="M194" i="3"/>
  <c r="M193" i="3" s="1"/>
  <c r="M178" i="3"/>
  <c r="M177" i="3" s="1"/>
  <c r="M176" i="3" s="1"/>
  <c r="M175" i="3" s="1"/>
  <c r="M169" i="3" s="1"/>
  <c r="M167" i="3"/>
  <c r="M166" i="3" s="1"/>
  <c r="M165" i="3" s="1"/>
  <c r="M164" i="3" s="1"/>
  <c r="M163" i="3" s="1"/>
  <c r="M160" i="3"/>
  <c r="M159" i="3" s="1"/>
  <c r="M158" i="3" s="1"/>
  <c r="M157" i="3" s="1"/>
  <c r="M156" i="3" s="1"/>
  <c r="M149" i="3" s="1"/>
  <c r="M147" i="3"/>
  <c r="M143" i="3"/>
  <c r="M138" i="3"/>
  <c r="M136" i="3"/>
  <c r="M131" i="3"/>
  <c r="M130" i="3" s="1"/>
  <c r="M129" i="3" s="1"/>
  <c r="M127" i="3"/>
  <c r="M126" i="3" s="1"/>
  <c r="M125" i="3" s="1"/>
  <c r="M121" i="3"/>
  <c r="M120" i="3" s="1"/>
  <c r="M119" i="3" s="1"/>
  <c r="M118" i="3" s="1"/>
  <c r="M117" i="3" s="1"/>
  <c r="M115" i="3"/>
  <c r="M114" i="3" s="1"/>
  <c r="M112" i="3"/>
  <c r="M111" i="3" s="1"/>
  <c r="M103" i="3"/>
  <c r="M102" i="3" s="1"/>
  <c r="M101" i="3" s="1"/>
  <c r="M99" i="3"/>
  <c r="M98" i="3" s="1"/>
  <c r="M96" i="3"/>
  <c r="M94" i="3"/>
  <c r="M88" i="3"/>
  <c r="M86" i="3"/>
  <c r="M84" i="3"/>
  <c r="M82" i="3"/>
  <c r="M75" i="3"/>
  <c r="M73" i="3"/>
  <c r="M70" i="3"/>
  <c r="M69" i="3" s="1"/>
  <c r="M62" i="3"/>
  <c r="M61" i="3" s="1"/>
  <c r="M60" i="3" s="1"/>
  <c r="M59" i="3" s="1"/>
  <c r="M56" i="3"/>
  <c r="M55" i="3" s="1"/>
  <c r="M54" i="3" s="1"/>
  <c r="M53" i="3" s="1"/>
  <c r="M52" i="3" s="1"/>
  <c r="M50" i="3"/>
  <c r="M49" i="3" s="1"/>
  <c r="M48" i="3" s="1"/>
  <c r="M47" i="3" s="1"/>
  <c r="M46" i="3" s="1"/>
  <c r="M44" i="3"/>
  <c r="M43" i="3" s="1"/>
  <c r="M41" i="3"/>
  <c r="M39" i="3"/>
  <c r="M36" i="3"/>
  <c r="M34" i="3"/>
  <c r="M32" i="3"/>
  <c r="M28" i="3"/>
  <c r="M385" i="3" l="1"/>
  <c r="M384" i="3" s="1"/>
  <c r="M343" i="3"/>
  <c r="M342" i="3" s="1"/>
  <c r="M341" i="3" s="1"/>
  <c r="M317" i="3"/>
  <c r="M316" i="3" s="1"/>
  <c r="M315" i="3" s="1"/>
  <c r="M314" i="3" s="1"/>
  <c r="M631" i="3" s="1"/>
  <c r="M142" i="3"/>
  <c r="M141" i="3" s="1"/>
  <c r="M140" i="3" s="1"/>
  <c r="M469" i="3"/>
  <c r="M492" i="3"/>
  <c r="M491" i="3" s="1"/>
  <c r="M422" i="3"/>
  <c r="M421" i="3" s="1"/>
  <c r="M417" i="3" s="1"/>
  <c r="M416" i="3" s="1"/>
  <c r="M448" i="3"/>
  <c r="M447" i="3" s="1"/>
  <c r="M446" i="3" s="1"/>
  <c r="M445" i="3" s="1"/>
  <c r="M444" i="3" s="1"/>
  <c r="M377" i="3"/>
  <c r="M376" i="3" s="1"/>
  <c r="M22" i="3"/>
  <c r="M21" i="3" s="1"/>
  <c r="M20" i="3" s="1"/>
  <c r="M19" i="3" s="1"/>
  <c r="M18" i="3" s="1"/>
  <c r="M434" i="3"/>
  <c r="M81" i="3"/>
  <c r="M80" i="3" s="1"/>
  <c r="M79" i="3" s="1"/>
  <c r="M78" i="3" s="1"/>
  <c r="M135" i="3"/>
  <c r="M134" i="3" s="1"/>
  <c r="M133" i="3" s="1"/>
  <c r="M236" i="3"/>
  <c r="M409" i="3"/>
  <c r="M408" i="3" s="1"/>
  <c r="M407" i="3" s="1"/>
  <c r="M519" i="3"/>
  <c r="M518" i="3" s="1"/>
  <c r="M110" i="3"/>
  <c r="M109" i="3" s="1"/>
  <c r="M108" i="3" s="1"/>
  <c r="M296" i="3"/>
  <c r="M295" i="3" s="1"/>
  <c r="M510" i="3"/>
  <c r="M505" i="3" s="1"/>
  <c r="M504" i="3" s="1"/>
  <c r="M655" i="3" s="1"/>
  <c r="M570" i="3"/>
  <c r="M591" i="3"/>
  <c r="M590" i="3" s="1"/>
  <c r="M589" i="3" s="1"/>
  <c r="M588" i="3" s="1"/>
  <c r="M27" i="3"/>
  <c r="M26" i="3" s="1"/>
  <c r="M25" i="3" s="1"/>
  <c r="M24" i="3" s="1"/>
  <c r="M93" i="3"/>
  <c r="M92" i="3" s="1"/>
  <c r="M91" i="3" s="1"/>
  <c r="M265" i="3"/>
  <c r="M282" i="3"/>
  <c r="M281" i="3" s="1"/>
  <c r="M280" i="3" s="1"/>
  <c r="M627" i="3" s="1"/>
  <c r="M543" i="3"/>
  <c r="M542" i="3" s="1"/>
  <c r="M541" i="3" s="1"/>
  <c r="M540" i="3" s="1"/>
  <c r="M539" i="3" s="1"/>
  <c r="M538" i="3" s="1"/>
  <c r="M72" i="3"/>
  <c r="M65" i="3" s="1"/>
  <c r="M124" i="3"/>
  <c r="M192" i="3"/>
  <c r="M191" i="3" s="1"/>
  <c r="M190" i="3" s="1"/>
  <c r="M189" i="3" s="1"/>
  <c r="M188" i="3" s="1"/>
  <c r="M219" i="3"/>
  <c r="M218" i="3" s="1"/>
  <c r="M217" i="3" s="1"/>
  <c r="M216" i="3" s="1"/>
  <c r="M215" i="3" s="1"/>
  <c r="M244" i="3"/>
  <c r="M243" i="3" s="1"/>
  <c r="M481" i="3"/>
  <c r="M162" i="3"/>
  <c r="M235" i="3" l="1"/>
  <c r="M635" i="3"/>
  <c r="M383" i="3"/>
  <c r="M382" i="3" s="1"/>
  <c r="M279" i="3"/>
  <c r="M486" i="3"/>
  <c r="M485" i="3" s="1"/>
  <c r="M64" i="3"/>
  <c r="M58" i="3" s="1"/>
  <c r="M17" i="3" s="1"/>
  <c r="M340" i="3"/>
  <c r="M632" i="3" s="1"/>
  <c r="M503" i="3"/>
  <c r="M502" i="3" s="1"/>
  <c r="M90" i="3"/>
  <c r="M77" i="3" s="1"/>
  <c r="M569" i="3"/>
  <c r="M568" i="3" s="1"/>
  <c r="M567" i="3" s="1"/>
  <c r="M566" i="3" s="1"/>
  <c r="M468" i="3"/>
  <c r="M467" i="3" s="1"/>
  <c r="M466" i="3" s="1"/>
  <c r="M123" i="3"/>
  <c r="M107" i="3" s="1"/>
  <c r="M294" i="3"/>
  <c r="M293" i="3" s="1"/>
  <c r="M313" i="3" l="1"/>
  <c r="M312" i="3" s="1"/>
  <c r="M465" i="3"/>
  <c r="M443" i="3" s="1"/>
  <c r="M234" i="3"/>
  <c r="M233" i="3" s="1"/>
  <c r="M232" i="3" s="1"/>
  <c r="M16" i="3"/>
  <c r="M558" i="3"/>
  <c r="M651" i="3"/>
  <c r="M15" i="3" l="1"/>
  <c r="C29" i="8" l="1"/>
  <c r="H289" i="7"/>
  <c r="H288" i="7" s="1"/>
  <c r="H99" i="7" l="1"/>
  <c r="H412" i="7" l="1"/>
  <c r="H115" i="7" l="1"/>
  <c r="H114" i="7" s="1"/>
  <c r="H357" i="7" l="1"/>
  <c r="H356" i="7" s="1"/>
  <c r="C16" i="20" l="1"/>
  <c r="C17" i="8" l="1"/>
  <c r="C16" i="8" s="1"/>
  <c r="H24" i="7" l="1"/>
  <c r="H23" i="7" s="1"/>
  <c r="H175" i="7" l="1"/>
  <c r="H174" i="7" s="1"/>
  <c r="H173" i="7" s="1"/>
  <c r="H172" i="7" s="1"/>
  <c r="I174" i="18" l="1"/>
  <c r="H174" i="18"/>
  <c r="I216" i="18"/>
  <c r="I215" i="18" s="1"/>
  <c r="H216" i="18"/>
  <c r="H215" i="18" s="1"/>
  <c r="H107" i="7" l="1"/>
  <c r="H106" i="7" s="1"/>
  <c r="H102" i="7" s="1"/>
  <c r="H404" i="7" l="1"/>
  <c r="H235" i="7"/>
  <c r="H378" i="7"/>
  <c r="H377" i="7" s="1"/>
  <c r="N46" i="19" l="1"/>
  <c r="N45" i="19" s="1"/>
  <c r="N44" i="19" s="1"/>
  <c r="N43" i="19" s="1"/>
  <c r="N42" i="19" s="1"/>
  <c r="N353" i="19" s="1"/>
  <c r="E17" i="17" s="1"/>
  <c r="M46" i="19"/>
  <c r="M45" i="19" s="1"/>
  <c r="M44" i="19" s="1"/>
  <c r="M43" i="19" s="1"/>
  <c r="M42" i="19" s="1"/>
  <c r="M353" i="19" s="1"/>
  <c r="D17" i="17" s="1"/>
  <c r="L46" i="19"/>
  <c r="L45" i="19" s="1"/>
  <c r="L44" i="19" s="1"/>
  <c r="L43" i="19" s="1"/>
  <c r="L42" i="19" s="1"/>
  <c r="L353" i="19" s="1"/>
  <c r="M610" i="3"/>
  <c r="D19" i="6" s="1"/>
  <c r="L77" i="19" l="1"/>
  <c r="L76" i="19" s="1"/>
  <c r="L303" i="19"/>
  <c r="L302" i="19" s="1"/>
  <c r="L301" i="19" s="1"/>
  <c r="L300" i="19" s="1"/>
  <c r="L299" i="19" s="1"/>
  <c r="L298" i="19" s="1"/>
  <c r="L284" i="19"/>
  <c r="L283" i="19" s="1"/>
  <c r="L282" i="19" s="1"/>
  <c r="L281" i="19" s="1"/>
  <c r="L273" i="19"/>
  <c r="L272" i="19" s="1"/>
  <c r="L271" i="19" s="1"/>
  <c r="L270" i="19" s="1"/>
  <c r="L245" i="19"/>
  <c r="L244" i="19" s="1"/>
  <c r="L238" i="19"/>
  <c r="L237" i="19" s="1"/>
  <c r="L236" i="19" s="1"/>
  <c r="L235" i="19" s="1"/>
  <c r="L234" i="19" s="1"/>
  <c r="L233" i="19" s="1"/>
  <c r="L201" i="19"/>
  <c r="L188" i="19"/>
  <c r="L187" i="19" s="1"/>
  <c r="L186" i="19" s="1"/>
  <c r="L164" i="19"/>
  <c r="L162" i="19"/>
  <c r="L160" i="19"/>
  <c r="L138" i="19"/>
  <c r="L137" i="19" s="1"/>
  <c r="L136" i="19" s="1"/>
  <c r="L130" i="19"/>
  <c r="L121" i="19"/>
  <c r="L120" i="19" s="1"/>
  <c r="L118" i="19"/>
  <c r="L117" i="19" s="1"/>
  <c r="L100" i="19"/>
  <c r="L99" i="19" s="1"/>
  <c r="L98" i="19" s="1"/>
  <c r="L97" i="19" s="1"/>
  <c r="L96" i="19" s="1"/>
  <c r="L86" i="19"/>
  <c r="L85" i="19" s="1"/>
  <c r="L84" i="19" s="1"/>
  <c r="L83" i="19" s="1"/>
  <c r="L82" i="19" s="1"/>
  <c r="L80" i="19"/>
  <c r="L79" i="19" s="1"/>
  <c r="L52" i="19"/>
  <c r="L51" i="19" s="1"/>
  <c r="L50" i="19" s="1"/>
  <c r="L49" i="19" s="1"/>
  <c r="L48" i="19" s="1"/>
  <c r="L40" i="19"/>
  <c r="L38" i="19"/>
  <c r="L33" i="19"/>
  <c r="L31" i="19"/>
  <c r="L377" i="19" l="1"/>
  <c r="L89" i="19"/>
  <c r="L35" i="19"/>
  <c r="L175" i="19"/>
  <c r="L179" i="19"/>
  <c r="L183" i="19"/>
  <c r="L194" i="19"/>
  <c r="L213" i="19"/>
  <c r="L228" i="19"/>
  <c r="L227" i="19" s="1"/>
  <c r="L226" i="19" s="1"/>
  <c r="L225" i="19" s="1"/>
  <c r="L224" i="19" s="1"/>
  <c r="L248" i="19"/>
  <c r="L247" i="19" s="1"/>
  <c r="L243" i="19" s="1"/>
  <c r="L242" i="19" s="1"/>
  <c r="L241" i="19" s="1"/>
  <c r="L266" i="19"/>
  <c r="L265" i="19" s="1"/>
  <c r="L264" i="19" s="1"/>
  <c r="L263" i="19" s="1"/>
  <c r="L262" i="19" s="1"/>
  <c r="L261" i="19" s="1"/>
  <c r="L292" i="19"/>
  <c r="L291" i="19" s="1"/>
  <c r="L290" i="19" s="1"/>
  <c r="L289" i="19" s="1"/>
  <c r="L288" i="19" s="1"/>
  <c r="L280" i="19" s="1"/>
  <c r="L279" i="19" s="1"/>
  <c r="L310" i="19"/>
  <c r="L313" i="19"/>
  <c r="L316" i="19"/>
  <c r="L319" i="19"/>
  <c r="L331" i="19"/>
  <c r="L334" i="19"/>
  <c r="L337" i="19"/>
  <c r="L159" i="19"/>
  <c r="L158" i="19" s="1"/>
  <c r="L157" i="19" s="1"/>
  <c r="L156" i="19" s="1"/>
  <c r="L170" i="19"/>
  <c r="L129" i="19"/>
  <c r="L128" i="19" s="1"/>
  <c r="L127" i="19" s="1"/>
  <c r="L126" i="19" s="1"/>
  <c r="L356" i="19" s="1"/>
  <c r="L116" i="19"/>
  <c r="L115" i="19" s="1"/>
  <c r="L114" i="19" s="1"/>
  <c r="L113" i="19" s="1"/>
  <c r="L112" i="19" s="1"/>
  <c r="L75" i="19"/>
  <c r="L74" i="19" s="1"/>
  <c r="L73" i="19" s="1"/>
  <c r="L88" i="19" l="1"/>
  <c r="L365" i="19" s="1"/>
  <c r="L193" i="19"/>
  <c r="L192" i="19" s="1"/>
  <c r="L191" i="19" s="1"/>
  <c r="L190" i="19" s="1"/>
  <c r="L68" i="19"/>
  <c r="L67" i="19" s="1"/>
  <c r="L62" i="19" s="1"/>
  <c r="L61" i="19" s="1"/>
  <c r="L57" i="19" s="1"/>
  <c r="L56" i="19" s="1"/>
  <c r="L55" i="19" s="1"/>
  <c r="L223" i="19"/>
  <c r="L125" i="19"/>
  <c r="L124" i="19" s="1"/>
  <c r="L260" i="19"/>
  <c r="L212" i="19"/>
  <c r="L211" i="19" s="1"/>
  <c r="L210" i="19" s="1"/>
  <c r="L209" i="19" s="1"/>
  <c r="L253" i="19"/>
  <c r="L252" i="19" s="1"/>
  <c r="L251" i="19" s="1"/>
  <c r="L250" i="19" s="1"/>
  <c r="L240" i="19" s="1"/>
  <c r="L232" i="19" s="1"/>
  <c r="L309" i="19"/>
  <c r="L169" i="19"/>
  <c r="L168" i="19" s="1"/>
  <c r="L167" i="19" s="1"/>
  <c r="L166" i="19" s="1"/>
  <c r="L330" i="19"/>
  <c r="L329" i="19" s="1"/>
  <c r="L328" i="19" s="1"/>
  <c r="L327" i="19" s="1"/>
  <c r="L394" i="19" s="1"/>
  <c r="D53" i="16"/>
  <c r="C53" i="16"/>
  <c r="C54" i="2"/>
  <c r="L72" i="19" l="1"/>
  <c r="L155" i="19"/>
  <c r="L154" i="19" s="1"/>
  <c r="L308" i="19"/>
  <c r="L307" i="19" s="1"/>
  <c r="L306" i="19" s="1"/>
  <c r="L305" i="19" s="1"/>
  <c r="L54" i="19"/>
  <c r="L359" i="19"/>
  <c r="L297" i="19" l="1"/>
  <c r="L393" i="19"/>
  <c r="C15" i="20"/>
  <c r="C14" i="20" s="1"/>
  <c r="C15" i="8" l="1"/>
  <c r="H86" i="7" l="1"/>
  <c r="H72" i="7"/>
  <c r="H71" i="7"/>
  <c r="H22" i="7"/>
  <c r="H21" i="7" s="1"/>
  <c r="H70" i="7" l="1"/>
  <c r="H118" i="7" l="1"/>
  <c r="H411" i="7" l="1"/>
  <c r="H410" i="7"/>
  <c r="H409" i="7" l="1"/>
  <c r="H394" i="7"/>
  <c r="H393" i="7" s="1"/>
  <c r="C12" i="21" l="1"/>
  <c r="C11" i="21" s="1"/>
  <c r="B12" i="21" l="1"/>
  <c r="B11" i="21" s="1"/>
  <c r="L108" i="19"/>
  <c r="L107" i="19" s="1"/>
  <c r="L106" i="19" s="1"/>
  <c r="L105" i="19" s="1"/>
  <c r="L104" i="19" s="1"/>
  <c r="L95" i="19" s="1"/>
  <c r="H212" i="7" l="1"/>
  <c r="I35" i="18" l="1"/>
  <c r="H35" i="18"/>
  <c r="I34" i="18"/>
  <c r="H34" i="18"/>
  <c r="I65" i="18"/>
  <c r="I64" i="18" s="1"/>
  <c r="H65" i="18"/>
  <c r="H64" i="18" s="1"/>
  <c r="I50" i="18"/>
  <c r="H50" i="18"/>
  <c r="I48" i="18"/>
  <c r="H48" i="18"/>
  <c r="I47" i="18"/>
  <c r="H47" i="18"/>
  <c r="I42" i="18"/>
  <c r="H42" i="18"/>
  <c r="I30" i="18"/>
  <c r="H30" i="18"/>
  <c r="I29" i="18"/>
  <c r="H29" i="18"/>
  <c r="I227" i="18"/>
  <c r="I226" i="18" s="1"/>
  <c r="H227" i="18"/>
  <c r="H226" i="18" s="1"/>
  <c r="I223" i="18"/>
  <c r="H223" i="18"/>
  <c r="H293" i="7" l="1"/>
  <c r="H291" i="7"/>
  <c r="H130" i="7"/>
  <c r="H129" i="7"/>
  <c r="H128" i="7"/>
  <c r="H85" i="7"/>
  <c r="H84" i="7" s="1"/>
  <c r="H67" i="7"/>
  <c r="H65" i="7"/>
  <c r="H64" i="7"/>
  <c r="H34" i="7"/>
  <c r="H385" i="7"/>
  <c r="L22" i="19"/>
  <c r="L21" i="19" s="1"/>
  <c r="L20" i="19" s="1"/>
  <c r="L19" i="19" s="1"/>
  <c r="L18" i="19" s="1"/>
  <c r="L403" i="19"/>
  <c r="L341" i="19"/>
  <c r="H290" i="7" l="1"/>
  <c r="L408" i="19"/>
  <c r="L27" i="19"/>
  <c r="H127" i="7"/>
  <c r="H126" i="7" s="1"/>
  <c r="L351" i="19"/>
  <c r="N194" i="19" l="1"/>
  <c r="M194" i="19"/>
  <c r="N183" i="19"/>
  <c r="M183" i="19"/>
  <c r="M175" i="19"/>
  <c r="N175" i="19"/>
  <c r="N170" i="19"/>
  <c r="M170" i="19"/>
  <c r="N40" i="19" l="1"/>
  <c r="M40" i="19"/>
  <c r="N35" i="19"/>
  <c r="M35" i="19"/>
  <c r="N130" i="19" l="1"/>
  <c r="M130" i="19"/>
  <c r="N248" i="19" l="1"/>
  <c r="N247" i="19" s="1"/>
  <c r="M248" i="19"/>
  <c r="M247" i="19" l="1"/>
  <c r="N284" i="19" l="1"/>
  <c r="H158" i="7"/>
  <c r="N331" i="19"/>
  <c r="M331" i="19"/>
  <c r="M284" i="19" l="1"/>
  <c r="C49" i="2" l="1"/>
  <c r="N121" i="19" l="1"/>
  <c r="M121" i="19"/>
  <c r="D14" i="16" l="1"/>
  <c r="D13" i="16" s="1"/>
  <c r="D31" i="16"/>
  <c r="D37" i="16"/>
  <c r="D48" i="16"/>
  <c r="D47" i="16" s="1"/>
  <c r="D51" i="16"/>
  <c r="C51" i="16"/>
  <c r="C48" i="16"/>
  <c r="C47" i="16" s="1"/>
  <c r="C37" i="16"/>
  <c r="C31" i="16"/>
  <c r="C14" i="16"/>
  <c r="C13" i="16" s="1"/>
  <c r="D34" i="15" l="1"/>
  <c r="C34" i="15"/>
  <c r="C22" i="16"/>
  <c r="C21" i="16" s="1"/>
  <c r="D22" i="16"/>
  <c r="D21" i="16" s="1"/>
  <c r="D20" i="16" l="1"/>
  <c r="C20" i="16"/>
  <c r="C16" i="2"/>
  <c r="C15" i="2" s="1"/>
  <c r="C34" i="5" s="1"/>
  <c r="C12" i="16" l="1"/>
  <c r="C11" i="16" s="1"/>
  <c r="D12" i="16"/>
  <c r="D11" i="16" s="1"/>
  <c r="C36" i="15"/>
  <c r="C33" i="15" s="1"/>
  <c r="D36" i="15"/>
  <c r="D33" i="15" s="1"/>
  <c r="F26" i="4"/>
  <c r="F15" i="4"/>
  <c r="F16" i="4" l="1"/>
  <c r="F17" i="4"/>
  <c r="F18" i="4"/>
  <c r="F19" i="4"/>
  <c r="F20" i="4"/>
  <c r="F21" i="4"/>
  <c r="F22" i="4"/>
  <c r="F23" i="4"/>
  <c r="F24" i="4"/>
  <c r="F25" i="4"/>
  <c r="E14" i="4"/>
  <c r="D14" i="4"/>
  <c r="F14" i="4" l="1"/>
  <c r="H389" i="7" l="1"/>
  <c r="H388" i="7" s="1"/>
  <c r="H264" i="7" l="1"/>
  <c r="H263" i="7" s="1"/>
  <c r="H262" i="7" s="1"/>
  <c r="H157" i="7" l="1"/>
  <c r="H52" i="7"/>
  <c r="H44" i="7"/>
  <c r="H234" i="7"/>
  <c r="H233" i="7" s="1"/>
  <c r="N403" i="19" l="1"/>
  <c r="M403" i="19"/>
  <c r="M661" i="3" l="1"/>
  <c r="H35" i="7" l="1"/>
  <c r="H41" i="7"/>
  <c r="H51" i="7" l="1"/>
  <c r="H59" i="7" l="1"/>
  <c r="H98" i="7" l="1"/>
  <c r="H97" i="7" s="1"/>
  <c r="H243" i="7" l="1"/>
  <c r="H242" i="7" s="1"/>
  <c r="H258" i="7"/>
  <c r="H257" i="7" s="1"/>
  <c r="H317" i="7" l="1"/>
  <c r="I140" i="18" l="1"/>
  <c r="H140" i="18"/>
  <c r="H229" i="7"/>
  <c r="M108" i="19" l="1"/>
  <c r="N109" i="19"/>
  <c r="N108" i="19" s="1"/>
  <c r="I253" i="18" l="1"/>
  <c r="I252" i="18" s="1"/>
  <c r="I270" i="18" s="1"/>
  <c r="H253" i="18"/>
  <c r="H252" i="18" s="1"/>
  <c r="H270" i="18" s="1"/>
  <c r="I250" i="18"/>
  <c r="H250" i="18"/>
  <c r="I244" i="18"/>
  <c r="H244" i="18"/>
  <c r="I241" i="18"/>
  <c r="H241" i="18"/>
  <c r="I230" i="18"/>
  <c r="I229" i="18" s="1"/>
  <c r="H230" i="18"/>
  <c r="H229" i="18" s="1"/>
  <c r="I225" i="18"/>
  <c r="H225" i="18"/>
  <c r="I222" i="18"/>
  <c r="I221" i="18" s="1"/>
  <c r="H222" i="18"/>
  <c r="H221" i="18" s="1"/>
  <c r="I220" i="18"/>
  <c r="H220" i="18"/>
  <c r="I218" i="18"/>
  <c r="H218" i="18"/>
  <c r="H214" i="18"/>
  <c r="I214" i="18"/>
  <c r="I213" i="18"/>
  <c r="H213" i="18"/>
  <c r="I210" i="18"/>
  <c r="H210" i="18"/>
  <c r="I204" i="18"/>
  <c r="H204" i="18"/>
  <c r="I198" i="18"/>
  <c r="H198" i="18"/>
  <c r="I195" i="18"/>
  <c r="H195" i="18"/>
  <c r="H189" i="18"/>
  <c r="I189" i="18"/>
  <c r="I188" i="18"/>
  <c r="H188" i="18"/>
  <c r="H186" i="18"/>
  <c r="I186" i="18"/>
  <c r="I185" i="18"/>
  <c r="H185" i="18"/>
  <c r="H183" i="18"/>
  <c r="I183" i="18"/>
  <c r="I182" i="18"/>
  <c r="H182" i="18"/>
  <c r="I172" i="18"/>
  <c r="H172" i="18"/>
  <c r="I170" i="18"/>
  <c r="I169" i="18" s="1"/>
  <c r="H170" i="18"/>
  <c r="H169" i="18" s="1"/>
  <c r="I168" i="18"/>
  <c r="H168" i="18"/>
  <c r="H166" i="18"/>
  <c r="I166" i="18"/>
  <c r="I165" i="18"/>
  <c r="H165" i="18"/>
  <c r="H163" i="18"/>
  <c r="I163" i="18"/>
  <c r="I162" i="18"/>
  <c r="H162" i="18"/>
  <c r="H160" i="18"/>
  <c r="I160" i="18"/>
  <c r="I159" i="18"/>
  <c r="H159" i="18"/>
  <c r="H157" i="18"/>
  <c r="I157" i="18"/>
  <c r="I156" i="18"/>
  <c r="H156" i="18"/>
  <c r="I148" i="18"/>
  <c r="I147" i="18" s="1"/>
  <c r="H148" i="18"/>
  <c r="H147" i="18" s="1"/>
  <c r="I146" i="18"/>
  <c r="H146" i="18"/>
  <c r="I136" i="18"/>
  <c r="I135" i="18" s="1"/>
  <c r="H136" i="18"/>
  <c r="H135" i="18" s="1"/>
  <c r="H130" i="18"/>
  <c r="I130" i="18"/>
  <c r="I129" i="18"/>
  <c r="H129" i="18"/>
  <c r="H114" i="18" l="1"/>
  <c r="I114" i="18"/>
  <c r="H115" i="18"/>
  <c r="I115" i="18"/>
  <c r="I113" i="18"/>
  <c r="H113" i="18"/>
  <c r="I108" i="18"/>
  <c r="H108" i="18"/>
  <c r="H101" i="18"/>
  <c r="I101" i="18"/>
  <c r="H102" i="18"/>
  <c r="I102" i="18"/>
  <c r="I100" i="18"/>
  <c r="H100" i="18"/>
  <c r="I95" i="18"/>
  <c r="I94" i="18" s="1"/>
  <c r="H95" i="18"/>
  <c r="H94" i="18" s="1"/>
  <c r="I89" i="18"/>
  <c r="H89" i="18"/>
  <c r="H87" i="18"/>
  <c r="I87" i="18"/>
  <c r="I86" i="18"/>
  <c r="H86" i="18"/>
  <c r="I82" i="18"/>
  <c r="I81" i="18" s="1"/>
  <c r="I80" i="18" s="1"/>
  <c r="H82" i="18"/>
  <c r="H81" i="18" s="1"/>
  <c r="H80" i="18" s="1"/>
  <c r="I79" i="18"/>
  <c r="H79" i="18"/>
  <c r="I76" i="18"/>
  <c r="H76" i="18"/>
  <c r="I107" i="18" l="1"/>
  <c r="I106" i="18" s="1"/>
  <c r="H107" i="18"/>
  <c r="H106" i="18" s="1"/>
  <c r="I68" i="18"/>
  <c r="I67" i="18" s="1"/>
  <c r="H68" i="18"/>
  <c r="H67" i="18" s="1"/>
  <c r="H63" i="18"/>
  <c r="I63" i="18"/>
  <c r="I62" i="18"/>
  <c r="H62" i="18"/>
  <c r="H59" i="18"/>
  <c r="I59" i="18"/>
  <c r="H60" i="18"/>
  <c r="I60" i="18"/>
  <c r="I58" i="18"/>
  <c r="H58" i="18"/>
  <c r="I54" i="18"/>
  <c r="I53" i="18" s="1"/>
  <c r="H54" i="18"/>
  <c r="H53" i="18" s="1"/>
  <c r="I49" i="18"/>
  <c r="H49" i="18"/>
  <c r="I43" i="18"/>
  <c r="I41" i="18" s="1"/>
  <c r="H43" i="18"/>
  <c r="H41" i="18" s="1"/>
  <c r="H39" i="18"/>
  <c r="I39" i="18"/>
  <c r="H40" i="18"/>
  <c r="I40" i="18"/>
  <c r="I38" i="18"/>
  <c r="H38" i="18"/>
  <c r="I36" i="18"/>
  <c r="I33" i="18" s="1"/>
  <c r="H36" i="18"/>
  <c r="H33" i="18" s="1"/>
  <c r="H32" i="18"/>
  <c r="I32" i="18"/>
  <c r="I31" i="18"/>
  <c r="H31" i="18"/>
  <c r="I26" i="18"/>
  <c r="I25" i="18" s="1"/>
  <c r="H26" i="18"/>
  <c r="H25" i="18" s="1"/>
  <c r="I24" i="18"/>
  <c r="I23" i="18" s="1"/>
  <c r="H24" i="18"/>
  <c r="H23" i="18" s="1"/>
  <c r="H22" i="18"/>
  <c r="I22" i="18"/>
  <c r="I21" i="18"/>
  <c r="H21" i="18"/>
  <c r="I19" i="18"/>
  <c r="I18" i="18" s="1"/>
  <c r="H19" i="18"/>
  <c r="H18" i="18" s="1"/>
  <c r="I249" i="18"/>
  <c r="I248" i="18" s="1"/>
  <c r="I247" i="18" s="1"/>
  <c r="I246" i="18" s="1"/>
  <c r="I243" i="18"/>
  <c r="I242" i="18" s="1"/>
  <c r="I240" i="18"/>
  <c r="I239" i="18" s="1"/>
  <c r="I228" i="18"/>
  <c r="I224" i="18"/>
  <c r="I219" i="18"/>
  <c r="I217" i="18"/>
  <c r="I212" i="18"/>
  <c r="I209" i="18"/>
  <c r="I208" i="18" s="1"/>
  <c r="I203" i="18"/>
  <c r="I202" i="18" s="1"/>
  <c r="I201" i="18" s="1"/>
  <c r="I200" i="18" s="1"/>
  <c r="I197" i="18"/>
  <c r="I196" i="18" s="1"/>
  <c r="I194" i="18"/>
  <c r="I193" i="18" s="1"/>
  <c r="I187" i="18"/>
  <c r="I184" i="18"/>
  <c r="I181" i="18"/>
  <c r="I167" i="18"/>
  <c r="I164" i="18"/>
  <c r="I161" i="18"/>
  <c r="I158" i="18"/>
  <c r="I155" i="18"/>
  <c r="I145" i="18"/>
  <c r="I139" i="18"/>
  <c r="I138" i="18" s="1"/>
  <c r="I134" i="18"/>
  <c r="I128" i="18"/>
  <c r="I127" i="18" s="1"/>
  <c r="I126" i="18" s="1"/>
  <c r="I117" i="18" s="1"/>
  <c r="I112" i="18"/>
  <c r="I111" i="18" s="1"/>
  <c r="I110" i="18" s="1"/>
  <c r="I99" i="18"/>
  <c r="I98" i="18" s="1"/>
  <c r="I93" i="18"/>
  <c r="I88" i="18"/>
  <c r="I85" i="18"/>
  <c r="I78" i="18"/>
  <c r="I77" i="18" s="1"/>
  <c r="I75" i="18"/>
  <c r="I74" i="18" s="1"/>
  <c r="H249" i="18"/>
  <c r="H248" i="18" s="1"/>
  <c r="H247" i="18" s="1"/>
  <c r="H246" i="18" s="1"/>
  <c r="H243" i="18"/>
  <c r="H242" i="18" s="1"/>
  <c r="H240" i="18"/>
  <c r="H239" i="18" s="1"/>
  <c r="H228" i="18"/>
  <c r="H224" i="18"/>
  <c r="H219" i="18"/>
  <c r="H217" i="18"/>
  <c r="H212" i="18"/>
  <c r="H209" i="18"/>
  <c r="H208" i="18" s="1"/>
  <c r="H203" i="18"/>
  <c r="H202" i="18" s="1"/>
  <c r="H201" i="18" s="1"/>
  <c r="H200" i="18" s="1"/>
  <c r="H197" i="18"/>
  <c r="H196" i="18" s="1"/>
  <c r="H194" i="18"/>
  <c r="H193" i="18" s="1"/>
  <c r="H187" i="18"/>
  <c r="H184" i="18"/>
  <c r="H181" i="18"/>
  <c r="H167" i="18"/>
  <c r="H164" i="18"/>
  <c r="H161" i="18"/>
  <c r="H158" i="18"/>
  <c r="H155" i="18"/>
  <c r="H145" i="18"/>
  <c r="H139" i="18"/>
  <c r="H138" i="18" s="1"/>
  <c r="H134" i="18"/>
  <c r="H128" i="18"/>
  <c r="H127" i="18" s="1"/>
  <c r="H126" i="18" s="1"/>
  <c r="H112" i="18"/>
  <c r="H111" i="18" s="1"/>
  <c r="H110" i="18" s="1"/>
  <c r="H99" i="18"/>
  <c r="H98" i="18" s="1"/>
  <c r="H93" i="18"/>
  <c r="H88" i="18"/>
  <c r="H85" i="18"/>
  <c r="H78" i="18"/>
  <c r="H77" i="18" s="1"/>
  <c r="H75" i="18"/>
  <c r="H74" i="18" s="1"/>
  <c r="H118" i="18" l="1"/>
  <c r="H117" i="18" s="1"/>
  <c r="H211" i="18"/>
  <c r="H207" i="18" s="1"/>
  <c r="I211" i="18"/>
  <c r="I207" i="18" s="1"/>
  <c r="I154" i="18"/>
  <c r="H154" i="18"/>
  <c r="I73" i="18"/>
  <c r="H73" i="18"/>
  <c r="H46" i="18"/>
  <c r="I46" i="18"/>
  <c r="H28" i="18"/>
  <c r="I28" i="18"/>
  <c r="I238" i="18"/>
  <c r="I237" i="18" s="1"/>
  <c r="I267" i="18" s="1"/>
  <c r="H238" i="18"/>
  <c r="H237" i="18" s="1"/>
  <c r="H267" i="18" s="1"/>
  <c r="H84" i="18"/>
  <c r="H83" i="18" s="1"/>
  <c r="I192" i="18"/>
  <c r="I191" i="18" s="1"/>
  <c r="H105" i="18"/>
  <c r="H104" i="18" s="1"/>
  <c r="H133" i="18"/>
  <c r="I105" i="18"/>
  <c r="I104" i="18" s="1"/>
  <c r="I180" i="18"/>
  <c r="I61" i="18"/>
  <c r="H37" i="18"/>
  <c r="H57" i="18"/>
  <c r="H61" i="18"/>
  <c r="I37" i="18"/>
  <c r="I57" i="18"/>
  <c r="H20" i="18"/>
  <c r="H17" i="18" s="1"/>
  <c r="I20" i="18"/>
  <c r="I17" i="18" s="1"/>
  <c r="I92" i="18"/>
  <c r="I91" i="18" s="1"/>
  <c r="I84" i="18"/>
  <c r="I83" i="18" s="1"/>
  <c r="I144" i="18"/>
  <c r="I143" i="18" s="1"/>
  <c r="I142" i="18" s="1"/>
  <c r="H192" i="18"/>
  <c r="H191" i="18" s="1"/>
  <c r="H144" i="18"/>
  <c r="H143" i="18" s="1"/>
  <c r="H142" i="18" s="1"/>
  <c r="H180" i="18"/>
  <c r="H92" i="18"/>
  <c r="H91" i="18" s="1"/>
  <c r="H440" i="7"/>
  <c r="H311" i="7"/>
  <c r="I45" i="18" l="1"/>
  <c r="I44" i="18" s="1"/>
  <c r="H45" i="18"/>
  <c r="H44" i="18" s="1"/>
  <c r="H153" i="18"/>
  <c r="H152" i="18" s="1"/>
  <c r="I153" i="18"/>
  <c r="I152" i="18" s="1"/>
  <c r="I72" i="18"/>
  <c r="H132" i="18"/>
  <c r="I133" i="18"/>
  <c r="I132" i="18" s="1"/>
  <c r="H72" i="18"/>
  <c r="I27" i="18"/>
  <c r="I16" i="18" s="1"/>
  <c r="H27" i="18"/>
  <c r="H16" i="18" s="1"/>
  <c r="H56" i="18"/>
  <c r="H55" i="18" s="1"/>
  <c r="I56" i="18"/>
  <c r="I55" i="18" s="1"/>
  <c r="H206" i="18"/>
  <c r="I206" i="18"/>
  <c r="H399" i="7"/>
  <c r="H397" i="7"/>
  <c r="H15" i="18" l="1"/>
  <c r="H14" i="18" s="1"/>
  <c r="I15" i="18"/>
  <c r="I14" i="18" s="1"/>
  <c r="H286" i="7"/>
  <c r="H283" i="7"/>
  <c r="H280" i="7"/>
  <c r="H277" i="7"/>
  <c r="H263" i="18" l="1"/>
  <c r="H272" i="18" s="1"/>
  <c r="I263" i="18"/>
  <c r="I272" i="18" s="1"/>
  <c r="H261" i="7"/>
  <c r="H232" i="7"/>
  <c r="H231" i="7" s="1"/>
  <c r="H230" i="7" s="1"/>
  <c r="I265" i="18" l="1"/>
  <c r="I271" i="18"/>
  <c r="I268" i="18"/>
  <c r="H271" i="18"/>
  <c r="H268" i="18"/>
  <c r="H265" i="18"/>
  <c r="H76" i="7"/>
  <c r="B10" i="9" l="1"/>
  <c r="N341" i="19" l="1"/>
  <c r="N408" i="19" s="1"/>
  <c r="E46" i="17" s="1"/>
  <c r="E45" i="17" s="1"/>
  <c r="M341" i="19"/>
  <c r="M408" i="19" s="1"/>
  <c r="D46" i="17" l="1"/>
  <c r="D45" i="17" s="1"/>
  <c r="N337" i="19" l="1"/>
  <c r="N334" i="19"/>
  <c r="N319" i="19"/>
  <c r="N316" i="19"/>
  <c r="N313" i="19"/>
  <c r="N310" i="19"/>
  <c r="N303" i="19"/>
  <c r="N302" i="19" s="1"/>
  <c r="N301" i="19" s="1"/>
  <c r="N300" i="19" s="1"/>
  <c r="N299" i="19" s="1"/>
  <c r="N298" i="19" s="1"/>
  <c r="N292" i="19"/>
  <c r="N291" i="19" s="1"/>
  <c r="N290" i="19" s="1"/>
  <c r="N289" i="19" s="1"/>
  <c r="N288" i="19" s="1"/>
  <c r="N273" i="19"/>
  <c r="N272" i="19" s="1"/>
  <c r="N271" i="19" s="1"/>
  <c r="N270" i="19" s="1"/>
  <c r="N399" i="19" s="1"/>
  <c r="E42" i="17" s="1"/>
  <c r="N266" i="19"/>
  <c r="N265" i="19" s="1"/>
  <c r="N245" i="19"/>
  <c r="N244" i="19" s="1"/>
  <c r="N238" i="19"/>
  <c r="N237" i="19" s="1"/>
  <c r="N236" i="19" s="1"/>
  <c r="N228" i="19"/>
  <c r="N227" i="19" s="1"/>
  <c r="N226" i="19" s="1"/>
  <c r="N225" i="19" s="1"/>
  <c r="N224" i="19" s="1"/>
  <c r="N213" i="19"/>
  <c r="N201" i="19"/>
  <c r="N193" i="19" s="1"/>
  <c r="N188" i="19"/>
  <c r="N187" i="19" s="1"/>
  <c r="N186" i="19" s="1"/>
  <c r="N179" i="19"/>
  <c r="N169" i="19" s="1"/>
  <c r="N164" i="19"/>
  <c r="N162" i="19"/>
  <c r="N160" i="19"/>
  <c r="N138" i="19"/>
  <c r="N137" i="19" s="1"/>
  <c r="N120" i="19"/>
  <c r="N118" i="19"/>
  <c r="N117" i="19" s="1"/>
  <c r="N100" i="19"/>
  <c r="N99" i="19" s="1"/>
  <c r="N98" i="19" s="1"/>
  <c r="N97" i="19" s="1"/>
  <c r="N96" i="19" s="1"/>
  <c r="N86" i="19"/>
  <c r="N85" i="19" s="1"/>
  <c r="N84" i="19" s="1"/>
  <c r="N83" i="19" s="1"/>
  <c r="N82" i="19" s="1"/>
  <c r="N364" i="19" s="1"/>
  <c r="E26" i="17" s="1"/>
  <c r="N80" i="19"/>
  <c r="N79" i="19" s="1"/>
  <c r="N77" i="19"/>
  <c r="N76" i="19" s="1"/>
  <c r="N52" i="19"/>
  <c r="N51" i="19" s="1"/>
  <c r="N50" i="19" s="1"/>
  <c r="N49" i="19" s="1"/>
  <c r="N48" i="19" s="1"/>
  <c r="N355" i="19" s="1"/>
  <c r="E19" i="17" s="1"/>
  <c r="N38" i="19"/>
  <c r="N33" i="19"/>
  <c r="N31" i="19"/>
  <c r="N22" i="19"/>
  <c r="N21" i="19" s="1"/>
  <c r="N20" i="19" s="1"/>
  <c r="N19" i="19" s="1"/>
  <c r="N18" i="19" s="1"/>
  <c r="M337" i="19"/>
  <c r="M334" i="19"/>
  <c r="M319" i="19"/>
  <c r="M316" i="19"/>
  <c r="M313" i="19"/>
  <c r="M310" i="19"/>
  <c r="M303" i="19"/>
  <c r="M292" i="19"/>
  <c r="M273" i="19"/>
  <c r="M266" i="19"/>
  <c r="M245" i="19"/>
  <c r="M238" i="19"/>
  <c r="M228" i="19"/>
  <c r="M213" i="19"/>
  <c r="M201" i="19"/>
  <c r="M193" i="19" s="1"/>
  <c r="M188" i="19"/>
  <c r="M179" i="19"/>
  <c r="M164" i="19"/>
  <c r="M162" i="19"/>
  <c r="M160" i="19"/>
  <c r="M138" i="19"/>
  <c r="M120" i="19"/>
  <c r="M118" i="19"/>
  <c r="M100" i="19"/>
  <c r="M86" i="19"/>
  <c r="M80" i="19"/>
  <c r="M77" i="19"/>
  <c r="M68" i="19"/>
  <c r="M67" i="19" s="1"/>
  <c r="M62" i="19" s="1"/>
  <c r="M52" i="19"/>
  <c r="M38" i="19"/>
  <c r="M33" i="19"/>
  <c r="M31" i="19"/>
  <c r="M22" i="19"/>
  <c r="M21" i="19" s="1"/>
  <c r="M20" i="19" s="1"/>
  <c r="M19" i="19" s="1"/>
  <c r="M18" i="19" s="1"/>
  <c r="N68" i="19" l="1"/>
  <c r="N67" i="19" s="1"/>
  <c r="N62" i="19" s="1"/>
  <c r="N61" i="19" s="1"/>
  <c r="M76" i="19"/>
  <c r="M117" i="19"/>
  <c r="M137" i="19"/>
  <c r="M169" i="19"/>
  <c r="M192" i="19"/>
  <c r="M237" i="19"/>
  <c r="M265" i="19"/>
  <c r="M272" i="19"/>
  <c r="M302" i="19"/>
  <c r="M85" i="19"/>
  <c r="L26" i="19"/>
  <c r="L25" i="19" s="1"/>
  <c r="L24" i="19" s="1"/>
  <c r="L17" i="19" s="1"/>
  <c r="L16" i="19" s="1"/>
  <c r="M51" i="19"/>
  <c r="M79" i="19"/>
  <c r="M99" i="19"/>
  <c r="M187" i="19"/>
  <c r="M227" i="19"/>
  <c r="M244" i="19"/>
  <c r="M291" i="19"/>
  <c r="M212" i="19"/>
  <c r="M211" i="19" s="1"/>
  <c r="N212" i="19"/>
  <c r="N211" i="19" s="1"/>
  <c r="N210" i="19" s="1"/>
  <c r="N209" i="19" s="1"/>
  <c r="N27" i="19"/>
  <c r="M27" i="19"/>
  <c r="M107" i="19"/>
  <c r="N168" i="19"/>
  <c r="N167" i="19" s="1"/>
  <c r="N166" i="19" s="1"/>
  <c r="N192" i="19"/>
  <c r="N191" i="19" s="1"/>
  <c r="N190" i="19" s="1"/>
  <c r="N116" i="19"/>
  <c r="N115" i="19" s="1"/>
  <c r="N114" i="19" s="1"/>
  <c r="N113" i="19" s="1"/>
  <c r="N112" i="19" s="1"/>
  <c r="M159" i="19"/>
  <c r="N159" i="19"/>
  <c r="N158" i="19" s="1"/>
  <c r="N157" i="19" s="1"/>
  <c r="N156" i="19" s="1"/>
  <c r="M309" i="19"/>
  <c r="M308" i="19" s="1"/>
  <c r="N253" i="19"/>
  <c r="N252" i="19" s="1"/>
  <c r="N251" i="19" s="1"/>
  <c r="N250" i="19" s="1"/>
  <c r="M129" i="19"/>
  <c r="N129" i="19"/>
  <c r="N128" i="19" s="1"/>
  <c r="N127" i="19" s="1"/>
  <c r="N235" i="19"/>
  <c r="N234" i="19" s="1"/>
  <c r="N233" i="19" s="1"/>
  <c r="N264" i="19"/>
  <c r="N263" i="19" s="1"/>
  <c r="N309" i="19"/>
  <c r="M253" i="19"/>
  <c r="M283" i="19"/>
  <c r="N107" i="19"/>
  <c r="N106" i="19" s="1"/>
  <c r="N105" i="19" s="1"/>
  <c r="M330" i="19"/>
  <c r="N75" i="19"/>
  <c r="N74" i="19" s="1"/>
  <c r="N73" i="19" s="1"/>
  <c r="N330" i="19"/>
  <c r="N329" i="19" s="1"/>
  <c r="N328" i="19" s="1"/>
  <c r="N327" i="19" s="1"/>
  <c r="N351" i="19"/>
  <c r="E15" i="17" s="1"/>
  <c r="N136" i="19"/>
  <c r="M351" i="19"/>
  <c r="D15" i="17" s="1"/>
  <c r="N155" i="19" l="1"/>
  <c r="N308" i="19"/>
  <c r="N307" i="19" s="1"/>
  <c r="N306" i="19" s="1"/>
  <c r="N394" i="19"/>
  <c r="E39" i="17" s="1"/>
  <c r="N126" i="19"/>
  <c r="N356" i="19" s="1"/>
  <c r="N373" i="19"/>
  <c r="E29" i="17" s="1"/>
  <c r="N89" i="19"/>
  <c r="N405" i="19"/>
  <c r="E44" i="17" s="1"/>
  <c r="E43" i="17" s="1"/>
  <c r="N104" i="19"/>
  <c r="N95" i="19" s="1"/>
  <c r="N360" i="19"/>
  <c r="E23" i="17" s="1"/>
  <c r="N57" i="19"/>
  <c r="N56" i="19" s="1"/>
  <c r="N55" i="19" s="1"/>
  <c r="M116" i="19"/>
  <c r="M210" i="19"/>
  <c r="M209" i="19" s="1"/>
  <c r="M264" i="19"/>
  <c r="M263" i="19" s="1"/>
  <c r="M136" i="19"/>
  <c r="M168" i="19"/>
  <c r="M75" i="19"/>
  <c r="M74" i="19" s="1"/>
  <c r="L352" i="19"/>
  <c r="M84" i="19"/>
  <c r="M301" i="19"/>
  <c r="M271" i="19"/>
  <c r="M236" i="19"/>
  <c r="M329" i="19"/>
  <c r="M252" i="19"/>
  <c r="M128" i="19"/>
  <c r="M127" i="19" s="1"/>
  <c r="M158" i="19"/>
  <c r="M191" i="19"/>
  <c r="M106" i="19"/>
  <c r="M290" i="19"/>
  <c r="M226" i="19"/>
  <c r="M186" i="19"/>
  <c r="M98" i="19"/>
  <c r="M50" i="19"/>
  <c r="M26" i="19"/>
  <c r="M25" i="19" s="1"/>
  <c r="M24" i="19" s="1"/>
  <c r="N26" i="19"/>
  <c r="N25" i="19" s="1"/>
  <c r="N24" i="19" s="1"/>
  <c r="N17" i="19" s="1"/>
  <c r="N378" i="19"/>
  <c r="E33" i="17" s="1"/>
  <c r="N283" i="19"/>
  <c r="N282" i="19" s="1"/>
  <c r="N281" i="19" s="1"/>
  <c r="N377" i="19" s="1"/>
  <c r="M282" i="19"/>
  <c r="N413" i="19"/>
  <c r="N382" i="19"/>
  <c r="E36" i="17" s="1"/>
  <c r="N374" i="19"/>
  <c r="E30" i="17" s="1"/>
  <c r="N375" i="19"/>
  <c r="E31" i="17" s="1"/>
  <c r="N243" i="19"/>
  <c r="M243" i="19"/>
  <c r="N262" i="19"/>
  <c r="N261" i="19" s="1"/>
  <c r="N354" i="19"/>
  <c r="E18" i="17" s="1"/>
  <c r="N223" i="19"/>
  <c r="N363" i="19"/>
  <c r="E25" i="17" s="1"/>
  <c r="N393" i="19" l="1"/>
  <c r="N395" i="19" s="1"/>
  <c r="N305" i="19"/>
  <c r="N297" i="19" s="1"/>
  <c r="N54" i="19"/>
  <c r="N359" i="19"/>
  <c r="M126" i="19"/>
  <c r="M356" i="19" s="1"/>
  <c r="N88" i="19"/>
  <c r="N365" i="19" s="1"/>
  <c r="E27" i="17" s="1"/>
  <c r="E24" i="17" s="1"/>
  <c r="N406" i="19"/>
  <c r="N361" i="19"/>
  <c r="M352" i="19"/>
  <c r="D16" i="17" s="1"/>
  <c r="M115" i="19"/>
  <c r="M114" i="19" s="1"/>
  <c r="M49" i="19"/>
  <c r="M97" i="19"/>
  <c r="M225" i="19"/>
  <c r="M289" i="19"/>
  <c r="M105" i="19"/>
  <c r="M190" i="19"/>
  <c r="M157" i="19"/>
  <c r="M251" i="19"/>
  <c r="M73" i="19"/>
  <c r="M262" i="19"/>
  <c r="M328" i="19"/>
  <c r="M235" i="19"/>
  <c r="M270" i="19"/>
  <c r="M300" i="19"/>
  <c r="M83" i="19"/>
  <c r="M167" i="19"/>
  <c r="M307" i="19"/>
  <c r="M306" i="19" s="1"/>
  <c r="N352" i="19"/>
  <c r="E16" i="17" s="1"/>
  <c r="M242" i="19"/>
  <c r="N242" i="19"/>
  <c r="N241" i="19" s="1"/>
  <c r="M281" i="19"/>
  <c r="E32" i="17"/>
  <c r="E28" i="17" s="1"/>
  <c r="N280" i="19"/>
  <c r="N279" i="19" s="1"/>
  <c r="N371" i="19"/>
  <c r="N154" i="19"/>
  <c r="N397" i="19"/>
  <c r="N260" i="19"/>
  <c r="C38" i="2"/>
  <c r="C32" i="2"/>
  <c r="E38" i="17" l="1"/>
  <c r="E37" i="17" s="1"/>
  <c r="N366" i="19"/>
  <c r="N72" i="19"/>
  <c r="N16" i="19" s="1"/>
  <c r="M397" i="19"/>
  <c r="M261" i="19"/>
  <c r="N381" i="19"/>
  <c r="N383" i="19" s="1"/>
  <c r="N240" i="19"/>
  <c r="N232" i="19" s="1"/>
  <c r="C22" i="2"/>
  <c r="L371" i="19"/>
  <c r="M241" i="19"/>
  <c r="M82" i="19"/>
  <c r="M299" i="19"/>
  <c r="M377" i="19" s="1"/>
  <c r="M399" i="19"/>
  <c r="D42" i="17" s="1"/>
  <c r="L399" i="19"/>
  <c r="M327" i="19"/>
  <c r="L397" i="19"/>
  <c r="L363" i="19"/>
  <c r="M363" i="19"/>
  <c r="D25" i="17" s="1"/>
  <c r="M166" i="19"/>
  <c r="M234" i="19"/>
  <c r="M375" i="19" s="1"/>
  <c r="D31" i="17" s="1"/>
  <c r="M250" i="19"/>
  <c r="M113" i="19"/>
  <c r="M156" i="19"/>
  <c r="M155" i="19" s="1"/>
  <c r="M104" i="19"/>
  <c r="L405" i="19"/>
  <c r="L406" i="19" s="1"/>
  <c r="M405" i="19"/>
  <c r="M288" i="19"/>
  <c r="M280" i="19" s="1"/>
  <c r="M224" i="19"/>
  <c r="M393" i="19" s="1"/>
  <c r="M96" i="19"/>
  <c r="M354" i="19"/>
  <c r="D18" i="17" s="1"/>
  <c r="M61" i="19"/>
  <c r="M48" i="19"/>
  <c r="M17" i="19" s="1"/>
  <c r="N379" i="19"/>
  <c r="D41" i="17"/>
  <c r="N389" i="19"/>
  <c r="N400" i="19"/>
  <c r="E41" i="17"/>
  <c r="E40" i="17" s="1"/>
  <c r="N357" i="19"/>
  <c r="E20" i="17"/>
  <c r="E14" i="17" s="1"/>
  <c r="N125" i="19"/>
  <c r="N124" i="19" s="1"/>
  <c r="M305" i="19" l="1"/>
  <c r="M394" i="19"/>
  <c r="D39" i="17" s="1"/>
  <c r="E35" i="17"/>
  <c r="E34" i="17" s="1"/>
  <c r="M57" i="19"/>
  <c r="M56" i="19" s="1"/>
  <c r="M55" i="19" s="1"/>
  <c r="L354" i="19"/>
  <c r="M240" i="19"/>
  <c r="D20" i="17"/>
  <c r="M279" i="19"/>
  <c r="M125" i="19"/>
  <c r="M124" i="19" s="1"/>
  <c r="M89" i="19"/>
  <c r="M355" i="19"/>
  <c r="L360" i="19"/>
  <c r="L361" i="19" s="1"/>
  <c r="M360" i="19"/>
  <c r="M95" i="19"/>
  <c r="M223" i="19"/>
  <c r="D38" i="17"/>
  <c r="L378" i="19"/>
  <c r="M378" i="19"/>
  <c r="D33" i="17" s="1"/>
  <c r="L382" i="19"/>
  <c r="M382" i="19"/>
  <c r="D36" i="17" s="1"/>
  <c r="M233" i="19"/>
  <c r="L375" i="19"/>
  <c r="L374" i="19"/>
  <c r="M374" i="19"/>
  <c r="D30" i="17" s="1"/>
  <c r="L400" i="19"/>
  <c r="D44" i="17"/>
  <c r="D43" i="17" s="1"/>
  <c r="M406" i="19"/>
  <c r="M373" i="19"/>
  <c r="D29" i="17" s="1"/>
  <c r="L373" i="19"/>
  <c r="M112" i="19"/>
  <c r="M413" i="19"/>
  <c r="L413" i="19"/>
  <c r="M298" i="19"/>
  <c r="M364" i="19"/>
  <c r="L364" i="19"/>
  <c r="L366" i="19" s="1"/>
  <c r="M381" i="19"/>
  <c r="L381" i="19"/>
  <c r="N15" i="19"/>
  <c r="D26" i="20" s="1"/>
  <c r="D32" i="17"/>
  <c r="N412" i="19"/>
  <c r="N410" i="19"/>
  <c r="M54" i="19" l="1"/>
  <c r="M359" i="19"/>
  <c r="M88" i="19"/>
  <c r="M365" i="19" s="1"/>
  <c r="M371" i="19"/>
  <c r="L389" i="19"/>
  <c r="L383" i="19"/>
  <c r="D23" i="17"/>
  <c r="M361" i="19"/>
  <c r="M379" i="19"/>
  <c r="D28" i="17"/>
  <c r="D35" i="17"/>
  <c r="D34" i="17" s="1"/>
  <c r="M383" i="19"/>
  <c r="D26" i="17"/>
  <c r="L379" i="19"/>
  <c r="M297" i="19"/>
  <c r="M260" i="19"/>
  <c r="D40" i="17"/>
  <c r="M400" i="19"/>
  <c r="M389" i="19"/>
  <c r="M232" i="19"/>
  <c r="D37" i="17"/>
  <c r="M395" i="19"/>
  <c r="D19" i="17"/>
  <c r="D14" i="17" s="1"/>
  <c r="M357" i="19"/>
  <c r="M154" i="19"/>
  <c r="L355" i="19"/>
  <c r="L395" i="19"/>
  <c r="N349" i="19"/>
  <c r="K14" i="18"/>
  <c r="N417" i="19"/>
  <c r="N411" i="19"/>
  <c r="E22" i="17" l="1"/>
  <c r="E21" i="17" s="1"/>
  <c r="E12" i="17" s="1"/>
  <c r="H12" i="17" s="1"/>
  <c r="D22" i="17"/>
  <c r="D21" i="17" s="1"/>
  <c r="D27" i="17"/>
  <c r="D24" i="17" s="1"/>
  <c r="M366" i="19"/>
  <c r="M410" i="19" s="1"/>
  <c r="M72" i="19"/>
  <c r="M16" i="19" s="1"/>
  <c r="M15" i="19" s="1"/>
  <c r="C26" i="20" s="1"/>
  <c r="L15" i="19"/>
  <c r="L357" i="19"/>
  <c r="L410" i="19" s="1"/>
  <c r="M412" i="19"/>
  <c r="L412" i="19"/>
  <c r="D12" i="17" l="1"/>
  <c r="L411" i="19"/>
  <c r="M349" i="19"/>
  <c r="M411" i="19"/>
  <c r="M417" i="19"/>
  <c r="L417" i="19"/>
  <c r="J14" i="18"/>
  <c r="G12" i="17"/>
  <c r="M649" i="3" l="1"/>
  <c r="D45" i="6" s="1"/>
  <c r="G20" i="22"/>
  <c r="D25" i="20" l="1"/>
  <c r="D24" i="20" s="1"/>
  <c r="D23" i="20" s="1"/>
  <c r="C25" i="20" l="1"/>
  <c r="C24" i="20" s="1"/>
  <c r="C23" i="20" s="1"/>
  <c r="D32" i="15" l="1"/>
  <c r="D37" i="15" s="1"/>
  <c r="D22" i="20" l="1"/>
  <c r="D21" i="20" s="1"/>
  <c r="D20" i="20" s="1"/>
  <c r="D19" i="20" s="1"/>
  <c r="D18" i="20" s="1"/>
  <c r="D13" i="20" s="1"/>
  <c r="H439" i="7" l="1"/>
  <c r="H438" i="7" s="1"/>
  <c r="H37" i="7" l="1"/>
  <c r="D31" i="6" l="1"/>
  <c r="H260" i="7"/>
  <c r="H259" i="7" s="1"/>
  <c r="H101" i="7" l="1"/>
  <c r="H100" i="7" s="1"/>
  <c r="H18" i="7" l="1"/>
  <c r="H17" i="7" s="1"/>
  <c r="H36" i="7" l="1"/>
  <c r="H33" i="7" s="1"/>
  <c r="H246" i="7" l="1"/>
  <c r="H245" i="7" s="1"/>
  <c r="H244" i="7" s="1"/>
  <c r="H324" i="7" l="1"/>
  <c r="H323" i="7" s="1"/>
  <c r="H322" i="7" s="1"/>
  <c r="H321" i="7" l="1"/>
  <c r="H316" i="7" s="1"/>
  <c r="H330" i="7"/>
  <c r="H329" i="7" s="1"/>
  <c r="H328" i="7" s="1"/>
  <c r="H414" i="7"/>
  <c r="H413" i="7" s="1"/>
  <c r="H408" i="7" s="1"/>
  <c r="H200" i="7"/>
  <c r="H199" i="7" s="1"/>
  <c r="H209" i="7"/>
  <c r="H208" i="7" s="1"/>
  <c r="H204" i="7" s="1"/>
  <c r="H202" i="7"/>
  <c r="H201" i="7" s="1"/>
  <c r="H392" i="7" l="1"/>
  <c r="H437" i="7"/>
  <c r="H436" i="7" s="1"/>
  <c r="H434" i="7" l="1"/>
  <c r="H431" i="7"/>
  <c r="H398" i="7"/>
  <c r="H396" i="7"/>
  <c r="H391" i="7"/>
  <c r="H390" i="7" s="1"/>
  <c r="H384" i="7"/>
  <c r="H383" i="7" s="1"/>
  <c r="H380" i="7"/>
  <c r="H379" i="7" s="1"/>
  <c r="H395" i="7" l="1"/>
  <c r="H433" i="7"/>
  <c r="H432" i="7" s="1"/>
  <c r="H310" i="7"/>
  <c r="H309" i="7" s="1"/>
  <c r="H374" i="7" l="1"/>
  <c r="H372" i="7"/>
  <c r="H363" i="7"/>
  <c r="H362" i="7" s="1"/>
  <c r="H361" i="7" s="1"/>
  <c r="H360" i="7" s="1"/>
  <c r="H359" i="7" s="1"/>
  <c r="H355" i="7"/>
  <c r="H354" i="7" s="1"/>
  <c r="H353" i="7" s="1"/>
  <c r="H349" i="7"/>
  <c r="H348" i="7" s="1"/>
  <c r="H347" i="7" s="1"/>
  <c r="H346" i="7" s="1"/>
  <c r="H345" i="7"/>
  <c r="H344" i="7" s="1"/>
  <c r="H339" i="7"/>
  <c r="H338" i="7" s="1"/>
  <c r="H337" i="7" s="1"/>
  <c r="H333" i="7"/>
  <c r="H332" i="7" s="1"/>
  <c r="H308" i="7"/>
  <c r="H307" i="7"/>
  <c r="H305" i="7"/>
  <c r="H304" i="7"/>
  <c r="H302" i="7"/>
  <c r="H301" i="7"/>
  <c r="H287" i="7"/>
  <c r="H285" i="7" s="1"/>
  <c r="H284" i="7"/>
  <c r="H282" i="7" s="1"/>
  <c r="H281" i="7"/>
  <c r="H279" i="7" s="1"/>
  <c r="H278" i="7"/>
  <c r="H276" i="7" s="1"/>
  <c r="H275" i="7" l="1"/>
  <c r="M628" i="3"/>
  <c r="D32" i="6" s="1"/>
  <c r="H352" i="7"/>
  <c r="H351" i="7" s="1"/>
  <c r="H336" i="7"/>
  <c r="H303" i="7"/>
  <c r="H306" i="7"/>
  <c r="H300" i="7"/>
  <c r="H343" i="7"/>
  <c r="H342" i="7" s="1"/>
  <c r="H241" i="7"/>
  <c r="H240" i="7" s="1"/>
  <c r="H239" i="7" s="1"/>
  <c r="H225" i="7"/>
  <c r="H226" i="7"/>
  <c r="H224" i="7"/>
  <c r="H217" i="7"/>
  <c r="H218" i="7"/>
  <c r="H216" i="7"/>
  <c r="H211" i="7"/>
  <c r="H189" i="7"/>
  <c r="H190" i="7"/>
  <c r="H188" i="7"/>
  <c r="H184" i="7"/>
  <c r="H183" i="7" s="1"/>
  <c r="H182" i="7"/>
  <c r="H167" i="7"/>
  <c r="H163" i="7"/>
  <c r="H164" i="7"/>
  <c r="H162" i="7"/>
  <c r="H156" i="7"/>
  <c r="H154" i="7"/>
  <c r="H153" i="7" s="1"/>
  <c r="H147" i="7"/>
  <c r="H148" i="7"/>
  <c r="H146" i="7"/>
  <c r="H144" i="7"/>
  <c r="H143" i="7"/>
  <c r="H142" i="7"/>
  <c r="H238" i="7" l="1"/>
  <c r="H161" i="7"/>
  <c r="H160" i="7" s="1"/>
  <c r="H145" i="7"/>
  <c r="H187" i="7"/>
  <c r="H186" i="7" s="1"/>
  <c r="H185" i="7" s="1"/>
  <c r="H215" i="7"/>
  <c r="H214" i="7" s="1"/>
  <c r="H213" i="7" s="1"/>
  <c r="H141" i="7"/>
  <c r="H299" i="7"/>
  <c r="H274" i="7" s="1"/>
  <c r="H223" i="7"/>
  <c r="H222" i="7" s="1"/>
  <c r="H125" i="7"/>
  <c r="H124" i="7" s="1"/>
  <c r="H123" i="7"/>
  <c r="H122" i="7" s="1"/>
  <c r="H117" i="7"/>
  <c r="H116" i="7" s="1"/>
  <c r="H113" i="7"/>
  <c r="H112" i="7" s="1"/>
  <c r="H111" i="7" s="1"/>
  <c r="H91" i="7"/>
  <c r="H92" i="7"/>
  <c r="H90" i="7"/>
  <c r="H81" i="7"/>
  <c r="H80" i="7" s="1"/>
  <c r="H66" i="7"/>
  <c r="H63" i="7" s="1"/>
  <c r="H60" i="7"/>
  <c r="H58" i="7" s="1"/>
  <c r="H56" i="7"/>
  <c r="H55" i="7"/>
  <c r="H53" i="7"/>
  <c r="H50" i="7" s="1"/>
  <c r="H42" i="7"/>
  <c r="H40" i="7" s="1"/>
  <c r="H31" i="7"/>
  <c r="H30" i="7" s="1"/>
  <c r="H29" i="7"/>
  <c r="H28" i="7" s="1"/>
  <c r="H27" i="7"/>
  <c r="H26" i="7"/>
  <c r="H196" i="7"/>
  <c r="H195" i="7" s="1"/>
  <c r="H62" i="7" l="1"/>
  <c r="H61" i="7" s="1"/>
  <c r="H140" i="7"/>
  <c r="H139" i="7" s="1"/>
  <c r="H138" i="7"/>
  <c r="H136" i="7" s="1"/>
  <c r="H121" i="7"/>
  <c r="H120" i="7" s="1"/>
  <c r="H119" i="7" s="1"/>
  <c r="H110" i="7" s="1"/>
  <c r="H25" i="7"/>
  <c r="H16" i="7" s="1"/>
  <c r="H89" i="7"/>
  <c r="H135" i="7" l="1"/>
  <c r="H134" i="7" s="1"/>
  <c r="M639" i="3" l="1"/>
  <c r="D40" i="6" s="1"/>
  <c r="M640" i="3"/>
  <c r="D41" i="6" s="1"/>
  <c r="H402" i="7"/>
  <c r="H250" i="7"/>
  <c r="M641" i="3" l="1"/>
  <c r="H251" i="7"/>
  <c r="H255" i="7"/>
  <c r="H252" i="7"/>
  <c r="H256" i="7"/>
  <c r="H403" i="7"/>
  <c r="H401" i="7" s="1"/>
  <c r="H254" i="7"/>
  <c r="C48" i="2"/>
  <c r="H400" i="7" l="1"/>
  <c r="H249" i="7"/>
  <c r="H253" i="7"/>
  <c r="H169" i="7"/>
  <c r="H168" i="7"/>
  <c r="M663" i="3" l="1"/>
  <c r="M665" i="3" s="1"/>
  <c r="H248" i="7"/>
  <c r="H247" i="7" s="1"/>
  <c r="H237" i="7" s="1"/>
  <c r="H166" i="7"/>
  <c r="H165" i="7" s="1"/>
  <c r="D55" i="6" l="1"/>
  <c r="D54" i="6" s="1"/>
  <c r="M644" i="3"/>
  <c r="D43" i="6" s="1"/>
  <c r="H159" i="7"/>
  <c r="H181" i="7"/>
  <c r="H180" i="7" s="1"/>
  <c r="M670" i="3" l="1"/>
  <c r="L670" i="3"/>
  <c r="M629" i="3"/>
  <c r="D30" i="6"/>
  <c r="M647" i="3"/>
  <c r="D42" i="6"/>
  <c r="H96" i="7"/>
  <c r="H95" i="7"/>
  <c r="H47" i="7"/>
  <c r="H43" i="7" s="1"/>
  <c r="H57" i="7"/>
  <c r="H54" i="7" s="1"/>
  <c r="H94" i="7"/>
  <c r="H32" i="7" l="1"/>
  <c r="H15" i="7" s="1"/>
  <c r="M656" i="3"/>
  <c r="D50" i="6" s="1"/>
  <c r="D49" i="6"/>
  <c r="M657" i="3"/>
  <c r="H93" i="7"/>
  <c r="H88" i="7" s="1"/>
  <c r="H87" i="7" s="1"/>
  <c r="M658" i="3" l="1"/>
  <c r="D51" i="6"/>
  <c r="D48" i="6" s="1"/>
  <c r="H382" i="7"/>
  <c r="H381" i="7" s="1"/>
  <c r="H387" i="7"/>
  <c r="H386" i="7" s="1"/>
  <c r="H198" i="7"/>
  <c r="H197" i="7" s="1"/>
  <c r="H194" i="7" s="1"/>
  <c r="H373" i="7"/>
  <c r="H371" i="7" s="1"/>
  <c r="H370" i="7" l="1"/>
  <c r="M633" i="3"/>
  <c r="D35" i="6"/>
  <c r="D46" i="6"/>
  <c r="M636" i="3"/>
  <c r="D38" i="6" s="1"/>
  <c r="D37" i="6"/>
  <c r="M609" i="3"/>
  <c r="D18" i="6" s="1"/>
  <c r="C52" i="2"/>
  <c r="D36" i="6" l="1"/>
  <c r="M637" i="3"/>
  <c r="D34" i="6"/>
  <c r="M618" i="3" l="1"/>
  <c r="D25" i="6" s="1"/>
  <c r="M622" i="3"/>
  <c r="D28" i="6" s="1"/>
  <c r="M614" i="3"/>
  <c r="D22" i="6" s="1"/>
  <c r="M621" i="3"/>
  <c r="D27" i="6" s="1"/>
  <c r="M623" i="3"/>
  <c r="D29" i="6" s="1"/>
  <c r="D33" i="6"/>
  <c r="M652" i="3"/>
  <c r="H430" i="7"/>
  <c r="M613" i="3"/>
  <c r="D21" i="6" s="1"/>
  <c r="H426" i="7"/>
  <c r="H425" i="7" s="1"/>
  <c r="H424" i="7" s="1"/>
  <c r="H429" i="7"/>
  <c r="L669" i="3" l="1"/>
  <c r="M624" i="3"/>
  <c r="D26" i="6"/>
  <c r="M617" i="3"/>
  <c r="M653" i="3"/>
  <c r="D47" i="6"/>
  <c r="D44" i="6" s="1"/>
  <c r="H428" i="7"/>
  <c r="H427" i="7" s="1"/>
  <c r="H423" i="7" s="1"/>
  <c r="H422" i="7" s="1"/>
  <c r="H455" i="7" s="1"/>
  <c r="D24" i="6" l="1"/>
  <c r="D23" i="6" s="1"/>
  <c r="M619" i="3"/>
  <c r="M669" i="3"/>
  <c r="H341" i="7"/>
  <c r="H335" i="7"/>
  <c r="H331" i="7"/>
  <c r="H327" i="7" s="1"/>
  <c r="H326" i="7" s="1"/>
  <c r="H228" i="7"/>
  <c r="H227" i="7" s="1"/>
  <c r="H210" i="7"/>
  <c r="H179" i="7"/>
  <c r="H178" i="7" s="1"/>
  <c r="H155" i="7"/>
  <c r="H152" i="7"/>
  <c r="H14" i="7" l="1"/>
  <c r="H273" i="7"/>
  <c r="H193" i="7"/>
  <c r="H203" i="7"/>
  <c r="H151" i="7"/>
  <c r="H150" i="7" s="1"/>
  <c r="H221" i="7"/>
  <c r="C14" i="4"/>
  <c r="H192" i="7" l="1"/>
  <c r="H220" i="7"/>
  <c r="H109" i="7"/>
  <c r="M611" i="3" l="1"/>
  <c r="C36" i="5"/>
  <c r="H177" i="7"/>
  <c r="D20" i="6" l="1"/>
  <c r="D39" i="6" l="1"/>
  <c r="C21" i="2" l="1"/>
  <c r="C20" i="2" s="1"/>
  <c r="C13" i="2"/>
  <c r="C12" i="2" s="1"/>
  <c r="C11" i="2" l="1"/>
  <c r="C10" i="2" s="1"/>
  <c r="C33" i="5"/>
  <c r="C32" i="15" l="1"/>
  <c r="C37" i="15" s="1"/>
  <c r="C22" i="20" s="1"/>
  <c r="C35" i="5"/>
  <c r="C32" i="5" s="1"/>
  <c r="C31" i="5" s="1"/>
  <c r="C37" i="5" s="1"/>
  <c r="C25" i="8" s="1"/>
  <c r="C24" i="8" l="1"/>
  <c r="C23" i="8" s="1"/>
  <c r="C22" i="8" s="1"/>
  <c r="C21" i="20"/>
  <c r="C20" i="20" s="1"/>
  <c r="C19" i="20" s="1"/>
  <c r="H369" i="7"/>
  <c r="H368" i="7" s="1"/>
  <c r="H367" i="7" s="1"/>
  <c r="H366" i="7" s="1"/>
  <c r="C18" i="20" l="1"/>
  <c r="C13" i="20" s="1"/>
  <c r="H365" i="7"/>
  <c r="M608" i="3"/>
  <c r="L667" i="3"/>
  <c r="L668" i="3" l="1"/>
  <c r="L672" i="3"/>
  <c r="H451" i="7"/>
  <c r="H457" i="7" s="1"/>
  <c r="H456" i="7" s="1"/>
  <c r="H13" i="7"/>
  <c r="J13" i="7" s="1"/>
  <c r="C28" i="8"/>
  <c r="C27" i="8" s="1"/>
  <c r="C26" i="8" s="1"/>
  <c r="C21" i="8" s="1"/>
  <c r="C14" i="8" s="1"/>
  <c r="M615" i="3"/>
  <c r="M667" i="3" s="1"/>
  <c r="D17" i="6"/>
  <c r="D16" i="6" s="1"/>
  <c r="D14" i="6" s="1"/>
  <c r="H453" i="7" l="1"/>
  <c r="F14" i="6"/>
  <c r="M672" i="3"/>
  <c r="M668" i="3"/>
</calcChain>
</file>

<file path=xl/sharedStrings.xml><?xml version="1.0" encoding="utf-8"?>
<sst xmlns="http://schemas.openxmlformats.org/spreadsheetml/2006/main" count="11714" uniqueCount="831">
  <si>
    <t>Апшеронский район от___________№___</t>
  </si>
  <si>
    <t>Код бюджетной классификации Российской Федерации</t>
  </si>
  <si>
    <t>главного администратора доходов и источников финансирования дефицита районного бюджета</t>
  </si>
  <si>
    <t>доходов и источников финансирования дефицита районного бюджета</t>
  </si>
  <si>
    <t>Администрация муниципального образования Апшеронский район</t>
  </si>
  <si>
    <t>1 08 07150 01 0000 110</t>
  </si>
  <si>
    <t>1 13 02995 05 0000 130</t>
  </si>
  <si>
    <t>Прочие доходы от компенсации затрат бюджетов муниципальных районов*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</si>
  <si>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</si>
  <si>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 выгодоприобретателями выступают получатели средств  бюджетов муниципальных районов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</si>
  <si>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</si>
  <si>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</si>
  <si>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</si>
  <si>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902</t>
  </si>
  <si>
    <t>1 17 05050 05 0000 180</t>
  </si>
  <si>
    <t>Прочие неналоговые доходы бюджетов муниципальных районов*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</si>
  <si>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</si>
  <si>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</si>
  <si>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</si>
  <si>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</si>
  <si>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</si>
  <si>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Получение кредитов от кредитных организаций  бюджетами муниципальных районов в валюте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</si>
  <si>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</si>
  <si>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</si>
  <si>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</si>
  <si>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</si>
  <si>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</si>
  <si>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</si>
  <si>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</si>
  <si>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</si>
  <si>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</si>
  <si>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</si>
  <si>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</si>
  <si>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</si>
  <si>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</si>
  <si>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</si>
  <si>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</si>
  <si>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</si>
  <si>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</si>
  <si>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</si>
  <si>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</si>
  <si>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</si>
  <si>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</si>
  <si>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</si>
  <si>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</si>
  <si>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</si>
  <si>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</si>
  <si>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</si>
  <si>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</si>
  <si>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</si>
  <si>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</si>
  <si>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</si>
  <si>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</si>
  <si>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</si>
  <si>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Управление образования администрации муниципального образования Апшеронский район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</si>
  <si>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</si>
  <si>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</si>
  <si>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</si>
  <si>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</si>
  <si>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</si>
  <si>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</si>
  <si>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</si>
  <si>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</si>
  <si>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</si>
  <si>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</si>
  <si>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</si>
  <si>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</si>
  <si>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</si>
  <si>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</si>
  <si>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</si>
  <si>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</si>
  <si>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</si>
  <si>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</si>
  <si>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</si>
  <si>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</si>
  <si>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</si>
  <si>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</si>
  <si>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</si>
  <si>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</si>
  <si>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</si>
  <si>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</si>
  <si>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</si>
  <si>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</si>
  <si>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</si>
  <si>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</si>
  <si>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</si>
  <si>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</si>
  <si>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</si>
  <si>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</si>
  <si>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</si>
  <si>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</si>
  <si>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</si>
  <si>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</si>
  <si>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</si>
  <si>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</si>
  <si>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</si>
  <si>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</si>
  <si>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</si>
  <si>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</si>
  <si>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</si>
  <si>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</si>
  <si>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</si>
  <si>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</si>
  <si>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</si>
  <si>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</si>
  <si>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</si>
  <si>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</si>
  <si>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</si>
  <si>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</si>
  <si>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</si>
  <si>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</si>
  <si>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</si>
  <si>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</si>
  <si>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</si>
  <si>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</si>
  <si>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</si>
  <si>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</si>
  <si>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</si>
  <si>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</si>
  <si>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</si>
  <si>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</si>
  <si>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</si>
  <si>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</si>
  <si>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</si>
  <si>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Непрограммные направления деятельности органов местного самоуправления</t>
  </si>
  <si>
    <t>99</t>
  </si>
  <si>
    <t>Финансовое обеспечение непредвиденных расходов</t>
  </si>
  <si>
    <t>Резервные фонды местных администраций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</si>
  <si>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</si>
  <si>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</si>
  <si>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</si>
  <si>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</si>
  <si>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</si>
  <si>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</si>
  <si>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</si>
  <si>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</si>
  <si>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</si>
  <si>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</si>
  <si>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</si>
  <si>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</si>
  <si>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</si>
  <si>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</si>
  <si>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</si>
  <si>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</si>
  <si>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</si>
  <si>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</si>
  <si>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</si>
  <si>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</si>
  <si>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</si>
  <si>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</si>
  <si>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</si>
  <si>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</si>
  <si>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</si>
  <si>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</si>
  <si>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</si>
  <si>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</si>
  <si>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</si>
  <si>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</si>
  <si>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60090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</si>
  <si>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</si>
  <si>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</si>
  <si>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</si>
  <si>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</si>
  <si>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</si>
  <si>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</si>
  <si>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</si>
  <si>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</si>
  <si>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</si>
  <si>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</si>
  <si>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</si>
  <si>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</si>
  <si>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</si>
  <si>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</si>
  <si>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</si>
  <si>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</si>
  <si>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</si>
  <si>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</si>
  <si>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</si>
  <si>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</si>
  <si>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</si>
  <si>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</si>
  <si>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</si>
  <si>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</si>
  <si>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</si>
  <si>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</si>
  <si>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</si>
  <si>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</si>
  <si>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</si>
  <si>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</si>
  <si>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</si>
  <si>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</si>
  <si>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№п/п</t>
  </si>
  <si>
    <t>Наименование поселений</t>
  </si>
  <si>
    <t>в том числе на решение вопросов местного значения</t>
  </si>
  <si>
    <t>комплектова-ние библиотеч-ных фондов библиотек поселения</t>
  </si>
  <si>
    <t>осуществление внешнего муниципаль-ного финансового контроля</t>
  </si>
  <si>
    <t xml:space="preserve">  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</si>
  <si>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</si>
  <si>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</si>
  <si>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</si>
  <si>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</si>
  <si>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Председатель Контрольно-счетной палаты муниципального образования</t>
  </si>
  <si>
    <t>Непрограммные расходы в рамках обеспечения деятельности Контрольно-счетной палаты муниципального образования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</si>
  <si>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</si>
  <si>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</si>
  <si>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</si>
  <si>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</si>
  <si>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</si>
  <si>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</si>
  <si>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</si>
  <si>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</si>
  <si>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</si>
  <si>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</si>
  <si>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</si>
  <si>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</si>
  <si>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</si>
  <si>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</si>
  <si>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</si>
  <si>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</si>
  <si>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</si>
  <si>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</si>
  <si>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</si>
  <si>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</si>
  <si>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1 11 07015 05 0000 120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</si>
  <si>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</si>
  <si>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</si>
  <si>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</si>
  <si>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</si>
  <si>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</si>
  <si>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</si>
  <si>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</si>
  <si>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</si>
  <si>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</si>
  <si>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</si>
  <si>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</si>
  <si>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</si>
  <si>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</si>
  <si>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</si>
  <si>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</si>
  <si>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</si>
  <si>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</si>
  <si>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</si>
  <si>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</si>
  <si>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</si>
  <si>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</si>
  <si>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</si>
  <si>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</si>
  <si>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</si>
  <si>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</si>
  <si>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</si>
  <si>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</si>
  <si>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</si>
  <si>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</si>
  <si>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</si>
  <si>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</si>
  <si>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</si>
  <si>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</si>
  <si>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</si>
  <si>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</si>
  <si>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</si>
  <si>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</si>
  <si>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</si>
  <si>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</si>
  <si>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</si>
  <si>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</si>
  <si>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</si>
  <si>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</si>
  <si>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</si>
  <si>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</si>
  <si>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</si>
  <si>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</si>
  <si>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</si>
  <si>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</si>
  <si>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</si>
  <si>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</si>
  <si>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</si>
  <si>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</si>
  <si>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</si>
  <si>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</si>
  <si>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</si>
  <si>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</si>
  <si>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</si>
  <si>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</si>
  <si>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</si>
  <si>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</si>
  <si>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</si>
  <si>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</si>
  <si>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</si>
  <si>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Мероприятия по профилактике детского дорожно-транспортного травматизма в муниципальных образовательных учреждениях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</si>
  <si>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</si>
  <si>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</si>
  <si>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</si>
  <si>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</si>
  <si>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</si>
  <si>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</si>
  <si>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</si>
  <si>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</si>
  <si>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</si>
  <si>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</si>
  <si>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</si>
  <si>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</si>
  <si>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</si>
  <si>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</si>
  <si>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</si>
  <si>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</si>
  <si>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</si>
  <si>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</si>
  <si>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</si>
  <si>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</si>
  <si>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</si>
  <si>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</si>
  <si>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</si>
  <si>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</si>
  <si>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</si>
  <si>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</si>
  <si>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</si>
  <si>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</si>
  <si>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</si>
  <si>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</si>
  <si>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</si>
  <si>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</si>
  <si>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</si>
  <si>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</si>
  <si>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</si>
  <si>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</si>
  <si>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</si>
  <si>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</si>
  <si>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</si>
  <si>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</si>
  <si>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</si>
  <si>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</si>
  <si>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</si>
  <si>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</si>
  <si>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</si>
  <si>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</si>
  <si>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</si>
  <si>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</si>
  <si>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</si>
  <si>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</si>
  <si>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</si>
  <si>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</si>
  <si>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</si>
  <si>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</si>
  <si>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</si>
  <si>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</si>
  <si>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</si>
  <si>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</si>
  <si>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</si>
  <si>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</si>
  <si>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привлечение</t>
  </si>
  <si>
    <t>погашение основной суммы долга</t>
  </si>
  <si>
    <t>Бюджетные кредиты,  привлеченные в бюджет  муниципального образования  Апшеронский район от других  бюджетов бюджетной системы Российской Федерации, всего</t>
  </si>
  <si>
    <t xml:space="preserve">Программа муниципальных гарантий муниципального образования Апшеронский район  </t>
  </si>
  <si>
    <t>Категории принципалов</t>
  </si>
  <si>
    <t>Объем гарантий,  тыс.рублей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</si>
  <si>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</si>
  <si>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</si>
  <si>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</si>
  <si>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</si>
  <si>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</si>
  <si>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</si>
  <si>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 xml:space="preserve">          Объем, тыс.рублей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</si>
  <si>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</si>
  <si>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</si>
  <si>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</si>
  <si>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</si>
  <si>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</si>
  <si>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</si>
  <si>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</si>
  <si>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</si>
  <si>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</si>
  <si>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</si>
  <si>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925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</si>
  <si>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</si>
  <si>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</si>
  <si>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</si>
  <si>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</si>
  <si>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</si>
  <si>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</si>
  <si>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</si>
  <si>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</si>
  <si>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10220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</si>
  <si>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</si>
  <si>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</si>
  <si>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</si>
  <si>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</si>
  <si>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</si>
  <si>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</si>
  <si>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</si>
  <si>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</si>
  <si>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</si>
  <si>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</si>
  <si>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</si>
  <si>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</si>
  <si>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</si>
  <si>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</si>
  <si>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</si>
  <si>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</si>
  <si>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</si>
  <si>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</si>
  <si>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</si>
  <si>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</si>
  <si>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</si>
  <si>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</si>
  <si>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</si>
  <si>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</si>
  <si>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</si>
  <si>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</si>
  <si>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</si>
  <si>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</si>
  <si>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</si>
  <si>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</si>
  <si>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</si>
  <si>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</si>
  <si>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</si>
  <si>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</si>
  <si>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</si>
  <si>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921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</si>
  <si>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</si>
  <si>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</si>
  <si>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</si>
  <si>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</si>
  <si>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</si>
  <si>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</si>
  <si>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</si>
  <si>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</si>
  <si>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</si>
  <si>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</si>
  <si>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</si>
  <si>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</si>
  <si>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</si>
  <si>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</si>
  <si>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 xml:space="preserve">Государственная пошлина  за выдачу разрешения на установку рекламной конструкции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</si>
  <si>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</si>
  <si>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01 02 00 00 05 0000 710</t>
  </si>
  <si>
    <t>1 11 02085 05 0000 120</t>
  </si>
  <si>
    <t>1 11 05075 05 0000 120</t>
  </si>
  <si>
    <t>1 14 02053 05 0000 440</t>
  </si>
  <si>
    <t xml:space="preserve">* В том числе по видам и подвидам доходов.  </t>
  </si>
  <si>
    <t xml:space="preserve">Наименование </t>
  </si>
  <si>
    <t>Перечень главных администраторов доходов районного бюджета и закрепляемые за ними                                                                                                                                                                                                                              виды (подвиды) доходов районного бюджета и перечень главных администраторов                                                                                                                                                                                                                                                     источников финансирования дефицита районного бюджета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</si>
  <si>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</si>
  <si>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</si>
  <si>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</si>
  <si>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</si>
  <si>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</si>
  <si>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</si>
  <si>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</si>
  <si>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</si>
  <si>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</si>
  <si>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</si>
  <si>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</si>
  <si>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</si>
  <si>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</si>
  <si>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 xml:space="preserve"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 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</si>
  <si>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</si>
  <si>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</si>
  <si>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</si>
  <si>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</si>
  <si>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</si>
  <si>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</si>
  <si>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</si>
  <si>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</si>
  <si>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</si>
  <si>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</si>
  <si>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</si>
  <si>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</si>
  <si>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</si>
  <si>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</si>
  <si>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</si>
  <si>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</si>
  <si>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</si>
  <si>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</si>
  <si>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</si>
  <si>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</si>
  <si>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>11430</t>
  </si>
  <si>
    <t>Другие вопросы в области жилищно-коммунального хозяйства</t>
  </si>
  <si>
    <t>Реализация полномочий органов местного самоуправления в соответствии с жилищным законодательством</t>
  </si>
  <si>
    <t>11870</t>
  </si>
  <si>
    <t>0505</t>
  </si>
  <si>
    <t>Иные межбюджетные трансферты бюджетам поселений</t>
  </si>
  <si>
    <t>Муниципальная программа муниципального образования Апшеронский район «Развитие топливно-энергетического комплекса и жилищно-коммунального хозяйства»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</si>
  <si>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</si>
  <si>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</si>
  <si>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</si>
  <si>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</si>
  <si>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11110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</si>
  <si>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</si>
  <si>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</si>
  <si>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</si>
  <si>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</si>
  <si>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</si>
  <si>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</si>
  <si>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</si>
  <si>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</si>
  <si>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</si>
  <si>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</si>
  <si>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</si>
  <si>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</si>
  <si>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</si>
  <si>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</si>
  <si>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</si>
  <si>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</si>
  <si>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</si>
  <si>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</si>
  <si>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60590</t>
  </si>
  <si>
    <t>Реализация мероприятий государственной программы Краснодарского края "Дети Кубани"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</si>
  <si>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</si>
  <si>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</si>
  <si>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</si>
  <si>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</si>
  <si>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</si>
  <si>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</si>
  <si>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</si>
  <si>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</si>
  <si>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2019 год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</si>
  <si>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</si>
  <si>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</si>
  <si>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</si>
  <si>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</si>
  <si>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</si>
  <si>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</si>
  <si>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</si>
  <si>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</si>
  <si>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</si>
  <si>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</si>
  <si>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</si>
  <si>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 xml:space="preserve">Выплата пенсии за выслугу лет лицам, замещавшим муниципальные должности и муниципальные должности муниципальной службы в органах местного самоуправления 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</si>
  <si>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</si>
  <si>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</si>
  <si>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</si>
  <si>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</si>
  <si>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</si>
  <si>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</si>
  <si>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</si>
  <si>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</si>
  <si>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</si>
  <si>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</si>
  <si>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</si>
  <si>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</si>
  <si>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</si>
  <si>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Содействие развитию спортивных организаций</t>
  </si>
  <si>
    <t>Меры государственной поддержки лиц, замещавших муниципальные должности и муниципальные должности муниципальной службы муниципального образования Апшеронский район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</si>
  <si>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</si>
  <si>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</si>
  <si>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61020</t>
  </si>
  <si>
    <t>Условно утвержденные расходы</t>
  </si>
  <si>
    <t>% УУР</t>
  </si>
  <si>
    <t>УУР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</si>
  <si>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</si>
  <si>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</si>
  <si>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</si>
  <si>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 xml:space="preserve">Денежные взыскания  (штрафы)  за нарушение   условий    договоров (соглашений)  о   предоставлении бюджетных   кредитов   за   счет средств  бюджетов  муниципальных районов
</t>
  </si>
  <si>
    <t>1 14 06025 05 0000 430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</si>
  <si>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</si>
  <si>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</si>
  <si>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</si>
  <si>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 xml:space="preserve">Программа муниципальных заимствований муниципального </t>
  </si>
  <si>
    <t>Вид заимствований</t>
  </si>
  <si>
    <t xml:space="preserve">  Направление (цель)       гарантирова-ния</t>
  </si>
  <si>
    <t>обеспечение исполнения обязательств принципала перед гарантом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</si>
  <si>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</si>
  <si>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</si>
  <si>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</si>
  <si>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</si>
  <si>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</si>
  <si>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</si>
  <si>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</si>
  <si>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</si>
  <si>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 учетом изменений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</si>
  <si>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</si>
  <si>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</si>
  <si>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</si>
  <si>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</si>
  <si>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</si>
  <si>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20030</t>
  </si>
  <si>
    <t>Осуществление части полномочий по исполнению бюджета поселения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</si>
  <si>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</si>
  <si>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</si>
  <si>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</si>
  <si>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</si>
  <si>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Прочие обязательства муниципального образования</t>
  </si>
  <si>
    <t>Субсидия бюджетам муниципальных районов на поддержку отрасли культуры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</si>
  <si>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</si>
  <si>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</si>
  <si>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</si>
  <si>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</si>
  <si>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</si>
  <si>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</si>
  <si>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</si>
  <si>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</si>
  <si>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2020 год</t>
  </si>
  <si>
    <t xml:space="preserve">                                Приложение № 6 к решению Совета муниципального образования</t>
  </si>
  <si>
    <t>исполнение бюджета поселения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</si>
  <si>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</si>
  <si>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</si>
  <si>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адм.</t>
  </si>
  <si>
    <t xml:space="preserve">субвенции на осуществление отдельных государственных полномочий по строительству, в том числе в рамках реализации региональной программы "Модернизация здравоохранения Краснодарского края на 2011-2017 годы",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</t>
  </si>
  <si>
    <t>УИО</t>
  </si>
  <si>
    <t>РУО</t>
  </si>
  <si>
    <t>ОВСиД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</si>
  <si>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</si>
  <si>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</si>
  <si>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
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</si>
  <si>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</si>
  <si>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</si>
  <si>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изменения</t>
  </si>
  <si>
    <t>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</si>
  <si>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</si>
  <si>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</si>
  <si>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</si>
  <si>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</si>
  <si>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</si>
  <si>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</si>
  <si>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</si>
  <si>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</si>
  <si>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</si>
  <si>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Иные межбюджетные трансферты на реализацию полномочий органов местного самоуправления в сфере архитектуры и градостроительства</t>
  </si>
  <si>
    <t>09020</t>
  </si>
  <si>
    <t>Осуществление муниципальными учреждениями капитального ремонта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</si>
  <si>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</si>
  <si>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</si>
  <si>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</si>
  <si>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</si>
  <si>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</si>
  <si>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</si>
  <si>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</si>
  <si>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</si>
  <si>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</si>
  <si>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</si>
  <si>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</si>
  <si>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</si>
  <si>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</si>
  <si>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</si>
  <si>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</si>
  <si>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</si>
  <si>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</si>
  <si>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62730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</si>
  <si>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</si>
  <si>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</si>
  <si>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</si>
  <si>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</si>
  <si>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S0590</t>
  </si>
  <si>
    <t>О.В.Чуйко</t>
  </si>
  <si>
    <t>0105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</si>
  <si>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</si>
  <si>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</si>
  <si>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</si>
  <si>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</si>
  <si>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</si>
  <si>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</si>
  <si>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</si>
  <si>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</si>
  <si>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</si>
  <si>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</si>
  <si>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</si>
  <si>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</si>
  <si>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</si>
  <si>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</si>
  <si>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</si>
  <si>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</si>
  <si>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</si>
  <si>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</si>
  <si>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</si>
  <si>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</si>
  <si>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</si>
  <si>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</si>
  <si>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</si>
  <si>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</si>
  <si>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</si>
  <si>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</si>
  <si>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</si>
  <si>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</si>
  <si>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</si>
  <si>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</si>
  <si>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</si>
  <si>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</si>
  <si>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</si>
  <si>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</si>
  <si>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</si>
  <si>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</si>
  <si>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</si>
  <si>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</si>
  <si>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</si>
  <si>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</si>
  <si>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</si>
  <si>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</si>
  <si>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</si>
  <si>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</si>
  <si>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</si>
  <si>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</si>
  <si>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</si>
  <si>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</si>
  <si>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</si>
  <si>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</si>
  <si>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</si>
  <si>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</si>
  <si>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</si>
  <si>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</si>
  <si>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60740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</si>
  <si>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</si>
  <si>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</si>
  <si>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</si>
  <si>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</si>
  <si>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</si>
  <si>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</si>
  <si>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</si>
  <si>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</si>
  <si>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</si>
  <si>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</si>
  <si>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</si>
  <si>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</si>
  <si>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</si>
  <si>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2 02 20051 05 0000 150</t>
  </si>
  <si>
    <t>2 02 30029 05 0000 150</t>
  </si>
  <si>
    <t>2 02 25519 05 0000 150</t>
  </si>
  <si>
    <t>2 02 30027 05 0000 150</t>
  </si>
  <si>
    <t>Объем поступлений доходов в районный бюджет по кодам видов (подвидов) доходов на 2019 год</t>
  </si>
  <si>
    <t>Объем поступлений доходов в районный бюджет по кодам видов (подвидов) доходов на 2020 и 2021 годы</t>
  </si>
  <si>
    <t>2021 год</t>
  </si>
  <si>
    <t>Безвозмездные поступления из краевого бюджета в 2019 году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</si>
  <si>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</si>
  <si>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</si>
  <si>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</si>
  <si>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</si>
  <si>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</si>
  <si>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</si>
  <si>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</si>
  <si>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</si>
  <si>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</si>
  <si>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2 18 60010 05 0000 150</t>
  </si>
  <si>
    <t>2 18 05010 05 0000 150</t>
  </si>
  <si>
    <t>2 19 60010 05 0000 150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</si>
  <si>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</si>
  <si>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</si>
  <si>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</si>
  <si>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муниципальные дошкольные образовательные организации, общеобразовательные организации, организации дополнительного образования (в области образования)</t>
  </si>
  <si>
    <t>Безвозмездные поступления из бюджетов поселений на осуществление части полномочий по решению вопросов местного значения в соответствии с заключенными соглашениями в 2019 году</t>
  </si>
  <si>
    <t>Безвозмездные поступления из краевого бюджета в 2020 и 2021 годах</t>
  </si>
  <si>
    <t xml:space="preserve">субсидии на организацию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</t>
  </si>
  <si>
    <t>Доходы от оказания платных услуг и компенсации затрат государства*</t>
  </si>
  <si>
    <t>2 07 05010 05 0000 150</t>
  </si>
  <si>
    <t>2 07 05020 05 0000 150</t>
  </si>
  <si>
    <t>2 07 05030 05 0000 150</t>
  </si>
  <si>
    <t>2 08 05000 05 0000 150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</si>
  <si>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</si>
  <si>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</si>
  <si>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2019 год и на плановый период 2020 и 2021 годов</t>
  </si>
  <si>
    <t>(процентов)</t>
  </si>
  <si>
    <t>Доходы от оказания платных услуг и компенсации затрат государства</t>
  </si>
  <si>
    <t>классификации расходов бюджетов на 2019 год</t>
  </si>
  <si>
    <t>классификации расходов бюджетов на 2020 и 2021 годы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</si>
  <si>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2019 год</t>
  </si>
  <si>
    <t xml:space="preserve">                                Приложение № 11 к решению Совета муниципального образования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</si>
  <si>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и 2021 годы</t>
  </si>
  <si>
    <t>Ведомственная структура расходов районного бюджета на 2019 год</t>
  </si>
  <si>
    <t xml:space="preserve">                                Приложение № 12 к решению Совета муниципального образования</t>
  </si>
  <si>
    <t>Ведомственная структура расходов районного бюджета на 2020 и 2021 годы</t>
  </si>
  <si>
    <t xml:space="preserve">                                Приложение № 14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</si>
  <si>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2019 год</t>
  </si>
  <si>
    <t xml:space="preserve">                                Приложение № 15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</si>
  <si>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2020 и 2021 годы</t>
  </si>
  <si>
    <t xml:space="preserve">                                Приложение № 16 к решению Совета муниципального образования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</si>
  <si>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2019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</si>
  <si>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2020 и 2021 годы</t>
  </si>
  <si>
    <t>Объем и распределение                                                                                                                                   между поселениями дотаций на выравнивание бюджетной обеспеченности поселений на 2019 год</t>
  </si>
  <si>
    <t>Приложение № 19 к решению Совета муниципального образования</t>
  </si>
  <si>
    <t>Объем и распределение                                                                                                        между поселениями дотаций на выравнивание бюджетной обеспеченности поселений на 2020 и 2021 годы</t>
  </si>
  <si>
    <t xml:space="preserve">                                Приложение № 20 к решению Совета муниципального образования</t>
  </si>
  <si>
    <t>образования Апшеронский  район на 2019 год и на плановый период 2020 и 2021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</si>
  <si>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район на 2019 год</t>
    </r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</si>
  <si>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 район на 2020 и 2021 годы</t>
    </r>
  </si>
  <si>
    <t>Приложение № 21 к решению Совета муниципального образования</t>
  </si>
  <si>
    <t>в валюте Российской Федерации на 2019 год и на плановый период 2020 и 2021 годов</t>
  </si>
  <si>
    <t>Раздел 1. Перечень подлежащих предоставлению муниципальных гарантий муниципального образования Апшеронский район в 2019 году и в плановом периоде 2020 и 2021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</si>
  <si>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случаям, в 2019 году и в плановом периоде 2020 и 2021 годов</t>
  </si>
  <si>
    <t xml:space="preserve">Департамент потребительской сферы и регулирования рынка алкоголя Краснодарского края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</si>
  <si>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</si>
  <si>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экономики Краснодарского края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</si>
  <si>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</si>
  <si>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</si>
  <si>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Министерство сельского хозяйства и перерабатывающей промышленности Краснодарского края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</si>
  <si>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</si>
  <si>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 xml:space="preserve">Департамент имущественных отношений Краснодарского края </t>
  </si>
  <si>
    <t>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</si>
  <si>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 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</si>
  <si>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</si>
  <si>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</si>
  <si>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</si>
  <si>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</si>
  <si>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</si>
  <si>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</si>
  <si>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</si>
  <si>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</si>
  <si>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</si>
  <si>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</si>
  <si>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</si>
  <si>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</si>
  <si>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</si>
  <si>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</si>
  <si>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</si>
  <si>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</si>
  <si>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</si>
  <si>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</si>
  <si>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</si>
  <si>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</si>
  <si>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</si>
  <si>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</si>
  <si>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7 к решению Совета муниципального образования</t>
  </si>
  <si>
    <t xml:space="preserve">За счет источников финансирования дефицита районного бюджета, всего   </t>
  </si>
  <si>
    <t>10700</t>
  </si>
  <si>
    <t>Осуществление переданных государственных полномочий по строительству и реконструкции объектов здравоохранения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</si>
  <si>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</si>
  <si>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</si>
  <si>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2 02 40000 00 0000 150</t>
  </si>
  <si>
    <t>Меры социальной поддержки отдельным категориям работников здравоохранения</t>
  </si>
  <si>
    <t>Пособия, компенсации, меры социальной поддержки по публичным нормативным обязательствам</t>
  </si>
  <si>
    <t xml:space="preserve">Компенсация за наём жилых помещений отдельным категориям работников, являющихся работниками учреждений здравоохранения </t>
  </si>
  <si>
    <t>10130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</si>
  <si>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</si>
  <si>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до изменений (скрыть)</t>
  </si>
  <si>
    <t>Апшеронский район от 27.12.2018 № 286</t>
  </si>
  <si>
    <t>11860</t>
  </si>
  <si>
    <t>Содержание муниципального архива</t>
  </si>
  <si>
    <t>С0820</t>
  </si>
  <si>
    <t xml:space="preserve">                                Приложение № 7 к решению Совета муниципального образования</t>
  </si>
  <si>
    <t>00400</t>
  </si>
  <si>
    <t>Мероприятия по организации отдыха детей в каникулярное время</t>
  </si>
  <si>
    <t>10860</t>
  </si>
  <si>
    <t>Приобретение движимого муниципального имущества</t>
  </si>
  <si>
    <t>Реализация мероприятий муниципальной программы "Управление муниципальным имуществом"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</si>
</sst>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_ ;[Red]\-0.0\ "/>
    <numFmt numFmtId="168" formatCode="#,##0.00000"/>
    <numFmt numFmtId="169" formatCode="0.000000"/>
    <numFmt numFmtId="170" formatCode="0.00000_ ;[Red]\-0.00000\ "/>
    <numFmt numFmtId="171" formatCode="_-* #,##0.00000_р_._-;\-* #,##0.00000_р_._-;_-* &quot;-&quot;?????_р_._-;_-@_-"/>
    <numFmt numFmtId="172" formatCode="0.000"/>
    <numFmt numFmtId="173" formatCode="#,##0.0_ ;\-#,##0.0\ "/>
    <numFmt numFmtId="174" formatCode="0_ ;[Red]\-0\ "/>
  </numFmts>
  <fonts count="32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sz val="11"/>
      <color rgb="FFFF0000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66"/>
      <name val="Times New Roman"/>
      <family val="1"/>
    </font>
    <font>
      <b/>
      <sz val="16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41" fontId="21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</cellStyleXfs>
  <cellXfs count="1091">
    <xf numFmtId="0" fontId="0" fillId="0" borderId="0" xfId="0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Fill="1"/>
    <xf numFmtId="1" fontId="1" fillId="0" borderId="1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7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0" fontId="1" fillId="0" borderId="0" xfId="7" applyFont="1" applyFill="1" applyBorder="1"/>
    <xf numFmtId="0" fontId="1" fillId="0" borderId="0" xfId="7" applyFont="1" applyFill="1"/>
    <xf numFmtId="1" fontId="1" fillId="0" borderId="0" xfId="7" applyNumberFormat="1" applyFont="1" applyFill="1"/>
    <xf numFmtId="0" fontId="1" fillId="0" borderId="1" xfId="7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/>
    </xf>
    <xf numFmtId="0" fontId="13" fillId="0" borderId="0" xfId="3" applyFont="1" applyFill="1"/>
    <xf numFmtId="0" fontId="1" fillId="0" borderId="0" xfId="3" applyFont="1" applyFill="1"/>
    <xf numFmtId="166" fontId="13" fillId="0" borderId="0" xfId="3" applyNumberFormat="1" applyFont="1" applyFill="1"/>
    <xf numFmtId="0" fontId="1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/>
    <xf numFmtId="0" fontId="1" fillId="0" borderId="1" xfId="3" applyFont="1" applyFill="1" applyBorder="1" applyAlignment="1">
      <alignment horizontal="left"/>
    </xf>
    <xf numFmtId="164" fontId="1" fillId="0" borderId="1" xfId="3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164" fontId="2" fillId="0" borderId="1" xfId="3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3" applyNumberFormat="1" applyFont="1" applyFill="1" applyBorder="1" applyAlignment="1">
      <alignment horizontal="right" wrapText="1"/>
    </xf>
    <xf numFmtId="164" fontId="13" fillId="0" borderId="0" xfId="3" applyNumberFormat="1" applyFont="1" applyFill="1"/>
    <xf numFmtId="0" fontId="14" fillId="0" borderId="0" xfId="3" applyFont="1" applyFill="1"/>
    <xf numFmtId="164" fontId="4" fillId="0" borderId="1" xfId="3" applyNumberFormat="1" applyFont="1" applyFill="1" applyBorder="1" applyAlignment="1">
      <alignment horizontal="right" wrapText="1"/>
    </xf>
    <xf numFmtId="49" fontId="3" fillId="0" borderId="1" xfId="9" applyNumberFormat="1" applyFont="1" applyFill="1" applyBorder="1" applyAlignment="1">
      <alignment wrapText="1"/>
    </xf>
    <xf numFmtId="49" fontId="1" fillId="0" borderId="1" xfId="7" applyNumberFormat="1" applyFont="1" applyFill="1" applyBorder="1" applyAlignment="1">
      <alignment horizontal="left" wrapText="1"/>
    </xf>
    <xf numFmtId="164" fontId="2" fillId="0" borderId="1" xfId="3" applyNumberFormat="1" applyFont="1" applyFill="1" applyBorder="1" applyAlignment="1"/>
    <xf numFmtId="164" fontId="1" fillId="0" borderId="1" xfId="3" applyNumberFormat="1" applyFont="1" applyFill="1" applyBorder="1" applyAlignment="1"/>
    <xf numFmtId="166" fontId="1" fillId="0" borderId="0" xfId="7" applyNumberFormat="1" applyFont="1" applyFill="1" applyAlignment="1">
      <alignment horizontal="right"/>
    </xf>
    <xf numFmtId="0" fontId="8" fillId="0" borderId="0" xfId="7" applyFont="1" applyFill="1" applyAlignment="1">
      <alignment horizontal="center"/>
    </xf>
    <xf numFmtId="49" fontId="8" fillId="0" borderId="0" xfId="7" applyNumberFormat="1" applyFont="1" applyFill="1" applyAlignment="1">
      <alignment vertical="top" wrapText="1"/>
    </xf>
    <xf numFmtId="164" fontId="8" fillId="0" borderId="0" xfId="7" applyNumberFormat="1" applyFont="1" applyFill="1" applyAlignment="1">
      <alignment horizontal="center"/>
    </xf>
    <xf numFmtId="0" fontId="8" fillId="0" borderId="0" xfId="7" applyFont="1" applyFill="1"/>
    <xf numFmtId="49" fontId="8" fillId="0" borderId="0" xfId="7" applyNumberFormat="1" applyFont="1" applyFill="1" applyAlignment="1">
      <alignment horizontal="center"/>
    </xf>
    <xf numFmtId="164" fontId="8" fillId="0" borderId="0" xfId="7" applyNumberFormat="1" applyFont="1" applyFill="1"/>
    <xf numFmtId="166" fontId="8" fillId="0" borderId="0" xfId="7" applyNumberFormat="1" applyFont="1" applyFill="1"/>
    <xf numFmtId="0" fontId="8" fillId="0" borderId="0" xfId="7" applyFont="1" applyFill="1" applyBorder="1" applyAlignment="1">
      <alignment horizontal="center" vertical="top"/>
    </xf>
    <xf numFmtId="49" fontId="15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49" fontId="1" fillId="0" borderId="1" xfId="7" applyNumberFormat="1" applyFont="1" applyFill="1" applyBorder="1" applyAlignment="1">
      <alignment horizontal="center"/>
    </xf>
    <xf numFmtId="1" fontId="1" fillId="0" borderId="1" xfId="7" applyNumberFormat="1" applyFont="1" applyFill="1" applyBorder="1" applyAlignment="1">
      <alignment horizontal="center"/>
    </xf>
    <xf numFmtId="0" fontId="10" fillId="0" borderId="0" xfId="7" applyFont="1" applyFill="1"/>
    <xf numFmtId="0" fontId="15" fillId="0" borderId="0" xfId="7" applyFont="1" applyFill="1"/>
    <xf numFmtId="0" fontId="11" fillId="0" borderId="0" xfId="7" applyFont="1" applyFill="1"/>
    <xf numFmtId="164" fontId="2" fillId="0" borderId="0" xfId="7" applyNumberFormat="1" applyFont="1" applyFill="1" applyBorder="1" applyAlignment="1"/>
    <xf numFmtId="0" fontId="17" fillId="0" borderId="0" xfId="3" applyFont="1" applyFill="1"/>
    <xf numFmtId="0" fontId="8" fillId="0" borderId="0" xfId="3" applyFont="1" applyFill="1"/>
    <xf numFmtId="168" fontId="1" fillId="0" borderId="0" xfId="7" applyNumberFormat="1" applyFont="1" applyFill="1" applyBorder="1" applyAlignment="1">
      <alignment horizontal="right"/>
    </xf>
    <xf numFmtId="166" fontId="17" fillId="0" borderId="0" xfId="3" applyNumberFormat="1" applyFont="1" applyFill="1"/>
    <xf numFmtId="169" fontId="2" fillId="0" borderId="0" xfId="3" applyNumberFormat="1" applyFont="1" applyFill="1"/>
    <xf numFmtId="0" fontId="15" fillId="0" borderId="0" xfId="3" applyFont="1" applyFill="1"/>
    <xf numFmtId="171" fontId="15" fillId="0" borderId="0" xfId="3" applyNumberFormat="1" applyFont="1" applyFill="1"/>
    <xf numFmtId="166" fontId="15" fillId="0" borderId="0" xfId="3" applyNumberFormat="1" applyFont="1" applyFill="1" applyAlignment="1">
      <alignment shrinkToFit="1"/>
    </xf>
    <xf numFmtId="1" fontId="1" fillId="0" borderId="0" xfId="7" applyNumberFormat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7" applyFont="1" applyFill="1" applyAlignment="1">
      <alignment horizontal="right"/>
    </xf>
    <xf numFmtId="0" fontId="15" fillId="0" borderId="0" xfId="0" applyFont="1" applyFill="1"/>
    <xf numFmtId="167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70" fontId="11" fillId="0" borderId="0" xfId="0" applyNumberFormat="1" applyFont="1" applyFill="1"/>
    <xf numFmtId="164" fontId="11" fillId="0" borderId="0" xfId="0" applyNumberFormat="1" applyFont="1" applyFill="1"/>
    <xf numFmtId="164" fontId="10" fillId="0" borderId="0" xfId="0" applyNumberFormat="1" applyFont="1" applyFill="1"/>
    <xf numFmtId="0" fontId="20" fillId="0" borderId="0" xfId="0" applyFont="1" applyFill="1"/>
    <xf numFmtId="166" fontId="20" fillId="0" borderId="0" xfId="0" applyNumberFormat="1" applyFont="1" applyFill="1" applyBorder="1" applyAlignment="1"/>
    <xf numFmtId="170" fontId="16" fillId="0" borderId="0" xfId="7" applyNumberFormat="1" applyFont="1" applyFill="1"/>
    <xf numFmtId="0" fontId="15" fillId="0" borderId="0" xfId="5" applyFont="1" applyFill="1"/>
    <xf numFmtId="0" fontId="10" fillId="0" borderId="0" xfId="5" applyFont="1" applyFill="1"/>
    <xf numFmtId="0" fontId="8" fillId="0" borderId="0" xfId="5" applyFont="1" applyFill="1"/>
    <xf numFmtId="0" fontId="11" fillId="0" borderId="0" xfId="5" applyFont="1" applyFill="1"/>
    <xf numFmtId="170" fontId="11" fillId="0" borderId="0" xfId="5" applyNumberFormat="1" applyFont="1" applyFill="1"/>
    <xf numFmtId="165" fontId="1" fillId="0" borderId="0" xfId="0" applyNumberFormat="1" applyFont="1" applyFill="1" applyAlignment="1">
      <alignment horizontal="right"/>
    </xf>
    <xf numFmtId="0" fontId="3" fillId="0" borderId="3" xfId="3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2" fillId="0" borderId="1" xfId="0" applyNumberFormat="1" applyFont="1" applyFill="1" applyBorder="1" applyAlignment="1">
      <alignment vertical="top" wrapText="1"/>
    </xf>
    <xf numFmtId="49" fontId="1" fillId="0" borderId="1" xfId="6" applyNumberFormat="1" applyFont="1" applyFill="1" applyBorder="1" applyAlignment="1">
      <alignment horizontal="center" vertical="top" wrapText="1"/>
    </xf>
    <xf numFmtId="49" fontId="1" fillId="0" borderId="1" xfId="6" applyNumberFormat="1" applyFont="1" applyFill="1" applyBorder="1" applyAlignment="1">
      <alignment horizontal="center" vertical="top"/>
    </xf>
    <xf numFmtId="49" fontId="1" fillId="0" borderId="9" xfId="6" applyNumberFormat="1" applyFont="1" applyFill="1" applyBorder="1" applyAlignment="1">
      <alignment horizontal="center" vertical="top"/>
    </xf>
    <xf numFmtId="49" fontId="1" fillId="0" borderId="3" xfId="6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4" applyNumberFormat="1" applyFont="1" applyFill="1" applyBorder="1" applyAlignment="1" applyProtection="1">
      <alignment horizontal="left" wrapText="1"/>
      <protection hidden="1"/>
    </xf>
    <xf numFmtId="49" fontId="1" fillId="0" borderId="1" xfId="5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6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2" fillId="0" borderId="1" xfId="5" applyNumberFormat="1" applyFont="1" applyFill="1" applyBorder="1" applyAlignment="1">
      <alignment wrapText="1"/>
    </xf>
    <xf numFmtId="49" fontId="2" fillId="0" borderId="1" xfId="5" applyNumberFormat="1" applyFont="1" applyFill="1" applyBorder="1" applyAlignment="1">
      <alignment horizontal="center" wrapText="1"/>
    </xf>
    <xf numFmtId="49" fontId="2" fillId="0" borderId="1" xfId="5" applyNumberFormat="1" applyFont="1" applyFill="1" applyBorder="1" applyAlignment="1">
      <alignment horizontal="center"/>
    </xf>
    <xf numFmtId="49" fontId="2" fillId="0" borderId="7" xfId="5" applyNumberFormat="1" applyFont="1" applyFill="1" applyBorder="1" applyAlignment="1">
      <alignment horizontal="center"/>
    </xf>
    <xf numFmtId="49" fontId="2" fillId="0" borderId="8" xfId="5" applyNumberFormat="1" applyFont="1" applyFill="1" applyBorder="1" applyAlignment="1">
      <alignment horizontal="center"/>
    </xf>
    <xf numFmtId="49" fontId="1" fillId="0" borderId="1" xfId="5" applyNumberFormat="1" applyFont="1" applyFill="1" applyBorder="1" applyAlignment="1">
      <alignment wrapText="1"/>
    </xf>
    <xf numFmtId="49" fontId="1" fillId="0" borderId="1" xfId="11" applyNumberFormat="1" applyFont="1" applyFill="1" applyBorder="1" applyAlignment="1">
      <alignment horizontal="center" wrapText="1"/>
    </xf>
    <xf numFmtId="49" fontId="1" fillId="0" borderId="1" xfId="11" applyNumberFormat="1" applyFont="1" applyFill="1" applyBorder="1" applyAlignment="1">
      <alignment horizontal="center"/>
    </xf>
    <xf numFmtId="49" fontId="1" fillId="0" borderId="1" xfId="5" applyNumberFormat="1" applyFont="1" applyFill="1" applyBorder="1" applyAlignment="1">
      <alignment horizontal="center"/>
    </xf>
    <xf numFmtId="49" fontId="1" fillId="0" borderId="9" xfId="5" applyNumberFormat="1" applyFont="1" applyFill="1" applyBorder="1" applyAlignment="1">
      <alignment horizontal="center"/>
    </xf>
    <xf numFmtId="49" fontId="1" fillId="0" borderId="3" xfId="5" applyNumberFormat="1" applyFont="1" applyFill="1" applyBorder="1" applyAlignment="1">
      <alignment horizontal="center"/>
    </xf>
    <xf numFmtId="49" fontId="1" fillId="0" borderId="6" xfId="6" applyNumberFormat="1" applyFont="1" applyFill="1" applyBorder="1" applyAlignment="1">
      <alignment horizontal="center"/>
    </xf>
    <xf numFmtId="49" fontId="1" fillId="0" borderId="7" xfId="5" applyNumberFormat="1" applyFont="1" applyFill="1" applyBorder="1" applyAlignment="1">
      <alignment horizontal="center"/>
    </xf>
    <xf numFmtId="49" fontId="1" fillId="0" borderId="8" xfId="5" applyNumberFormat="1" applyFont="1" applyFill="1" applyBorder="1" applyAlignment="1">
      <alignment horizontal="center"/>
    </xf>
    <xf numFmtId="49" fontId="1" fillId="0" borderId="2" xfId="11" applyNumberFormat="1" applyFont="1" applyFill="1" applyBorder="1" applyAlignment="1">
      <alignment horizontal="center"/>
    </xf>
    <xf numFmtId="49" fontId="1" fillId="0" borderId="2" xfId="6" applyNumberFormat="1" applyFont="1" applyFill="1" applyBorder="1" applyAlignment="1">
      <alignment horizontal="center"/>
    </xf>
    <xf numFmtId="49" fontId="1" fillId="0" borderId="3" xfId="5" applyNumberFormat="1" applyFont="1" applyFill="1" applyBorder="1" applyAlignment="1">
      <alignment horizontal="center" wrapText="1"/>
    </xf>
    <xf numFmtId="49" fontId="1" fillId="0" borderId="1" xfId="12" applyNumberFormat="1" applyFont="1" applyFill="1" applyBorder="1" applyAlignment="1">
      <alignment horizontal="center" wrapText="1"/>
    </xf>
    <xf numFmtId="49" fontId="1" fillId="0" borderId="1" xfId="12" applyNumberFormat="1" applyFont="1" applyFill="1" applyBorder="1" applyAlignment="1">
      <alignment horizontal="center"/>
    </xf>
    <xf numFmtId="49" fontId="1" fillId="0" borderId="9" xfId="12" applyNumberFormat="1" applyFont="1" applyFill="1" applyBorder="1" applyAlignment="1">
      <alignment horizontal="center"/>
    </xf>
    <xf numFmtId="49" fontId="1" fillId="0" borderId="3" xfId="12" applyNumberFormat="1" applyFont="1" applyFill="1" applyBorder="1" applyAlignment="1">
      <alignment horizontal="center"/>
    </xf>
    <xf numFmtId="49" fontId="1" fillId="0" borderId="1" xfId="6" applyNumberFormat="1" applyFont="1" applyFill="1" applyBorder="1" applyAlignment="1">
      <alignment horizontal="center" wrapText="1"/>
    </xf>
    <xf numFmtId="49" fontId="1" fillId="0" borderId="1" xfId="6" applyNumberFormat="1" applyFont="1" applyFill="1" applyBorder="1" applyAlignment="1">
      <alignment horizontal="center"/>
    </xf>
    <xf numFmtId="49" fontId="1" fillId="0" borderId="9" xfId="6" applyNumberFormat="1" applyFont="1" applyFill="1" applyBorder="1" applyAlignment="1">
      <alignment horizontal="center"/>
    </xf>
    <xf numFmtId="49" fontId="1" fillId="0" borderId="3" xfId="6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top"/>
    </xf>
    <xf numFmtId="49" fontId="4" fillId="0" borderId="9" xfId="7" applyNumberFormat="1" applyFont="1" applyFill="1" applyBorder="1" applyAlignment="1">
      <alignment horizontal="center"/>
    </xf>
    <xf numFmtId="166" fontId="4" fillId="0" borderId="1" xfId="7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 vertical="top"/>
    </xf>
    <xf numFmtId="49" fontId="3" fillId="0" borderId="9" xfId="5" applyNumberFormat="1" applyFont="1" applyFill="1" applyBorder="1" applyAlignment="1">
      <alignment horizontal="center"/>
    </xf>
    <xf numFmtId="49" fontId="3" fillId="0" borderId="9" xfId="7" applyNumberFormat="1" applyFont="1" applyFill="1" applyBorder="1" applyAlignment="1">
      <alignment horizontal="center"/>
    </xf>
    <xf numFmtId="49" fontId="3" fillId="0" borderId="3" xfId="7" applyNumberFormat="1" applyFont="1" applyFill="1" applyBorder="1" applyAlignment="1">
      <alignment horizontal="center"/>
    </xf>
    <xf numFmtId="49" fontId="3" fillId="0" borderId="1" xfId="7" applyNumberFormat="1" applyFont="1" applyFill="1" applyBorder="1" applyAlignment="1">
      <alignment horizontal="center"/>
    </xf>
    <xf numFmtId="49" fontId="3" fillId="0" borderId="0" xfId="7" applyNumberFormat="1" applyFont="1" applyFill="1" applyBorder="1" applyAlignment="1">
      <alignment horizontal="center"/>
    </xf>
    <xf numFmtId="49" fontId="4" fillId="0" borderId="4" xfId="7" applyNumberFormat="1" applyFont="1" applyFill="1" applyBorder="1" applyAlignment="1">
      <alignment horizontal="center"/>
    </xf>
    <xf numFmtId="49" fontId="4" fillId="0" borderId="10" xfId="7" applyNumberFormat="1" applyFont="1" applyFill="1" applyBorder="1" applyAlignment="1">
      <alignment horizontal="center"/>
    </xf>
    <xf numFmtId="49" fontId="4" fillId="0" borderId="1" xfId="7" applyNumberFormat="1" applyFont="1" applyFill="1" applyBorder="1" applyAlignment="1">
      <alignment horizontal="center"/>
    </xf>
    <xf numFmtId="49" fontId="3" fillId="0" borderId="11" xfId="7" applyNumberFormat="1" applyFont="1" applyFill="1" applyBorder="1" applyAlignment="1">
      <alignment horizontal="center"/>
    </xf>
    <xf numFmtId="49" fontId="3" fillId="0" borderId="4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49" fontId="4" fillId="0" borderId="3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49" fontId="3" fillId="0" borderId="1" xfId="6" applyNumberFormat="1" applyFont="1" applyFill="1" applyBorder="1" applyAlignment="1">
      <alignment horizontal="center"/>
    </xf>
    <xf numFmtId="49" fontId="3" fillId="0" borderId="2" xfId="7" applyNumberFormat="1" applyFont="1" applyFill="1" applyBorder="1" applyAlignment="1">
      <alignment horizontal="center"/>
    </xf>
    <xf numFmtId="49" fontId="4" fillId="0" borderId="9" xfId="6" applyNumberFormat="1" applyFont="1" applyFill="1" applyBorder="1" applyAlignment="1">
      <alignment horizontal="center"/>
    </xf>
    <xf numFmtId="49" fontId="4" fillId="0" borderId="1" xfId="6" applyNumberFormat="1" applyFont="1" applyFill="1" applyBorder="1" applyAlignment="1">
      <alignment horizontal="center"/>
    </xf>
    <xf numFmtId="49" fontId="2" fillId="0" borderId="1" xfId="7" applyNumberFormat="1" applyFont="1" applyFill="1" applyBorder="1" applyAlignment="1">
      <alignment horizontal="left" vertical="top" wrapText="1"/>
    </xf>
    <xf numFmtId="49" fontId="1" fillId="0" borderId="9" xfId="7" applyNumberFormat="1" applyFont="1" applyFill="1" applyBorder="1" applyAlignment="1">
      <alignment horizontal="center" vertical="top"/>
    </xf>
    <xf numFmtId="49" fontId="1" fillId="0" borderId="1" xfId="7" applyNumberFormat="1" applyFont="1" applyFill="1" applyBorder="1" applyAlignment="1">
      <alignment horizontal="center" vertical="top"/>
    </xf>
    <xf numFmtId="49" fontId="1" fillId="0" borderId="1" xfId="7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5" applyFont="1" applyFill="1" applyBorder="1" applyAlignment="1">
      <alignment horizontal="center" vertical="top"/>
    </xf>
    <xf numFmtId="0" fontId="1" fillId="0" borderId="1" xfId="5" applyFont="1" applyFill="1" applyBorder="1" applyAlignment="1">
      <alignment horizontal="center" vertical="top"/>
    </xf>
    <xf numFmtId="49" fontId="2" fillId="0" borderId="1" xfId="3" applyNumberFormat="1" applyFont="1" applyFill="1" applyBorder="1" applyAlignment="1">
      <alignment horizontal="center" vertical="top"/>
    </xf>
    <xf numFmtId="49" fontId="1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/>
    </xf>
    <xf numFmtId="0" fontId="1" fillId="0" borderId="1" xfId="3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vertical="top"/>
    </xf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166" fontId="20" fillId="0" borderId="0" xfId="0" applyNumberFormat="1" applyFont="1" applyFill="1"/>
    <xf numFmtId="166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49" fontId="3" fillId="0" borderId="1" xfId="6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7" fontId="15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1" fillId="0" borderId="0" xfId="3" applyFont="1" applyFill="1" applyAlignment="1">
      <alignment wrapText="1"/>
    </xf>
    <xf numFmtId="1" fontId="1" fillId="0" borderId="1" xfId="7" applyNumberFormat="1" applyFont="1" applyFill="1" applyBorder="1" applyAlignment="1">
      <alignment horizontal="center" vertical="center" wrapText="1"/>
    </xf>
    <xf numFmtId="172" fontId="8" fillId="0" borderId="0" xfId="7" applyNumberFormat="1" applyFont="1" applyFill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4" fontId="1" fillId="0" borderId="1" xfId="7" applyNumberFormat="1" applyFont="1" applyFill="1" applyBorder="1" applyAlignment="1">
      <alignment horizontal="right"/>
    </xf>
    <xf numFmtId="164" fontId="10" fillId="0" borderId="0" xfId="7" applyNumberFormat="1" applyFont="1" applyFill="1" applyBorder="1" applyAlignment="1">
      <alignment horizontal="center"/>
    </xf>
    <xf numFmtId="164" fontId="2" fillId="0" borderId="1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/>
    <xf numFmtId="171" fontId="17" fillId="0" borderId="0" xfId="3" applyNumberFormat="1" applyFont="1" applyFill="1"/>
    <xf numFmtId="10" fontId="1" fillId="0" borderId="0" xfId="3" applyNumberFormat="1" applyFont="1" applyFill="1"/>
    <xf numFmtId="49" fontId="2" fillId="0" borderId="1" xfId="0" applyNumberFormat="1" applyFont="1" applyFill="1" applyBorder="1" applyAlignment="1">
      <alignment horizontal="left" wrapText="1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0" xfId="7" applyFont="1" applyFill="1"/>
    <xf numFmtId="166" fontId="3" fillId="0" borderId="0" xfId="0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164" fontId="2" fillId="0" borderId="1" xfId="7" applyNumberFormat="1" applyFont="1" applyFill="1" applyBorder="1" applyAlignment="1">
      <alignment horizontal="right" vertical="top"/>
    </xf>
    <xf numFmtId="164" fontId="4" fillId="0" borderId="1" xfId="7" applyNumberFormat="1" applyFont="1" applyFill="1" applyBorder="1" applyAlignment="1">
      <alignment horizontal="right"/>
    </xf>
    <xf numFmtId="164" fontId="3" fillId="0" borderId="1" xfId="7" applyNumberFormat="1" applyFont="1" applyFill="1" applyBorder="1" applyAlignment="1">
      <alignment horizontal="right"/>
    </xf>
    <xf numFmtId="164" fontId="2" fillId="0" borderId="1" xfId="1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166" fontId="3" fillId="0" borderId="0" xfId="7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wrapText="1"/>
    </xf>
    <xf numFmtId="49" fontId="1" fillId="0" borderId="16" xfId="5" applyNumberFormat="1" applyFont="1" applyFill="1" applyBorder="1" applyAlignment="1">
      <alignment wrapText="1"/>
    </xf>
    <xf numFmtId="164" fontId="20" fillId="0" borderId="0" xfId="0" applyNumberFormat="1" applyFont="1" applyFill="1"/>
    <xf numFmtId="0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Fill="1"/>
    <xf numFmtId="166" fontId="22" fillId="0" borderId="0" xfId="0" applyNumberFormat="1" applyFont="1" applyFill="1"/>
    <xf numFmtId="49" fontId="3" fillId="0" borderId="1" xfId="0" applyNumberFormat="1" applyFont="1" applyFill="1" applyBorder="1" applyAlignment="1">
      <alignment horizontal="left"/>
    </xf>
    <xf numFmtId="0" fontId="23" fillId="0" borderId="0" xfId="0" applyFont="1" applyFill="1"/>
    <xf numFmtId="0" fontId="4" fillId="0" borderId="5" xfId="3" applyFont="1" applyFill="1" applyBorder="1" applyAlignment="1">
      <alignment horizontal="center" vertical="top"/>
    </xf>
    <xf numFmtId="0" fontId="4" fillId="0" borderId="12" xfId="3" applyFont="1" applyFill="1" applyBorder="1" applyAlignment="1">
      <alignment horizontal="center" vertical="top"/>
    </xf>
    <xf numFmtId="0" fontId="3" fillId="0" borderId="12" xfId="3" applyFont="1" applyFill="1" applyBorder="1" applyAlignment="1">
      <alignment horizontal="center" vertical="top"/>
    </xf>
    <xf numFmtId="0" fontId="1" fillId="0" borderId="1" xfId="3" applyFont="1" applyFill="1" applyBorder="1" applyAlignment="1"/>
    <xf numFmtId="1" fontId="3" fillId="0" borderId="0" xfId="7" applyNumberFormat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/>
    </xf>
    <xf numFmtId="164" fontId="1" fillId="0" borderId="1" xfId="7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wrapText="1"/>
    </xf>
    <xf numFmtId="49" fontId="1" fillId="0" borderId="3" xfId="4" applyNumberFormat="1" applyFont="1" applyFill="1" applyBorder="1" applyAlignment="1" applyProtection="1">
      <alignment horizontal="left" wrapText="1"/>
      <protection hidden="1"/>
    </xf>
    <xf numFmtId="49" fontId="1" fillId="0" borderId="3" xfId="5" applyNumberFormat="1" applyFont="1" applyFill="1" applyBorder="1" applyAlignment="1">
      <alignment horizontal="left" wrapText="1"/>
    </xf>
    <xf numFmtId="49" fontId="1" fillId="0" borderId="3" xfId="6" applyNumberFormat="1" applyFont="1" applyFill="1" applyBorder="1" applyAlignment="1">
      <alignment horizontal="left" wrapText="1"/>
    </xf>
    <xf numFmtId="49" fontId="1" fillId="0" borderId="3" xfId="5" applyNumberFormat="1" applyFont="1" applyFill="1" applyBorder="1" applyAlignment="1">
      <alignment wrapText="1"/>
    </xf>
    <xf numFmtId="49" fontId="1" fillId="0" borderId="7" xfId="6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164" fontId="10" fillId="0" borderId="1" xfId="0" applyNumberFormat="1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" xfId="7" applyNumberFormat="1" applyFont="1" applyFill="1" applyBorder="1" applyAlignment="1">
      <alignment wrapText="1"/>
    </xf>
    <xf numFmtId="49" fontId="1" fillId="0" borderId="1" xfId="7" applyNumberFormat="1" applyFont="1" applyFill="1" applyBorder="1" applyAlignment="1">
      <alignment wrapText="1"/>
    </xf>
    <xf numFmtId="49" fontId="2" fillId="0" borderId="1" xfId="7" applyNumberFormat="1" applyFont="1" applyFill="1" applyBorder="1" applyAlignment="1">
      <alignment horizontal="left" wrapText="1"/>
    </xf>
    <xf numFmtId="49" fontId="2" fillId="0" borderId="1" xfId="5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top" wrapText="1"/>
    </xf>
    <xf numFmtId="49" fontId="2" fillId="0" borderId="1" xfId="4" applyNumberFormat="1" applyFont="1" applyFill="1" applyBorder="1" applyAlignment="1" applyProtection="1">
      <alignment horizontal="left" wrapText="1"/>
      <protection hidden="1"/>
    </xf>
    <xf numFmtId="49" fontId="2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2" fillId="0" borderId="1" xfId="5" applyNumberFormat="1" applyFont="1" applyFill="1" applyBorder="1" applyAlignment="1">
      <alignment horizontal="right"/>
    </xf>
    <xf numFmtId="164" fontId="1" fillId="0" borderId="1" xfId="5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3" fillId="0" borderId="13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1" fillId="0" borderId="0" xfId="3" applyFont="1" applyFill="1" applyBorder="1" applyAlignment="1">
      <alignment wrapText="1"/>
    </xf>
    <xf numFmtId="173" fontId="1" fillId="0" borderId="0" xfId="3" applyNumberFormat="1" applyFont="1" applyFill="1" applyBorder="1" applyAlignment="1"/>
    <xf numFmtId="173" fontId="4" fillId="0" borderId="12" xfId="13" applyNumberFormat="1" applyFont="1" applyFill="1" applyBorder="1" applyAlignment="1">
      <alignment horizontal="right" vertical="center"/>
    </xf>
    <xf numFmtId="166" fontId="17" fillId="0" borderId="0" xfId="3" applyNumberFormat="1" applyFont="1" applyFill="1" applyBorder="1"/>
    <xf numFmtId="0" fontId="4" fillId="0" borderId="8" xfId="3" applyFont="1" applyFill="1" applyBorder="1" applyAlignment="1">
      <alignment vertical="top" wrapText="1"/>
    </xf>
    <xf numFmtId="0" fontId="4" fillId="0" borderId="11" xfId="3" applyFont="1" applyFill="1" applyBorder="1" applyAlignment="1">
      <alignment wrapText="1"/>
    </xf>
    <xf numFmtId="0" fontId="3" fillId="0" borderId="11" xfId="3" applyFont="1" applyFill="1" applyBorder="1" applyAlignment="1">
      <alignment wrapText="1"/>
    </xf>
    <xf numFmtId="0" fontId="1" fillId="0" borderId="0" xfId="7" applyFont="1" applyFill="1" applyBorder="1" applyAlignment="1">
      <alignment horizontal="left"/>
    </xf>
    <xf numFmtId="0" fontId="1" fillId="0" borderId="0" xfId="7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justify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/>
    </xf>
    <xf numFmtId="0" fontId="7" fillId="0" borderId="0" xfId="7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/>
    <xf numFmtId="2" fontId="1" fillId="0" borderId="0" xfId="3" applyNumberFormat="1" applyFont="1" applyFill="1" applyAlignment="1">
      <alignment horizontal="center"/>
    </xf>
    <xf numFmtId="173" fontId="3" fillId="0" borderId="12" xfId="0" applyNumberFormat="1" applyFont="1" applyFill="1" applyBorder="1"/>
    <xf numFmtId="166" fontId="25" fillId="0" borderId="0" xfId="3" applyNumberFormat="1" applyFont="1" applyFill="1"/>
    <xf numFmtId="169" fontId="26" fillId="0" borderId="0" xfId="3" applyNumberFormat="1" applyFont="1" applyFill="1"/>
    <xf numFmtId="166" fontId="27" fillId="0" borderId="0" xfId="0" applyNumberFormat="1" applyFont="1" applyFill="1"/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3" applyFont="1"/>
    <xf numFmtId="0" fontId="8" fillId="0" borderId="0" xfId="3" applyFont="1"/>
    <xf numFmtId="0" fontId="8" fillId="0" borderId="0" xfId="3" applyFont="1" applyAlignment="1">
      <alignment wrapText="1"/>
    </xf>
    <xf numFmtId="166" fontId="8" fillId="0" borderId="0" xfId="3" applyNumberFormat="1" applyFont="1" applyAlignment="1">
      <alignment horizontal="right"/>
    </xf>
    <xf numFmtId="0" fontId="1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justify" vertical="top" wrapText="1"/>
    </xf>
    <xf numFmtId="0" fontId="1" fillId="0" borderId="8" xfId="3" applyFont="1" applyBorder="1" applyAlignment="1">
      <alignment horizontal="justify" vertical="top" wrapText="1"/>
    </xf>
    <xf numFmtId="0" fontId="1" fillId="0" borderId="0" xfId="3" applyFont="1" applyBorder="1"/>
    <xf numFmtId="0" fontId="1" fillId="0" borderId="15" xfId="3" applyFont="1" applyBorder="1" applyAlignment="1">
      <alignment horizontal="left" wrapText="1"/>
    </xf>
    <xf numFmtId="0" fontId="1" fillId="0" borderId="11" xfId="3" applyFont="1" applyBorder="1" applyAlignment="1">
      <alignment horizontal="left" wrapText="1"/>
    </xf>
    <xf numFmtId="0" fontId="1" fillId="0" borderId="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/>
    </xf>
    <xf numFmtId="0" fontId="1" fillId="0" borderId="10" xfId="3" applyFont="1" applyBorder="1" applyAlignment="1">
      <alignment horizontal="left" wrapText="1"/>
    </xf>
    <xf numFmtId="1" fontId="1" fillId="0" borderId="5" xfId="3" applyNumberFormat="1" applyFont="1" applyBorder="1" applyAlignment="1">
      <alignment horizontal="center"/>
    </xf>
    <xf numFmtId="1" fontId="1" fillId="0" borderId="12" xfId="3" applyNumberFormat="1" applyFont="1" applyBorder="1" applyAlignment="1">
      <alignment horizontal="center"/>
    </xf>
    <xf numFmtId="1" fontId="1" fillId="0" borderId="13" xfId="3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5" xfId="3" applyFont="1" applyBorder="1" applyAlignment="1">
      <alignment horizontal="justify" vertical="top" wrapText="1"/>
    </xf>
    <xf numFmtId="0" fontId="1" fillId="0" borderId="12" xfId="3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6" fontId="1" fillId="0" borderId="13" xfId="0" applyNumberFormat="1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 horizontal="center" wrapText="1"/>
    </xf>
    <xf numFmtId="0" fontId="4" fillId="0" borderId="11" xfId="3" applyFont="1" applyFill="1" applyBorder="1" applyAlignment="1">
      <alignment vertical="top" wrapText="1"/>
    </xf>
    <xf numFmtId="0" fontId="24" fillId="0" borderId="0" xfId="3" applyFont="1" applyFill="1"/>
    <xf numFmtId="166" fontId="24" fillId="0" borderId="0" xfId="3" applyNumberFormat="1" applyFont="1" applyFill="1" applyBorder="1"/>
    <xf numFmtId="169" fontId="4" fillId="0" borderId="0" xfId="3" applyNumberFormat="1" applyFont="1" applyFill="1"/>
    <xf numFmtId="0" fontId="3" fillId="0" borderId="11" xfId="3" applyFont="1" applyFill="1" applyBorder="1" applyAlignment="1">
      <alignment vertical="top" wrapText="1"/>
    </xf>
    <xf numFmtId="173" fontId="3" fillId="0" borderId="12" xfId="13" applyNumberFormat="1" applyFont="1" applyFill="1" applyBorder="1" applyAlignment="1">
      <alignment horizontal="right" vertical="center"/>
    </xf>
    <xf numFmtId="165" fontId="1" fillId="0" borderId="5" xfId="3" applyNumberFormat="1" applyFont="1" applyFill="1" applyBorder="1" applyAlignment="1">
      <alignment horizontal="center"/>
    </xf>
    <xf numFmtId="165" fontId="1" fillId="0" borderId="12" xfId="3" applyNumberFormat="1" applyFont="1" applyFill="1" applyBorder="1" applyAlignment="1">
      <alignment horizontal="center"/>
    </xf>
    <xf numFmtId="1" fontId="1" fillId="0" borderId="12" xfId="3" applyNumberFormat="1" applyFont="1" applyFill="1" applyBorder="1" applyAlignment="1">
      <alignment horizontal="center"/>
    </xf>
    <xf numFmtId="165" fontId="1" fillId="0" borderId="13" xfId="3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0" fillId="3" borderId="0" xfId="0" applyFont="1" applyFill="1"/>
    <xf numFmtId="0" fontId="8" fillId="3" borderId="0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Border="1" applyAlignment="1">
      <alignment horizontal="center"/>
    </xf>
    <xf numFmtId="166" fontId="20" fillId="3" borderId="0" xfId="0" applyNumberFormat="1" applyFont="1" applyFill="1" applyBorder="1" applyAlignment="1"/>
    <xf numFmtId="166" fontId="8" fillId="3" borderId="0" xfId="0" applyNumberFormat="1" applyFont="1" applyFill="1" applyAlignment="1">
      <alignment horizontal="center"/>
    </xf>
    <xf numFmtId="0" fontId="8" fillId="3" borderId="0" xfId="0" applyFont="1" applyFill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vertical="top" wrapText="1"/>
    </xf>
    <xf numFmtId="49" fontId="1" fillId="3" borderId="1" xfId="6" applyNumberFormat="1" applyFont="1" applyFill="1" applyBorder="1" applyAlignment="1">
      <alignment horizontal="center" vertical="top" wrapText="1"/>
    </xf>
    <xf numFmtId="49" fontId="1" fillId="3" borderId="1" xfId="6" applyNumberFormat="1" applyFont="1" applyFill="1" applyBorder="1" applyAlignment="1">
      <alignment horizontal="center" vertical="top"/>
    </xf>
    <xf numFmtId="49" fontId="1" fillId="3" borderId="2" xfId="6" applyNumberFormat="1" applyFont="1" applyFill="1" applyBorder="1" applyAlignment="1">
      <alignment horizontal="center" vertical="top"/>
    </xf>
    <xf numFmtId="49" fontId="1" fillId="3" borderId="9" xfId="6" applyNumberFormat="1" applyFont="1" applyFill="1" applyBorder="1" applyAlignment="1">
      <alignment horizontal="center" vertical="top"/>
    </xf>
    <xf numFmtId="49" fontId="1" fillId="3" borderId="3" xfId="6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10" fillId="3" borderId="0" xfId="0" applyFont="1" applyFill="1"/>
    <xf numFmtId="49" fontId="1" fillId="3" borderId="3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0" fontId="11" fillId="3" borderId="0" xfId="0" applyFont="1" applyFill="1"/>
    <xf numFmtId="0" fontId="15" fillId="3" borderId="0" xfId="0" applyFont="1" applyFill="1"/>
    <xf numFmtId="49" fontId="1" fillId="3" borderId="3" xfId="4" applyNumberFormat="1" applyFont="1" applyFill="1" applyBorder="1" applyAlignment="1" applyProtection="1">
      <alignment horizontal="left" wrapText="1"/>
      <protection hidden="1"/>
    </xf>
    <xf numFmtId="49" fontId="1" fillId="3" borderId="3" xfId="5" applyNumberFormat="1" applyFont="1" applyFill="1" applyBorder="1" applyAlignment="1">
      <alignment horizontal="left" wrapText="1"/>
    </xf>
    <xf numFmtId="49" fontId="1" fillId="3" borderId="3" xfId="6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wrapText="1"/>
    </xf>
    <xf numFmtId="49" fontId="1" fillId="3" borderId="19" xfId="14" applyNumberFormat="1" applyFont="1" applyFill="1" applyBorder="1" applyAlignment="1">
      <alignment wrapText="1"/>
    </xf>
    <xf numFmtId="49" fontId="1" fillId="3" borderId="3" xfId="5" applyNumberFormat="1" applyFont="1" applyFill="1" applyBorder="1" applyAlignment="1">
      <alignment wrapText="1"/>
    </xf>
    <xf numFmtId="49" fontId="1" fillId="3" borderId="1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2" fillId="3" borderId="1" xfId="5" applyFont="1" applyFill="1" applyBorder="1" applyAlignment="1">
      <alignment horizontal="center" vertical="top"/>
    </xf>
    <xf numFmtId="49" fontId="2" fillId="3" borderId="3" xfId="5" applyNumberFormat="1" applyFont="1" applyFill="1" applyBorder="1" applyAlignment="1">
      <alignment wrapText="1"/>
    </xf>
    <xf numFmtId="49" fontId="2" fillId="3" borderId="1" xfId="5" applyNumberFormat="1" applyFont="1" applyFill="1" applyBorder="1" applyAlignment="1">
      <alignment horizontal="center" wrapText="1"/>
    </xf>
    <xf numFmtId="49" fontId="2" fillId="3" borderId="1" xfId="5" applyNumberFormat="1" applyFont="1" applyFill="1" applyBorder="1" applyAlignment="1">
      <alignment horizontal="center"/>
    </xf>
    <xf numFmtId="0" fontId="10" fillId="3" borderId="0" xfId="5" applyFont="1" applyFill="1"/>
    <xf numFmtId="0" fontId="1" fillId="3" borderId="1" xfId="5" applyFont="1" applyFill="1" applyBorder="1" applyAlignment="1">
      <alignment horizontal="center" vertical="top"/>
    </xf>
    <xf numFmtId="49" fontId="1" fillId="3" borderId="1" xfId="11" applyNumberFormat="1" applyFont="1" applyFill="1" applyBorder="1" applyAlignment="1">
      <alignment horizontal="center" wrapText="1"/>
    </xf>
    <xf numFmtId="49" fontId="1" fillId="3" borderId="1" xfId="11" applyNumberFormat="1" applyFont="1" applyFill="1" applyBorder="1" applyAlignment="1">
      <alignment horizontal="center"/>
    </xf>
    <xf numFmtId="49" fontId="1" fillId="3" borderId="1" xfId="5" applyNumberFormat="1" applyFont="1" applyFill="1" applyBorder="1" applyAlignment="1">
      <alignment horizontal="center"/>
    </xf>
    <xf numFmtId="49" fontId="1" fillId="3" borderId="2" xfId="5" applyNumberFormat="1" applyFont="1" applyFill="1" applyBorder="1" applyAlignment="1">
      <alignment horizontal="center"/>
    </xf>
    <xf numFmtId="49" fontId="1" fillId="3" borderId="9" xfId="5" applyNumberFormat="1" applyFont="1" applyFill="1" applyBorder="1" applyAlignment="1">
      <alignment horizontal="center"/>
    </xf>
    <xf numFmtId="49" fontId="1" fillId="3" borderId="3" xfId="5" applyNumberFormat="1" applyFont="1" applyFill="1" applyBorder="1" applyAlignment="1">
      <alignment horizontal="center"/>
    </xf>
    <xf numFmtId="0" fontId="11" fillId="3" borderId="0" xfId="5" applyFont="1" applyFill="1"/>
    <xf numFmtId="0" fontId="15" fillId="3" borderId="0" xfId="5" applyFont="1" applyFill="1"/>
    <xf numFmtId="49" fontId="1" fillId="3" borderId="6" xfId="6" applyNumberFormat="1" applyFont="1" applyFill="1" applyBorder="1" applyAlignment="1">
      <alignment horizontal="center"/>
    </xf>
    <xf numFmtId="49" fontId="1" fillId="3" borderId="7" xfId="5" applyNumberFormat="1" applyFont="1" applyFill="1" applyBorder="1" applyAlignment="1">
      <alignment horizontal="center"/>
    </xf>
    <xf numFmtId="49" fontId="1" fillId="3" borderId="8" xfId="5" applyNumberFormat="1" applyFont="1" applyFill="1" applyBorder="1" applyAlignment="1">
      <alignment horizontal="center"/>
    </xf>
    <xf numFmtId="49" fontId="1" fillId="3" borderId="2" xfId="11" applyNumberFormat="1" applyFont="1" applyFill="1" applyBorder="1" applyAlignment="1">
      <alignment horizontal="center"/>
    </xf>
    <xf numFmtId="49" fontId="1" fillId="3" borderId="16" xfId="11" applyNumberFormat="1" applyFont="1" applyFill="1" applyBorder="1" applyAlignment="1">
      <alignment horizontal="center" wrapText="1"/>
    </xf>
    <xf numFmtId="49" fontId="1" fillId="3" borderId="16" xfId="11" applyNumberFormat="1" applyFont="1" applyFill="1" applyBorder="1" applyAlignment="1">
      <alignment horizontal="center"/>
    </xf>
    <xf numFmtId="49" fontId="1" fillId="3" borderId="18" xfId="14" applyNumberFormat="1" applyFont="1" applyFill="1" applyBorder="1" applyAlignment="1">
      <alignment horizontal="center"/>
    </xf>
    <xf numFmtId="49" fontId="1" fillId="3" borderId="19" xfId="14" applyNumberFormat="1" applyFont="1" applyFill="1" applyBorder="1" applyAlignment="1">
      <alignment horizontal="center"/>
    </xf>
    <xf numFmtId="49" fontId="1" fillId="3" borderId="16" xfId="14" applyNumberFormat="1" applyFont="1" applyFill="1" applyBorder="1" applyAlignment="1">
      <alignment horizontal="center"/>
    </xf>
    <xf numFmtId="49" fontId="1" fillId="3" borderId="2" xfId="6" applyNumberFormat="1" applyFont="1" applyFill="1" applyBorder="1" applyAlignment="1">
      <alignment horizontal="center"/>
    </xf>
    <xf numFmtId="49" fontId="1" fillId="3" borderId="6" xfId="11" applyNumberFormat="1" applyFont="1" applyFill="1" applyBorder="1" applyAlignment="1">
      <alignment horizontal="center"/>
    </xf>
    <xf numFmtId="0" fontId="8" fillId="3" borderId="0" xfId="5" applyFont="1" applyFill="1"/>
    <xf numFmtId="170" fontId="11" fillId="3" borderId="0" xfId="5" applyNumberFormat="1" applyFont="1" applyFill="1"/>
    <xf numFmtId="49" fontId="1" fillId="3" borderId="0" xfId="5" applyNumberFormat="1" applyFont="1" applyFill="1" applyBorder="1" applyAlignment="1">
      <alignment horizontal="center"/>
    </xf>
    <xf numFmtId="0" fontId="1" fillId="3" borderId="13" xfId="14" applyFont="1" applyFill="1" applyBorder="1" applyAlignment="1">
      <alignment horizontal="center" vertical="top"/>
    </xf>
    <xf numFmtId="49" fontId="1" fillId="3" borderId="23" xfId="14" applyNumberFormat="1" applyFont="1" applyFill="1" applyBorder="1" applyAlignment="1">
      <alignment wrapText="1"/>
    </xf>
    <xf numFmtId="49" fontId="1" fillId="3" borderId="25" xfId="11" applyNumberFormat="1" applyFont="1" applyFill="1" applyBorder="1" applyAlignment="1">
      <alignment horizontal="center" wrapText="1"/>
    </xf>
    <xf numFmtId="49" fontId="1" fillId="3" borderId="25" xfId="11" applyNumberFormat="1" applyFont="1" applyFill="1" applyBorder="1" applyAlignment="1">
      <alignment horizontal="center"/>
    </xf>
    <xf numFmtId="49" fontId="1" fillId="3" borderId="17" xfId="6" applyNumberFormat="1" applyFont="1" applyFill="1" applyBorder="1" applyAlignment="1">
      <alignment horizontal="center"/>
    </xf>
    <xf numFmtId="49" fontId="1" fillId="3" borderId="22" xfId="14" applyNumberFormat="1" applyFont="1" applyFill="1" applyBorder="1" applyAlignment="1">
      <alignment horizontal="center"/>
    </xf>
    <xf numFmtId="0" fontId="11" fillId="3" borderId="0" xfId="14" applyFont="1" applyFill="1"/>
    <xf numFmtId="170" fontId="11" fillId="3" borderId="0" xfId="14" applyNumberFormat="1" applyFont="1" applyFill="1"/>
    <xf numFmtId="0" fontId="1" fillId="3" borderId="1" xfId="14" applyFont="1" applyFill="1" applyBorder="1" applyAlignment="1">
      <alignment horizontal="center" vertical="top"/>
    </xf>
    <xf numFmtId="49" fontId="1" fillId="3" borderId="18" xfId="14" applyNumberFormat="1" applyFont="1" applyFill="1" applyBorder="1" applyAlignment="1">
      <alignment wrapText="1"/>
    </xf>
    <xf numFmtId="49" fontId="1" fillId="3" borderId="18" xfId="6" applyNumberFormat="1" applyFont="1" applyFill="1" applyBorder="1" applyAlignment="1">
      <alignment horizontal="center"/>
    </xf>
    <xf numFmtId="0" fontId="1" fillId="3" borderId="5" xfId="14" applyFont="1" applyFill="1" applyBorder="1" applyAlignment="1">
      <alignment horizontal="center" vertical="top"/>
    </xf>
    <xf numFmtId="49" fontId="1" fillId="3" borderId="20" xfId="5" applyNumberFormat="1" applyFont="1" applyFill="1" applyBorder="1" applyAlignment="1">
      <alignment wrapText="1"/>
    </xf>
    <xf numFmtId="49" fontId="1" fillId="3" borderId="5" xfId="11" applyNumberFormat="1" applyFont="1" applyFill="1" applyBorder="1" applyAlignment="1">
      <alignment horizontal="center" wrapText="1"/>
    </xf>
    <xf numFmtId="49" fontId="1" fillId="3" borderId="20" xfId="6" applyNumberFormat="1" applyFont="1" applyFill="1" applyBorder="1" applyAlignment="1">
      <alignment horizontal="center"/>
    </xf>
    <xf numFmtId="49" fontId="1" fillId="3" borderId="20" xfId="14" applyNumberFormat="1" applyFont="1" applyFill="1" applyBorder="1" applyAlignment="1">
      <alignment horizontal="center"/>
    </xf>
    <xf numFmtId="49" fontId="1" fillId="3" borderId="21" xfId="14" applyNumberFormat="1" applyFont="1" applyFill="1" applyBorder="1" applyAlignment="1">
      <alignment horizontal="center"/>
    </xf>
    <xf numFmtId="49" fontId="1" fillId="3" borderId="24" xfId="14" applyNumberFormat="1" applyFont="1" applyFill="1" applyBorder="1" applyAlignment="1">
      <alignment horizontal="center"/>
    </xf>
    <xf numFmtId="49" fontId="1" fillId="3" borderId="1" xfId="5" applyNumberFormat="1" applyFont="1" applyFill="1" applyBorder="1" applyAlignment="1">
      <alignment wrapText="1"/>
    </xf>
    <xf numFmtId="49" fontId="1" fillId="3" borderId="9" xfId="14" applyNumberFormat="1" applyFont="1" applyFill="1" applyBorder="1" applyAlignment="1">
      <alignment horizontal="center"/>
    </xf>
    <xf numFmtId="49" fontId="1" fillId="3" borderId="3" xfId="14" applyNumberFormat="1" applyFont="1" applyFill="1" applyBorder="1" applyAlignment="1">
      <alignment horizontal="center"/>
    </xf>
    <xf numFmtId="49" fontId="1" fillId="3" borderId="1" xfId="14" applyNumberFormat="1" applyFont="1" applyFill="1" applyBorder="1" applyAlignment="1">
      <alignment horizontal="center"/>
    </xf>
    <xf numFmtId="164" fontId="1" fillId="3" borderId="1" xfId="14" applyNumberFormat="1" applyFont="1" applyFill="1" applyBorder="1" applyAlignment="1">
      <alignment horizontal="right"/>
    </xf>
    <xf numFmtId="49" fontId="1" fillId="3" borderId="7" xfId="14" applyNumberFormat="1" applyFont="1" applyFill="1" applyBorder="1" applyAlignment="1">
      <alignment horizontal="center"/>
    </xf>
    <xf numFmtId="49" fontId="1" fillId="3" borderId="8" xfId="14" applyNumberFormat="1" applyFont="1" applyFill="1" applyBorder="1" applyAlignment="1">
      <alignment horizontal="center"/>
    </xf>
    <xf numFmtId="49" fontId="1" fillId="3" borderId="9" xfId="5" applyNumberFormat="1" applyFont="1" applyFill="1" applyBorder="1" applyAlignment="1">
      <alignment wrapText="1"/>
    </xf>
    <xf numFmtId="49" fontId="1" fillId="3" borderId="9" xfId="6" applyNumberFormat="1" applyFont="1" applyFill="1" applyBorder="1" applyAlignment="1">
      <alignment horizontal="center"/>
    </xf>
    <xf numFmtId="49" fontId="1" fillId="3" borderId="3" xfId="5" applyNumberFormat="1" applyFont="1" applyFill="1" applyBorder="1" applyAlignment="1">
      <alignment horizontal="center" wrapText="1"/>
    </xf>
    <xf numFmtId="49" fontId="3" fillId="3" borderId="3" xfId="7" applyNumberFormat="1" applyFont="1" applyFill="1" applyBorder="1" applyAlignment="1">
      <alignment wrapText="1"/>
    </xf>
    <xf numFmtId="2" fontId="1" fillId="3" borderId="23" xfId="14" applyNumberFormat="1" applyFont="1" applyFill="1" applyBorder="1" applyAlignment="1">
      <alignment wrapText="1"/>
    </xf>
    <xf numFmtId="49" fontId="1" fillId="3" borderId="22" xfId="11" applyNumberFormat="1" applyFont="1" applyFill="1" applyBorder="1" applyAlignment="1">
      <alignment horizontal="center" wrapText="1"/>
    </xf>
    <xf numFmtId="49" fontId="1" fillId="3" borderId="22" xfId="11" applyNumberFormat="1" applyFont="1" applyFill="1" applyBorder="1" applyAlignment="1">
      <alignment horizontal="center"/>
    </xf>
    <xf numFmtId="49" fontId="1" fillId="3" borderId="23" xfId="14" applyNumberFormat="1" applyFont="1" applyFill="1" applyBorder="1" applyAlignment="1">
      <alignment horizontal="center"/>
    </xf>
    <xf numFmtId="49" fontId="1" fillId="3" borderId="5" xfId="14" applyNumberFormat="1" applyFont="1" applyFill="1" applyBorder="1" applyAlignment="1">
      <alignment horizontal="center"/>
    </xf>
    <xf numFmtId="49" fontId="1" fillId="3" borderId="13" xfId="14" applyNumberFormat="1" applyFont="1" applyFill="1" applyBorder="1" applyAlignment="1">
      <alignment horizontal="center"/>
    </xf>
    <xf numFmtId="164" fontId="10" fillId="3" borderId="0" xfId="0" applyNumberFormat="1" applyFont="1" applyFill="1"/>
    <xf numFmtId="164" fontId="11" fillId="3" borderId="0" xfId="0" applyNumberFormat="1" applyFont="1" applyFill="1"/>
    <xf numFmtId="167" fontId="10" fillId="3" borderId="0" xfId="0" applyNumberFormat="1" applyFont="1" applyFill="1"/>
    <xf numFmtId="167" fontId="15" fillId="3" borderId="0" xfId="0" applyNumberFormat="1" applyFont="1" applyFill="1"/>
    <xf numFmtId="2" fontId="1" fillId="3" borderId="3" xfId="0" applyNumberFormat="1" applyFont="1" applyFill="1" applyBorder="1" applyAlignment="1">
      <alignment wrapText="1"/>
    </xf>
    <xf numFmtId="49" fontId="1" fillId="3" borderId="1" xfId="6" applyNumberFormat="1" applyFont="1" applyFill="1" applyBorder="1" applyAlignment="1">
      <alignment horizontal="center" wrapText="1"/>
    </xf>
    <xf numFmtId="49" fontId="1" fillId="3" borderId="1" xfId="6" applyNumberFormat="1" applyFont="1" applyFill="1" applyBorder="1" applyAlignment="1">
      <alignment horizontal="center"/>
    </xf>
    <xf numFmtId="49" fontId="1" fillId="3" borderId="3" xfId="6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 wrapText="1"/>
    </xf>
    <xf numFmtId="170" fontId="11" fillId="3" borderId="0" xfId="0" applyNumberFormat="1" applyFont="1" applyFill="1"/>
    <xf numFmtId="49" fontId="3" fillId="3" borderId="1" xfId="6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vertical="top" wrapText="1"/>
    </xf>
    <xf numFmtId="49" fontId="1" fillId="3" borderId="1" xfId="5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wrapText="1"/>
    </xf>
    <xf numFmtId="0" fontId="1" fillId="3" borderId="3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0" xfId="7" applyFont="1" applyFill="1" applyBorder="1" applyAlignment="1">
      <alignment horizontal="left"/>
    </xf>
    <xf numFmtId="49" fontId="15" fillId="3" borderId="0" xfId="7" applyNumberFormat="1" applyFont="1" applyFill="1" applyBorder="1" applyAlignment="1">
      <alignment vertical="top" wrapText="1"/>
    </xf>
    <xf numFmtId="49" fontId="8" fillId="3" borderId="0" xfId="7" applyNumberFormat="1" applyFont="1" applyFill="1" applyBorder="1" applyAlignment="1">
      <alignment horizontal="center"/>
    </xf>
    <xf numFmtId="49" fontId="11" fillId="3" borderId="0" xfId="7" applyNumberFormat="1" applyFont="1" applyFill="1" applyBorder="1" applyAlignment="1">
      <alignment horizontal="center"/>
    </xf>
    <xf numFmtId="164" fontId="2" fillId="3" borderId="0" xfId="7" applyNumberFormat="1" applyFont="1" applyFill="1" applyBorder="1" applyAlignment="1"/>
    <xf numFmtId="166" fontId="8" fillId="3" borderId="0" xfId="7" applyNumberFormat="1" applyFont="1" applyFill="1"/>
    <xf numFmtId="0" fontId="8" fillId="3" borderId="0" xfId="7" applyFont="1" applyFill="1"/>
    <xf numFmtId="0" fontId="1" fillId="3" borderId="0" xfId="7" applyFont="1" applyFill="1" applyAlignment="1">
      <alignment horizontal="left"/>
    </xf>
    <xf numFmtId="0" fontId="3" fillId="3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164" fontId="20" fillId="3" borderId="0" xfId="0" applyNumberFormat="1" applyFont="1" applyFill="1"/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center" wrapText="1"/>
    </xf>
    <xf numFmtId="164" fontId="8" fillId="3" borderId="0" xfId="7" applyNumberFormat="1" applyFont="1" applyFill="1"/>
    <xf numFmtId="164" fontId="1" fillId="3" borderId="0" xfId="7" applyNumberFormat="1" applyFont="1" applyFill="1" applyAlignment="1">
      <alignment horizontal="right"/>
    </xf>
    <xf numFmtId="164" fontId="11" fillId="3" borderId="1" xfId="0" applyNumberFormat="1" applyFont="1" applyFill="1" applyBorder="1"/>
    <xf numFmtId="164" fontId="29" fillId="3" borderId="1" xfId="0" applyNumberFormat="1" applyFont="1" applyFill="1" applyBorder="1"/>
    <xf numFmtId="164" fontId="10" fillId="3" borderId="1" xfId="0" applyNumberFormat="1" applyFont="1" applyFill="1" applyBorder="1"/>
    <xf numFmtId="164" fontId="23" fillId="3" borderId="1" xfId="0" applyNumberFormat="1" applyFont="1" applyFill="1" applyBorder="1"/>
    <xf numFmtId="164" fontId="3" fillId="3" borderId="1" xfId="0" applyNumberFormat="1" applyFont="1" applyFill="1" applyBorder="1"/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0" borderId="12" xfId="3" applyFont="1" applyFill="1" applyBorder="1" applyAlignment="1">
      <alignment wrapText="1"/>
    </xf>
    <xf numFmtId="173" fontId="3" fillId="3" borderId="12" xfId="0" applyNumberFormat="1" applyFont="1" applyFill="1" applyBorder="1"/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173" fontId="4" fillId="0" borderId="5" xfId="13" applyNumberFormat="1" applyFont="1" applyFill="1" applyBorder="1" applyAlignment="1">
      <alignment horizontal="right" vertical="center"/>
    </xf>
    <xf numFmtId="49" fontId="2" fillId="3" borderId="2" xfId="5" applyNumberFormat="1" applyFont="1" applyFill="1" applyBorder="1" applyAlignment="1">
      <alignment horizontal="center"/>
    </xf>
    <xf numFmtId="49" fontId="2" fillId="3" borderId="9" xfId="5" applyNumberFormat="1" applyFont="1" applyFill="1" applyBorder="1" applyAlignment="1">
      <alignment horizontal="center"/>
    </xf>
    <xf numFmtId="49" fontId="2" fillId="3" borderId="3" xfId="5" applyNumberFormat="1" applyFont="1" applyFill="1" applyBorder="1" applyAlignment="1">
      <alignment horizontal="center"/>
    </xf>
    <xf numFmtId="49" fontId="1" fillId="0" borderId="9" xfId="5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/>
    </xf>
    <xf numFmtId="164" fontId="2" fillId="3" borderId="1" xfId="5" applyNumberFormat="1" applyFont="1" applyFill="1" applyBorder="1" applyAlignment="1">
      <alignment horizontal="right"/>
    </xf>
    <xf numFmtId="164" fontId="1" fillId="3" borderId="1" xfId="5" applyNumberFormat="1" applyFont="1" applyFill="1" applyBorder="1" applyAlignment="1">
      <alignment horizontal="right"/>
    </xf>
    <xf numFmtId="164" fontId="1" fillId="3" borderId="22" xfId="14" applyNumberFormat="1" applyFont="1" applyFill="1" applyBorder="1" applyAlignment="1">
      <alignment horizontal="right"/>
    </xf>
    <xf numFmtId="164" fontId="1" fillId="3" borderId="16" xfId="14" applyNumberFormat="1" applyFont="1" applyFill="1" applyBorder="1" applyAlignment="1">
      <alignment horizontal="right"/>
    </xf>
    <xf numFmtId="164" fontId="1" fillId="3" borderId="24" xfId="14" applyNumberFormat="1" applyFont="1" applyFill="1" applyBorder="1" applyAlignment="1">
      <alignment horizontal="right"/>
    </xf>
    <xf numFmtId="164" fontId="1" fillId="0" borderId="1" xfId="14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2" fillId="0" borderId="0" xfId="2" applyNumberFormat="1" applyFont="1" applyFill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0" fontId="23" fillId="3" borderId="0" xfId="0" applyFont="1" applyFill="1" applyBorder="1"/>
    <xf numFmtId="0" fontId="23" fillId="3" borderId="0" xfId="0" applyFont="1" applyFill="1"/>
    <xf numFmtId="0" fontId="4" fillId="0" borderId="5" xfId="3" applyFont="1" applyFill="1" applyBorder="1" applyAlignment="1">
      <alignment vertical="top" wrapText="1"/>
    </xf>
    <xf numFmtId="0" fontId="4" fillId="0" borderId="12" xfId="3" applyFont="1" applyFill="1" applyBorder="1" applyAlignment="1">
      <alignment vertical="top" wrapText="1"/>
    </xf>
    <xf numFmtId="0" fontId="3" fillId="0" borderId="12" xfId="3" applyFont="1" applyFill="1" applyBorder="1" applyAlignment="1">
      <alignment vertical="top" wrapText="1"/>
    </xf>
    <xf numFmtId="0" fontId="4" fillId="0" borderId="12" xfId="3" applyFont="1" applyFill="1" applyBorder="1" applyAlignment="1">
      <alignment wrapText="1"/>
    </xf>
    <xf numFmtId="0" fontId="3" fillId="0" borderId="13" xfId="3" applyFont="1" applyFill="1" applyBorder="1" applyAlignment="1">
      <alignment wrapText="1"/>
    </xf>
    <xf numFmtId="173" fontId="3" fillId="3" borderId="13" xfId="0" applyNumberFormat="1" applyFont="1" applyFill="1" applyBorder="1"/>
    <xf numFmtId="49" fontId="1" fillId="0" borderId="9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right"/>
    </xf>
    <xf numFmtId="167" fontId="20" fillId="3" borderId="0" xfId="0" applyNumberFormat="1" applyFont="1" applyFill="1"/>
    <xf numFmtId="167" fontId="20" fillId="0" borderId="0" xfId="0" applyNumberFormat="1" applyFont="1" applyFill="1"/>
    <xf numFmtId="167" fontId="8" fillId="3" borderId="0" xfId="0" applyNumberFormat="1" applyFont="1" applyFill="1"/>
    <xf numFmtId="167" fontId="1" fillId="3" borderId="13" xfId="0" applyNumberFormat="1" applyFont="1" applyFill="1" applyBorder="1" applyAlignment="1">
      <alignment horizontal="center" vertical="center"/>
    </xf>
    <xf numFmtId="167" fontId="8" fillId="3" borderId="0" xfId="7" applyNumberFormat="1" applyFont="1" applyFill="1"/>
    <xf numFmtId="167" fontId="1" fillId="3" borderId="0" xfId="7" applyNumberFormat="1" applyFont="1" applyFill="1" applyAlignment="1">
      <alignment horizontal="right"/>
    </xf>
    <xf numFmtId="167" fontId="11" fillId="3" borderId="1" xfId="0" applyNumberFormat="1" applyFont="1" applyFill="1" applyBorder="1"/>
    <xf numFmtId="167" fontId="23" fillId="3" borderId="1" xfId="0" applyNumberFormat="1" applyFont="1" applyFill="1" applyBorder="1"/>
    <xf numFmtId="167" fontId="29" fillId="3" borderId="1" xfId="0" applyNumberFormat="1" applyFont="1" applyFill="1" applyBorder="1"/>
    <xf numFmtId="167" fontId="3" fillId="3" borderId="1" xfId="0" applyNumberFormat="1" applyFont="1" applyFill="1" applyBorder="1"/>
    <xf numFmtId="174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" fontId="2" fillId="0" borderId="0" xfId="2" applyNumberFormat="1" applyFont="1" applyFill="1" applyAlignment="1">
      <alignment horizontal="center" wrapText="1"/>
    </xf>
    <xf numFmtId="167" fontId="2" fillId="0" borderId="0" xfId="2" applyNumberFormat="1" applyFont="1" applyFill="1" applyAlignment="1">
      <alignment horizontal="center" wrapText="1"/>
    </xf>
    <xf numFmtId="49" fontId="30" fillId="3" borderId="3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49" fontId="1" fillId="6" borderId="2" xfId="0" applyNumberFormat="1" applyFont="1" applyFill="1" applyBorder="1" applyAlignment="1">
      <alignment horizontal="center"/>
    </xf>
    <xf numFmtId="49" fontId="1" fillId="6" borderId="9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64" fontId="1" fillId="7" borderId="1" xfId="5" applyNumberFormat="1" applyFont="1" applyFill="1" applyBorder="1" applyAlignment="1">
      <alignment horizontal="right"/>
    </xf>
    <xf numFmtId="164" fontId="1" fillId="6" borderId="1" xfId="14" applyNumberFormat="1" applyFont="1" applyFill="1" applyBorder="1" applyAlignment="1">
      <alignment horizontal="right"/>
    </xf>
    <xf numFmtId="49" fontId="1" fillId="6" borderId="2" xfId="11" applyNumberFormat="1" applyFont="1" applyFill="1" applyBorder="1" applyAlignment="1">
      <alignment horizontal="center"/>
    </xf>
    <xf numFmtId="49" fontId="1" fillId="6" borderId="9" xfId="5" applyNumberFormat="1" applyFont="1" applyFill="1" applyBorder="1" applyAlignment="1">
      <alignment horizontal="center"/>
    </xf>
    <xf numFmtId="49" fontId="1" fillId="6" borderId="3" xfId="5" applyNumberFormat="1" applyFont="1" applyFill="1" applyBorder="1" applyAlignment="1">
      <alignment horizontal="center" wrapText="1"/>
    </xf>
    <xf numFmtId="49" fontId="1" fillId="6" borderId="1" xfId="5" applyNumberFormat="1" applyFont="1" applyFill="1" applyBorder="1" applyAlignment="1">
      <alignment horizontal="center"/>
    </xf>
    <xf numFmtId="164" fontId="3" fillId="6" borderId="1" xfId="7" applyNumberFormat="1" applyFont="1" applyFill="1" applyBorder="1" applyAlignment="1">
      <alignment horizontal="right"/>
    </xf>
    <xf numFmtId="165" fontId="1" fillId="0" borderId="13" xfId="3" applyNumberFormat="1" applyFont="1" applyBorder="1" applyAlignment="1">
      <alignment horizontal="center"/>
    </xf>
    <xf numFmtId="164" fontId="1" fillId="8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5" applyNumberFormat="1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28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166" fontId="1" fillId="3" borderId="0" xfId="7" applyNumberFormat="1" applyFont="1" applyFill="1" applyAlignment="1">
      <alignment horizontal="right"/>
    </xf>
    <xf numFmtId="0" fontId="1" fillId="3" borderId="0" xfId="1" applyFont="1" applyFill="1"/>
    <xf numFmtId="0" fontId="1" fillId="3" borderId="0" xfId="1" applyFont="1" applyFill="1" applyBorder="1" applyAlignment="1">
      <alignment wrapText="1"/>
    </xf>
    <xf numFmtId="168" fontId="1" fillId="3" borderId="0" xfId="1" applyNumberFormat="1" applyFont="1" applyFill="1" applyAlignment="1">
      <alignment horizontal="right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168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165" fontId="4" fillId="3" borderId="1" xfId="0" applyNumberFormat="1" applyFont="1" applyFill="1" applyBorder="1"/>
    <xf numFmtId="165" fontId="1" fillId="3" borderId="0" xfId="1" applyNumberFormat="1" applyFont="1" applyFill="1"/>
    <xf numFmtId="0" fontId="1" fillId="3" borderId="1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/>
    <xf numFmtId="164" fontId="1" fillId="3" borderId="0" xfId="1" applyNumberFormat="1" applyFont="1" applyFill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2" fillId="3" borderId="1" xfId="7" applyFont="1" applyFill="1" applyBorder="1" applyAlignment="1">
      <alignment horizontal="center" vertical="top"/>
    </xf>
    <xf numFmtId="0" fontId="2" fillId="3" borderId="1" xfId="7" applyFont="1" applyFill="1" applyBorder="1" applyAlignment="1">
      <alignment vertical="top" wrapText="1"/>
    </xf>
    <xf numFmtId="165" fontId="2" fillId="3" borderId="1" xfId="1" applyNumberFormat="1" applyFont="1" applyFill="1" applyBorder="1" applyAlignment="1">
      <alignment horizontal="right"/>
    </xf>
    <xf numFmtId="0" fontId="1" fillId="3" borderId="1" xfId="7" applyFont="1" applyFill="1" applyBorder="1" applyAlignment="1">
      <alignment horizontal="center" vertical="top"/>
    </xf>
    <xf numFmtId="0" fontId="1" fillId="3" borderId="1" xfId="7" applyFont="1" applyFill="1" applyBorder="1" applyAlignment="1">
      <alignment vertical="top" wrapText="1"/>
    </xf>
    <xf numFmtId="165" fontId="1" fillId="3" borderId="1" xfId="1" applyNumberFormat="1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2" fillId="3" borderId="0" xfId="1" applyFont="1" applyFill="1"/>
    <xf numFmtId="0" fontId="1" fillId="3" borderId="1" xfId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top"/>
    </xf>
    <xf numFmtId="165" fontId="2" fillId="3" borderId="1" xfId="10" applyNumberFormat="1" applyFont="1" applyFill="1" applyBorder="1" applyAlignment="1">
      <alignment vertical="top"/>
    </xf>
    <xf numFmtId="0" fontId="1" fillId="3" borderId="0" xfId="7" applyFont="1" applyFill="1" applyBorder="1"/>
    <xf numFmtId="168" fontId="1" fillId="3" borderId="0" xfId="1" applyNumberFormat="1" applyFont="1" applyFill="1"/>
    <xf numFmtId="0" fontId="1" fillId="3" borderId="0" xfId="7" applyFont="1" applyFill="1" applyAlignment="1">
      <alignment wrapText="1"/>
    </xf>
    <xf numFmtId="168" fontId="1" fillId="3" borderId="0" xfId="7" applyNumberFormat="1" applyFont="1" applyFill="1" applyBorder="1"/>
    <xf numFmtId="0" fontId="4" fillId="3" borderId="1" xfId="0" applyFont="1" applyFill="1" applyBorder="1" applyAlignment="1">
      <alignment horizontal="left"/>
    </xf>
    <xf numFmtId="165" fontId="1" fillId="3" borderId="1" xfId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vertical="top" wrapText="1"/>
    </xf>
    <xf numFmtId="0" fontId="1" fillId="3" borderId="1" xfId="1" applyFont="1" applyFill="1" applyBorder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3" borderId="1" xfId="7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6" fillId="3" borderId="1" xfId="1" applyFont="1" applyFill="1" applyBorder="1" applyAlignment="1">
      <alignment horizontal="center" vertical="top"/>
    </xf>
    <xf numFmtId="0" fontId="6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164" fontId="6" fillId="3" borderId="1" xfId="1" applyNumberFormat="1" applyFont="1" applyFill="1" applyBorder="1" applyAlignment="1"/>
    <xf numFmtId="0" fontId="6" fillId="3" borderId="5" xfId="1" applyFont="1" applyFill="1" applyBorder="1" applyAlignment="1">
      <alignment horizontal="center"/>
    </xf>
    <xf numFmtId="0" fontId="6" fillId="3" borderId="24" xfId="5" applyFont="1" applyFill="1" applyBorder="1" applyAlignment="1">
      <alignment wrapText="1"/>
    </xf>
    <xf numFmtId="164" fontId="6" fillId="3" borderId="24" xfId="1" applyNumberFormat="1" applyFont="1" applyFill="1" applyBorder="1" applyAlignme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6" fillId="3" borderId="1" xfId="1" applyFont="1" applyFill="1" applyBorder="1" applyAlignment="1">
      <alignment horizontal="center"/>
    </xf>
    <xf numFmtId="0" fontId="6" fillId="3" borderId="1" xfId="5" applyFont="1" applyFill="1" applyBorder="1" applyAlignment="1">
      <alignment wrapText="1"/>
    </xf>
    <xf numFmtId="164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/>
    <xf numFmtId="0" fontId="6" fillId="3" borderId="1" xfId="0" applyFont="1" applyFill="1" applyBorder="1" applyAlignment="1">
      <alignment horizontal="left" wrapText="1"/>
    </xf>
    <xf numFmtId="0" fontId="3" fillId="3" borderId="1" xfId="5" applyFont="1" applyFill="1" applyBorder="1" applyAlignment="1">
      <alignment horizontal="left" wrapText="1"/>
    </xf>
    <xf numFmtId="49" fontId="3" fillId="3" borderId="0" xfId="5" applyNumberFormat="1" applyFont="1" applyFill="1" applyBorder="1" applyAlignment="1">
      <alignment horizontal="center" vertical="top" wrapText="1"/>
    </xf>
    <xf numFmtId="0" fontId="3" fillId="3" borderId="0" xfId="5" applyNumberFormat="1" applyFont="1" applyFill="1" applyBorder="1" applyAlignment="1">
      <alignment horizontal="left" wrapText="1"/>
    </xf>
    <xf numFmtId="164" fontId="3" fillId="3" borderId="0" xfId="5" applyNumberFormat="1" applyFont="1" applyFill="1" applyBorder="1" applyAlignment="1">
      <alignment horizontal="right" wrapText="1"/>
    </xf>
    <xf numFmtId="49" fontId="10" fillId="3" borderId="0" xfId="7" applyNumberFormat="1" applyFont="1" applyFill="1" applyBorder="1" applyAlignment="1">
      <alignment vertical="top" wrapText="1"/>
    </xf>
    <xf numFmtId="164" fontId="3" fillId="3" borderId="0" xfId="0" applyNumberFormat="1" applyFont="1" applyFill="1"/>
    <xf numFmtId="0" fontId="3" fillId="3" borderId="0" xfId="7" applyFont="1" applyFill="1" applyBorder="1" applyAlignment="1">
      <alignment horizontal="left"/>
    </xf>
    <xf numFmtId="164" fontId="4" fillId="3" borderId="0" xfId="7" applyNumberFormat="1" applyFont="1" applyFill="1" applyBorder="1" applyAlignment="1"/>
    <xf numFmtId="166" fontId="11" fillId="3" borderId="0" xfId="7" applyNumberFormat="1" applyFont="1" applyFill="1"/>
    <xf numFmtId="0" fontId="11" fillId="3" borderId="0" xfId="7" applyFont="1" applyFill="1"/>
    <xf numFmtId="0" fontId="3" fillId="3" borderId="0" xfId="7" applyFont="1" applyFill="1" applyAlignment="1">
      <alignment horizontal="left"/>
    </xf>
    <xf numFmtId="166" fontId="3" fillId="3" borderId="0" xfId="7" applyNumberFormat="1" applyFont="1" applyFill="1" applyAlignment="1">
      <alignment horizontal="right"/>
    </xf>
    <xf numFmtId="0" fontId="1" fillId="3" borderId="0" xfId="7" applyFont="1" applyFill="1" applyAlignment="1">
      <alignment horizontal="right"/>
    </xf>
    <xf numFmtId="0" fontId="1" fillId="3" borderId="0" xfId="1" applyFont="1" applyFill="1" applyAlignment="1">
      <alignment horizontal="center" vertical="center"/>
    </xf>
    <xf numFmtId="0" fontId="1" fillId="3" borderId="1" xfId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3" fontId="1" fillId="3" borderId="1" xfId="1" applyNumberFormat="1" applyFont="1" applyFill="1" applyBorder="1" applyAlignment="1">
      <alignment horizontal="center" wrapText="1"/>
    </xf>
    <xf numFmtId="0" fontId="2" fillId="3" borderId="1" xfId="7" applyFont="1" applyFill="1" applyBorder="1" applyAlignment="1">
      <alignment horizontal="left" vertical="top"/>
    </xf>
    <xf numFmtId="164" fontId="2" fillId="3" borderId="1" xfId="1" applyNumberFormat="1" applyFont="1" applyFill="1" applyBorder="1" applyAlignment="1">
      <alignment horizontal="right" vertical="top"/>
    </xf>
    <xf numFmtId="3" fontId="1" fillId="3" borderId="0" xfId="1" applyNumberFormat="1" applyFont="1" applyFill="1"/>
    <xf numFmtId="0" fontId="1" fillId="3" borderId="0" xfId="7" applyFont="1" applyFill="1"/>
    <xf numFmtId="1" fontId="1" fillId="3" borderId="0" xfId="7" applyNumberFormat="1" applyFont="1" applyFill="1"/>
    <xf numFmtId="3" fontId="1" fillId="3" borderId="0" xfId="7" applyNumberFormat="1" applyFont="1" applyFill="1" applyBorder="1"/>
    <xf numFmtId="164" fontId="1" fillId="3" borderId="0" xfId="0" applyNumberFormat="1" applyFont="1" applyFill="1" applyAlignment="1">
      <alignment horizontal="right"/>
    </xf>
    <xf numFmtId="0" fontId="1" fillId="3" borderId="1" xfId="7" applyFont="1" applyFill="1" applyBorder="1" applyAlignment="1">
      <alignment wrapText="1"/>
    </xf>
    <xf numFmtId="164" fontId="1" fillId="3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13" fillId="3" borderId="0" xfId="3" applyFont="1" applyFill="1"/>
    <xf numFmtId="0" fontId="1" fillId="3" borderId="0" xfId="3" applyFont="1" applyFill="1"/>
    <xf numFmtId="166" fontId="13" fillId="3" borderId="0" xfId="3" applyNumberFormat="1" applyFont="1" applyFill="1"/>
    <xf numFmtId="0" fontId="2" fillId="3" borderId="0" xfId="3" applyFont="1" applyFill="1" applyAlignment="1">
      <alignment horizontal="center"/>
    </xf>
    <xf numFmtId="0" fontId="3" fillId="3" borderId="0" xfId="3" applyFont="1" applyFill="1" applyAlignment="1">
      <alignment horizontal="right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7" applyFont="1" applyFill="1" applyBorder="1" applyAlignment="1">
      <alignment horizontal="center"/>
    </xf>
    <xf numFmtId="1" fontId="3" fillId="3" borderId="1" xfId="7" applyNumberFormat="1" applyFont="1" applyFill="1" applyBorder="1" applyAlignment="1">
      <alignment horizontal="center"/>
    </xf>
    <xf numFmtId="0" fontId="1" fillId="3" borderId="7" xfId="3" applyFont="1" applyFill="1" applyBorder="1" applyAlignment="1">
      <alignment horizontal="center" wrapText="1"/>
    </xf>
    <xf numFmtId="0" fontId="2" fillId="3" borderId="5" xfId="3" applyFont="1" applyFill="1" applyBorder="1" applyAlignment="1"/>
    <xf numFmtId="164" fontId="2" fillId="3" borderId="5" xfId="10" applyNumberFormat="1" applyFont="1" applyFill="1" applyBorder="1" applyAlignment="1">
      <alignment horizontal="right" wrapText="1"/>
    </xf>
    <xf numFmtId="169" fontId="26" fillId="3" borderId="0" xfId="3" applyNumberFormat="1" applyFont="1" applyFill="1"/>
    <xf numFmtId="0" fontId="1" fillId="3" borderId="12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center" wrapText="1"/>
    </xf>
    <xf numFmtId="0" fontId="1" fillId="3" borderId="12" xfId="3" applyFont="1" applyFill="1" applyBorder="1" applyAlignment="1">
      <alignment horizontal="left"/>
    </xf>
    <xf numFmtId="164" fontId="1" fillId="3" borderId="12" xfId="3" applyNumberFormat="1" applyFont="1" applyFill="1" applyBorder="1" applyAlignment="1">
      <alignment horizontal="right" wrapText="1"/>
    </xf>
    <xf numFmtId="0" fontId="2" fillId="3" borderId="12" xfId="3" applyFont="1" applyFill="1" applyBorder="1" applyAlignment="1">
      <alignment wrapText="1"/>
    </xf>
    <xf numFmtId="164" fontId="2" fillId="3" borderId="12" xfId="3" applyNumberFormat="1" applyFont="1" applyFill="1" applyBorder="1" applyAlignment="1">
      <alignment horizontal="right" wrapText="1"/>
    </xf>
    <xf numFmtId="0" fontId="1" fillId="3" borderId="12" xfId="3" applyFont="1" applyFill="1" applyBorder="1" applyAlignment="1">
      <alignment wrapText="1"/>
    </xf>
    <xf numFmtId="0" fontId="1" fillId="3" borderId="13" xfId="3" applyFont="1" applyFill="1" applyBorder="1" applyAlignment="1">
      <alignment horizontal="left" vertical="top" wrapText="1"/>
    </xf>
    <xf numFmtId="0" fontId="1" fillId="3" borderId="4" xfId="3" applyFont="1" applyFill="1" applyBorder="1" applyAlignment="1">
      <alignment horizontal="center" wrapText="1"/>
    </xf>
    <xf numFmtId="0" fontId="1" fillId="3" borderId="13" xfId="3" applyFont="1" applyFill="1" applyBorder="1" applyAlignment="1">
      <alignment wrapText="1"/>
    </xf>
    <xf numFmtId="164" fontId="1" fillId="3" borderId="13" xfId="3" applyNumberFormat="1" applyFont="1" applyFill="1" applyBorder="1" applyAlignment="1">
      <alignment horizontal="right" wrapText="1"/>
    </xf>
    <xf numFmtId="49" fontId="1" fillId="3" borderId="7" xfId="3" applyNumberFormat="1" applyFont="1" applyFill="1" applyBorder="1" applyAlignment="1">
      <alignment horizontal="center" vertical="top"/>
    </xf>
    <xf numFmtId="0" fontId="1" fillId="3" borderId="5" xfId="3" applyFont="1" applyFill="1" applyBorder="1" applyAlignment="1">
      <alignment wrapText="1"/>
    </xf>
    <xf numFmtId="164" fontId="1" fillId="3" borderId="5" xfId="3" applyNumberFormat="1" applyFont="1" applyFill="1" applyBorder="1" applyAlignment="1">
      <alignment horizontal="right" wrapText="1"/>
    </xf>
    <xf numFmtId="49" fontId="2" fillId="3" borderId="0" xfId="3" applyNumberFormat="1" applyFont="1" applyFill="1" applyBorder="1" applyAlignment="1">
      <alignment horizontal="center" vertical="top"/>
    </xf>
    <xf numFmtId="0" fontId="1" fillId="3" borderId="12" xfId="3" applyFont="1" applyFill="1" applyBorder="1" applyAlignment="1">
      <alignment horizontal="center" wrapText="1"/>
    </xf>
    <xf numFmtId="49" fontId="1" fillId="3" borderId="0" xfId="3" applyNumberFormat="1" applyFont="1" applyFill="1" applyBorder="1" applyAlignment="1">
      <alignment horizontal="center" vertical="top"/>
    </xf>
    <xf numFmtId="49" fontId="1" fillId="3" borderId="5" xfId="3" applyNumberFormat="1" applyFont="1" applyFill="1" applyBorder="1" applyAlignment="1">
      <alignment horizontal="center" vertical="top"/>
    </xf>
    <xf numFmtId="49" fontId="1" fillId="3" borderId="12" xfId="3" applyNumberFormat="1" applyFont="1" applyFill="1" applyBorder="1" applyAlignment="1">
      <alignment horizontal="center" vertical="top"/>
    </xf>
    <xf numFmtId="49" fontId="2" fillId="3" borderId="12" xfId="3" applyNumberFormat="1" applyFont="1" applyFill="1" applyBorder="1" applyAlignment="1">
      <alignment horizontal="center" vertical="top"/>
    </xf>
    <xf numFmtId="49" fontId="3" fillId="3" borderId="12" xfId="3" applyNumberFormat="1" applyFont="1" applyFill="1" applyBorder="1" applyAlignment="1">
      <alignment horizontal="center" vertical="top"/>
    </xf>
    <xf numFmtId="0" fontId="3" fillId="3" borderId="12" xfId="3" applyFont="1" applyFill="1" applyBorder="1" applyAlignment="1">
      <alignment wrapText="1"/>
    </xf>
    <xf numFmtId="164" fontId="3" fillId="3" borderId="12" xfId="3" applyNumberFormat="1" applyFont="1" applyFill="1" applyBorder="1" applyAlignment="1">
      <alignment horizontal="right" wrapText="1"/>
    </xf>
    <xf numFmtId="49" fontId="2" fillId="3" borderId="13" xfId="3" applyNumberFormat="1" applyFont="1" applyFill="1" applyBorder="1" applyAlignment="1">
      <alignment horizontal="center" vertical="top"/>
    </xf>
    <xf numFmtId="0" fontId="2" fillId="3" borderId="13" xfId="3" applyFont="1" applyFill="1" applyBorder="1" applyAlignment="1">
      <alignment wrapText="1"/>
    </xf>
    <xf numFmtId="0" fontId="1" fillId="3" borderId="13" xfId="3" applyFont="1" applyFill="1" applyBorder="1" applyAlignment="1">
      <alignment horizontal="center" wrapText="1"/>
    </xf>
    <xf numFmtId="49" fontId="1" fillId="3" borderId="12" xfId="11" applyNumberFormat="1" applyFont="1" applyFill="1" applyBorder="1" applyAlignment="1">
      <alignment wrapText="1"/>
    </xf>
    <xf numFmtId="164" fontId="13" fillId="3" borderId="0" xfId="3" applyNumberFormat="1" applyFont="1" applyFill="1"/>
    <xf numFmtId="49" fontId="1" fillId="3" borderId="13" xfId="3" applyNumberFormat="1" applyFont="1" applyFill="1" applyBorder="1" applyAlignment="1">
      <alignment horizontal="center" vertical="top"/>
    </xf>
    <xf numFmtId="0" fontId="1" fillId="3" borderId="0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wrapText="1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5" applyNumberFormat="1" applyFont="1" applyFill="1" applyBorder="1" applyAlignment="1">
      <alignment wrapText="1"/>
    </xf>
    <xf numFmtId="49" fontId="3" fillId="3" borderId="2" xfId="11" applyNumberFormat="1" applyFont="1" applyFill="1" applyBorder="1" applyAlignment="1">
      <alignment horizontal="center"/>
    </xf>
    <xf numFmtId="49" fontId="3" fillId="3" borderId="9" xfId="5" applyNumberFormat="1" applyFont="1" applyFill="1" applyBorder="1" applyAlignment="1">
      <alignment horizontal="center"/>
    </xf>
    <xf numFmtId="49" fontId="3" fillId="3" borderId="3" xfId="5" applyNumberFormat="1" applyFont="1" applyFill="1" applyBorder="1" applyAlignment="1">
      <alignment horizontal="center"/>
    </xf>
    <xf numFmtId="49" fontId="3" fillId="3" borderId="1" xfId="5" applyNumberFormat="1" applyFont="1" applyFill="1" applyBorder="1" applyAlignment="1">
      <alignment horizontal="center"/>
    </xf>
    <xf numFmtId="2" fontId="3" fillId="3" borderId="23" xfId="14" applyNumberFormat="1" applyFont="1" applyFill="1" applyBorder="1" applyAlignment="1">
      <alignment wrapText="1"/>
    </xf>
    <xf numFmtId="49" fontId="3" fillId="3" borderId="23" xfId="14" applyNumberFormat="1" applyFont="1" applyFill="1" applyBorder="1" applyAlignment="1">
      <alignment horizontal="center"/>
    </xf>
    <xf numFmtId="49" fontId="3" fillId="3" borderId="22" xfId="14" applyNumberFormat="1" applyFont="1" applyFill="1" applyBorder="1" applyAlignment="1">
      <alignment horizontal="center"/>
    </xf>
    <xf numFmtId="49" fontId="3" fillId="3" borderId="19" xfId="14" applyNumberFormat="1" applyFont="1" applyFill="1" applyBorder="1" applyAlignment="1">
      <alignment wrapText="1"/>
    </xf>
    <xf numFmtId="49" fontId="3" fillId="3" borderId="19" xfId="14" applyNumberFormat="1" applyFont="1" applyFill="1" applyBorder="1" applyAlignment="1">
      <alignment horizontal="center"/>
    </xf>
    <xf numFmtId="49" fontId="3" fillId="3" borderId="16" xfId="14" applyNumberFormat="1" applyFont="1" applyFill="1" applyBorder="1" applyAlignment="1">
      <alignment horizontal="center"/>
    </xf>
    <xf numFmtId="0" fontId="11" fillId="3" borderId="0" xfId="7" applyFont="1" applyFill="1" applyAlignment="1">
      <alignment horizontal="center"/>
    </xf>
    <xf numFmtId="49" fontId="11" fillId="3" borderId="0" xfId="7" applyNumberFormat="1" applyFont="1" applyFill="1" applyAlignment="1">
      <alignment vertical="top" wrapText="1"/>
    </xf>
    <xf numFmtId="49" fontId="11" fillId="3" borderId="0" xfId="7" applyNumberFormat="1" applyFont="1" applyFill="1" applyAlignment="1">
      <alignment horizontal="center"/>
    </xf>
    <xf numFmtId="164" fontId="11" fillId="3" borderId="0" xfId="7" applyNumberFormat="1" applyFont="1" applyFill="1" applyAlignment="1">
      <alignment horizontal="center"/>
    </xf>
    <xf numFmtId="164" fontId="11" fillId="3" borderId="0" xfId="7" applyNumberFormat="1" applyFont="1" applyFill="1"/>
    <xf numFmtId="0" fontId="11" fillId="3" borderId="0" xfId="7" applyFont="1" applyFill="1" applyBorder="1" applyAlignment="1">
      <alignment horizontal="center" vertical="top"/>
    </xf>
    <xf numFmtId="164" fontId="3" fillId="3" borderId="4" xfId="7" applyNumberFormat="1" applyFont="1" applyFill="1" applyBorder="1" applyAlignment="1">
      <alignment horizontal="right"/>
    </xf>
    <xf numFmtId="49" fontId="3" fillId="3" borderId="1" xfId="7" applyNumberFormat="1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>
      <alignment horizontal="center" vertical="center"/>
    </xf>
    <xf numFmtId="164" fontId="3" fillId="3" borderId="1" xfId="7" applyNumberFormat="1" applyFont="1" applyFill="1" applyBorder="1" applyAlignment="1">
      <alignment horizontal="center" vertical="center"/>
    </xf>
    <xf numFmtId="49" fontId="3" fillId="3" borderId="1" xfId="7" applyNumberFormat="1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/>
    </xf>
    <xf numFmtId="0" fontId="3" fillId="3" borderId="1" xfId="7" applyFont="1" applyFill="1" applyBorder="1" applyAlignment="1">
      <alignment horizontal="center" vertical="top"/>
    </xf>
    <xf numFmtId="49" fontId="4" fillId="3" borderId="1" xfId="7" applyNumberFormat="1" applyFont="1" applyFill="1" applyBorder="1" applyAlignment="1">
      <alignment horizontal="left" vertical="top" wrapText="1"/>
    </xf>
    <xf numFmtId="49" fontId="3" fillId="3" borderId="9" xfId="7" applyNumberFormat="1" applyFont="1" applyFill="1" applyBorder="1" applyAlignment="1">
      <alignment horizontal="center" vertical="top"/>
    </xf>
    <xf numFmtId="49" fontId="3" fillId="3" borderId="1" xfId="7" applyNumberFormat="1" applyFont="1" applyFill="1" applyBorder="1" applyAlignment="1">
      <alignment horizontal="center" vertical="top"/>
    </xf>
    <xf numFmtId="164" fontId="4" fillId="3" borderId="1" xfId="7" applyNumberFormat="1" applyFont="1" applyFill="1" applyBorder="1" applyAlignment="1">
      <alignment horizontal="right" vertical="top"/>
    </xf>
    <xf numFmtId="170" fontId="16" fillId="3" borderId="0" xfId="7" applyNumberFormat="1" applyFont="1" applyFill="1"/>
    <xf numFmtId="0" fontId="4" fillId="3" borderId="1" xfId="5" applyFont="1" applyFill="1" applyBorder="1" applyAlignment="1">
      <alignment horizontal="center" vertical="top"/>
    </xf>
    <xf numFmtId="49" fontId="4" fillId="3" borderId="1" xfId="7" applyNumberFormat="1" applyFont="1" applyFill="1" applyBorder="1" applyAlignment="1">
      <alignment horizontal="left" wrapText="1"/>
    </xf>
    <xf numFmtId="49" fontId="4" fillId="3" borderId="4" xfId="7" applyNumberFormat="1" applyFont="1" applyFill="1" applyBorder="1" applyAlignment="1">
      <alignment horizontal="center"/>
    </xf>
    <xf numFmtId="49" fontId="4" fillId="3" borderId="10" xfId="7" applyNumberFormat="1" applyFont="1" applyFill="1" applyBorder="1" applyAlignment="1">
      <alignment horizontal="center"/>
    </xf>
    <xf numFmtId="49" fontId="4" fillId="3" borderId="1" xfId="7" applyNumberFormat="1" applyFont="1" applyFill="1" applyBorder="1" applyAlignment="1">
      <alignment horizontal="center"/>
    </xf>
    <xf numFmtId="164" fontId="4" fillId="3" borderId="1" xfId="7" applyNumberFormat="1" applyFont="1" applyFill="1" applyBorder="1" applyAlignment="1">
      <alignment horizontal="right"/>
    </xf>
    <xf numFmtId="0" fontId="10" fillId="3" borderId="0" xfId="7" applyFont="1" applyFill="1"/>
    <xf numFmtId="49" fontId="3" fillId="3" borderId="1" xfId="0" applyNumberFormat="1" applyFont="1" applyFill="1" applyBorder="1" applyAlignment="1">
      <alignment wrapText="1"/>
    </xf>
    <xf numFmtId="164" fontId="3" fillId="3" borderId="1" xfId="7" applyNumberFormat="1" applyFont="1" applyFill="1" applyBorder="1" applyAlignment="1">
      <alignment horizontal="right"/>
    </xf>
    <xf numFmtId="49" fontId="3" fillId="3" borderId="1" xfId="5" applyNumberFormat="1" applyFont="1" applyFill="1" applyBorder="1" applyAlignment="1">
      <alignment horizontal="left" wrapText="1"/>
    </xf>
    <xf numFmtId="2" fontId="3" fillId="3" borderId="3" xfId="0" applyNumberFormat="1" applyFont="1" applyFill="1" applyBorder="1" applyAlignment="1">
      <alignment wrapText="1"/>
    </xf>
    <xf numFmtId="49" fontId="3" fillId="3" borderId="1" xfId="7" applyNumberFormat="1" applyFont="1" applyFill="1" applyBorder="1" applyAlignment="1">
      <alignment wrapText="1"/>
    </xf>
    <xf numFmtId="0" fontId="4" fillId="3" borderId="1" xfId="7" applyFont="1" applyFill="1" applyBorder="1" applyAlignment="1">
      <alignment horizontal="center" vertical="top"/>
    </xf>
    <xf numFmtId="49" fontId="4" fillId="3" borderId="9" xfId="7" applyNumberFormat="1" applyFont="1" applyFill="1" applyBorder="1" applyAlignment="1">
      <alignment horizontal="center"/>
    </xf>
    <xf numFmtId="49" fontId="4" fillId="3" borderId="3" xfId="7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4" applyNumberFormat="1" applyFont="1" applyFill="1" applyBorder="1" applyAlignment="1" applyProtection="1">
      <alignment horizontal="left" wrapText="1"/>
      <protection hidden="1"/>
    </xf>
    <xf numFmtId="0" fontId="11" fillId="3" borderId="1" xfId="7" applyFont="1" applyFill="1" applyBorder="1" applyAlignment="1">
      <alignment horizontal="center" vertical="top"/>
    </xf>
    <xf numFmtId="164" fontId="3" fillId="3" borderId="1" xfId="7" applyNumberFormat="1" applyFont="1" applyFill="1" applyBorder="1" applyAlignment="1"/>
    <xf numFmtId="49" fontId="3" fillId="3" borderId="2" xfId="6" applyNumberFormat="1" applyFont="1" applyFill="1" applyBorder="1" applyAlignment="1">
      <alignment horizontal="center"/>
    </xf>
    <xf numFmtId="49" fontId="3" fillId="3" borderId="9" xfId="6" applyNumberFormat="1" applyFont="1" applyFill="1" applyBorder="1" applyAlignment="1">
      <alignment horizontal="center"/>
    </xf>
    <xf numFmtId="49" fontId="3" fillId="3" borderId="3" xfId="6" applyNumberFormat="1" applyFont="1" applyFill="1" applyBorder="1" applyAlignment="1">
      <alignment horizontal="center"/>
    </xf>
    <xf numFmtId="49" fontId="3" fillId="3" borderId="1" xfId="6" applyNumberFormat="1" applyFont="1" applyFill="1" applyBorder="1" applyAlignment="1">
      <alignment horizontal="center"/>
    </xf>
    <xf numFmtId="49" fontId="3" fillId="3" borderId="4" xfId="7" applyNumberFormat="1" applyFont="1" applyFill="1" applyBorder="1" applyAlignment="1">
      <alignment horizontal="center"/>
    </xf>
    <xf numFmtId="49" fontId="3" fillId="3" borderId="0" xfId="7" applyNumberFormat="1" applyFont="1" applyFill="1" applyBorder="1" applyAlignment="1">
      <alignment horizontal="center"/>
    </xf>
    <xf numFmtId="49" fontId="3" fillId="3" borderId="11" xfId="7" applyNumberFormat="1" applyFont="1" applyFill="1" applyBorder="1" applyAlignment="1">
      <alignment horizontal="center"/>
    </xf>
    <xf numFmtId="49" fontId="4" fillId="3" borderId="1" xfId="7" applyNumberFormat="1" applyFont="1" applyFill="1" applyBorder="1" applyAlignment="1">
      <alignment wrapText="1"/>
    </xf>
    <xf numFmtId="49" fontId="3" fillId="3" borderId="9" xfId="14" applyNumberFormat="1" applyFont="1" applyFill="1" applyBorder="1" applyAlignment="1">
      <alignment horizontal="center"/>
    </xf>
    <xf numFmtId="49" fontId="3" fillId="3" borderId="1" xfId="14" applyNumberFormat="1" applyFont="1" applyFill="1" applyBorder="1" applyAlignment="1">
      <alignment horizontal="center"/>
    </xf>
    <xf numFmtId="49" fontId="3" fillId="3" borderId="1" xfId="6" applyNumberFormat="1" applyFont="1" applyFill="1" applyBorder="1" applyAlignment="1">
      <alignment horizontal="left" wrapText="1"/>
    </xf>
    <xf numFmtId="49" fontId="3" fillId="3" borderId="3" xfId="6" applyNumberFormat="1" applyFont="1" applyFill="1" applyBorder="1" applyAlignment="1">
      <alignment horizontal="left" wrapText="1"/>
    </xf>
    <xf numFmtId="0" fontId="3" fillId="3" borderId="1" xfId="5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/>
    </xf>
    <xf numFmtId="49" fontId="4" fillId="3" borderId="1" xfId="5" applyNumberFormat="1" applyFont="1" applyFill="1" applyBorder="1" applyAlignment="1">
      <alignment horizontal="left" wrapText="1"/>
    </xf>
    <xf numFmtId="49" fontId="4" fillId="3" borderId="9" xfId="6" applyNumberFormat="1" applyFont="1" applyFill="1" applyBorder="1" applyAlignment="1">
      <alignment horizontal="center"/>
    </xf>
    <xf numFmtId="166" fontId="4" fillId="3" borderId="1" xfId="7" applyNumberFormat="1" applyFont="1" applyFill="1" applyBorder="1" applyAlignment="1">
      <alignment horizontal="center"/>
    </xf>
    <xf numFmtId="49" fontId="3" fillId="3" borderId="1" xfId="5" applyNumberFormat="1" applyFont="1" applyFill="1" applyBorder="1" applyAlignment="1">
      <alignment wrapText="1"/>
    </xf>
    <xf numFmtId="49" fontId="3" fillId="3" borderId="6" xfId="11" applyNumberFormat="1" applyFont="1" applyFill="1" applyBorder="1" applyAlignment="1">
      <alignment horizontal="center"/>
    </xf>
    <xf numFmtId="49" fontId="3" fillId="3" borderId="7" xfId="5" applyNumberFormat="1" applyFont="1" applyFill="1" applyBorder="1" applyAlignment="1">
      <alignment horizontal="center"/>
    </xf>
    <xf numFmtId="49" fontId="3" fillId="3" borderId="8" xfId="5" applyNumberFormat="1" applyFont="1" applyFill="1" applyBorder="1" applyAlignment="1">
      <alignment horizontal="center"/>
    </xf>
    <xf numFmtId="166" fontId="3" fillId="3" borderId="1" xfId="7" applyNumberFormat="1" applyFont="1" applyFill="1" applyBorder="1" applyAlignment="1">
      <alignment horizontal="center"/>
    </xf>
    <xf numFmtId="49" fontId="3" fillId="3" borderId="6" xfId="6" applyNumberFormat="1" applyFont="1" applyFill="1" applyBorder="1" applyAlignment="1">
      <alignment horizontal="center"/>
    </xf>
    <xf numFmtId="49" fontId="3" fillId="3" borderId="0" xfId="5" applyNumberFormat="1" applyFont="1" applyFill="1" applyBorder="1" applyAlignment="1">
      <alignment horizontal="center"/>
    </xf>
    <xf numFmtId="49" fontId="3" fillId="3" borderId="22" xfId="14" applyNumberFormat="1" applyFont="1" applyFill="1" applyBorder="1" applyAlignment="1">
      <alignment wrapText="1"/>
    </xf>
    <xf numFmtId="49" fontId="3" fillId="3" borderId="17" xfId="6" applyNumberFormat="1" applyFont="1" applyFill="1" applyBorder="1" applyAlignment="1">
      <alignment horizontal="center"/>
    </xf>
    <xf numFmtId="49" fontId="3" fillId="3" borderId="18" xfId="14" applyNumberFormat="1" applyFont="1" applyFill="1" applyBorder="1" applyAlignment="1">
      <alignment horizontal="center"/>
    </xf>
    <xf numFmtId="49" fontId="3" fillId="3" borderId="16" xfId="14" applyNumberFormat="1" applyFont="1" applyFill="1" applyBorder="1" applyAlignment="1">
      <alignment wrapText="1"/>
    </xf>
    <xf numFmtId="49" fontId="3" fillId="3" borderId="17" xfId="5" applyNumberFormat="1" applyFont="1" applyFill="1" applyBorder="1" applyAlignment="1">
      <alignment wrapText="1"/>
    </xf>
    <xf numFmtId="49" fontId="3" fillId="3" borderId="26" xfId="6" applyNumberFormat="1" applyFont="1" applyFill="1" applyBorder="1" applyAlignment="1">
      <alignment horizontal="center"/>
    </xf>
    <xf numFmtId="49" fontId="3" fillId="3" borderId="20" xfId="6" applyNumberFormat="1" applyFont="1" applyFill="1" applyBorder="1" applyAlignment="1">
      <alignment horizontal="center"/>
    </xf>
    <xf numFmtId="49" fontId="3" fillId="3" borderId="20" xfId="14" applyNumberFormat="1" applyFont="1" applyFill="1" applyBorder="1" applyAlignment="1">
      <alignment horizontal="center"/>
    </xf>
    <xf numFmtId="49" fontId="3" fillId="3" borderId="3" xfId="14" applyNumberFormat="1" applyFont="1" applyFill="1" applyBorder="1" applyAlignment="1">
      <alignment horizontal="center"/>
    </xf>
    <xf numFmtId="49" fontId="3" fillId="3" borderId="7" xfId="14" applyNumberFormat="1" applyFont="1" applyFill="1" applyBorder="1" applyAlignment="1">
      <alignment horizontal="center"/>
    </xf>
    <xf numFmtId="49" fontId="3" fillId="3" borderId="8" xfId="14" applyNumberFormat="1" applyFont="1" applyFill="1" applyBorder="1" applyAlignment="1">
      <alignment horizontal="center"/>
    </xf>
    <xf numFmtId="49" fontId="3" fillId="3" borderId="9" xfId="5" applyNumberFormat="1" applyFont="1" applyFill="1" applyBorder="1" applyAlignment="1">
      <alignment wrapText="1"/>
    </xf>
    <xf numFmtId="49" fontId="3" fillId="3" borderId="3" xfId="5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wrapText="1"/>
    </xf>
    <xf numFmtId="49" fontId="3" fillId="3" borderId="16" xfId="5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3" xfId="4" applyNumberFormat="1" applyFont="1" applyFill="1" applyBorder="1" applyAlignment="1" applyProtection="1">
      <alignment horizontal="left" wrapText="1"/>
      <protection hidden="1"/>
    </xf>
    <xf numFmtId="49" fontId="3" fillId="3" borderId="3" xfId="5" applyNumberFormat="1" applyFont="1" applyFill="1" applyBorder="1" applyAlignment="1">
      <alignment horizontal="left" wrapText="1"/>
    </xf>
    <xf numFmtId="49" fontId="4" fillId="3" borderId="1" xfId="6" applyNumberFormat="1" applyFont="1" applyFill="1" applyBorder="1" applyAlignment="1">
      <alignment horizontal="center"/>
    </xf>
    <xf numFmtId="49" fontId="4" fillId="3" borderId="1" xfId="4" applyNumberFormat="1" applyFont="1" applyFill="1" applyBorder="1" applyAlignment="1" applyProtection="1">
      <alignment horizontal="left" wrapText="1"/>
      <protection hidden="1"/>
    </xf>
    <xf numFmtId="0" fontId="3" fillId="3" borderId="0" xfId="7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wrapText="1"/>
    </xf>
    <xf numFmtId="49" fontId="3" fillId="3" borderId="0" xfId="0" applyNumberFormat="1" applyFont="1" applyFill="1" applyBorder="1" applyAlignment="1">
      <alignment horizontal="center"/>
    </xf>
    <xf numFmtId="164" fontId="3" fillId="3" borderId="0" xfId="7" applyNumberFormat="1" applyFont="1" applyFill="1" applyBorder="1" applyAlignment="1">
      <alignment horizontal="right"/>
    </xf>
    <xf numFmtId="49" fontId="30" fillId="0" borderId="13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164" fontId="1" fillId="9" borderId="1" xfId="1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center" vertical="top"/>
    </xf>
    <xf numFmtId="49" fontId="1" fillId="10" borderId="3" xfId="0" applyNumberFormat="1" applyFont="1" applyFill="1" applyBorder="1" applyAlignment="1">
      <alignment wrapText="1"/>
    </xf>
    <xf numFmtId="49" fontId="1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/>
    </xf>
    <xf numFmtId="49" fontId="1" fillId="10" borderId="2" xfId="0" applyNumberFormat="1" applyFont="1" applyFill="1" applyBorder="1" applyAlignment="1">
      <alignment horizontal="center"/>
    </xf>
    <xf numFmtId="49" fontId="1" fillId="10" borderId="9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/>
    </xf>
    <xf numFmtId="49" fontId="1" fillId="11" borderId="1" xfId="0" applyNumberFormat="1" applyFont="1" applyFill="1" applyBorder="1" applyAlignment="1">
      <alignment horizontal="center"/>
    </xf>
    <xf numFmtId="49" fontId="1" fillId="11" borderId="2" xfId="0" applyNumberFormat="1" applyFont="1" applyFill="1" applyBorder="1" applyAlignment="1">
      <alignment horizontal="center"/>
    </xf>
    <xf numFmtId="49" fontId="1" fillId="11" borderId="9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right"/>
    </xf>
    <xf numFmtId="167" fontId="15" fillId="11" borderId="0" xfId="0" applyNumberFormat="1" applyFont="1" applyFill="1"/>
    <xf numFmtId="0" fontId="15" fillId="11" borderId="0" xfId="0" applyFont="1" applyFill="1"/>
    <xf numFmtId="0" fontId="10" fillId="11" borderId="0" xfId="0" applyFont="1" applyFill="1"/>
    <xf numFmtId="165" fontId="1" fillId="9" borderId="1" xfId="1" applyNumberFormat="1" applyFont="1" applyFill="1" applyBorder="1" applyAlignment="1"/>
    <xf numFmtId="0" fontId="1" fillId="11" borderId="1" xfId="5" applyFont="1" applyFill="1" applyBorder="1" applyAlignment="1">
      <alignment horizontal="center" vertical="top"/>
    </xf>
    <xf numFmtId="49" fontId="1" fillId="11" borderId="1" xfId="11" applyNumberFormat="1" applyFont="1" applyFill="1" applyBorder="1" applyAlignment="1">
      <alignment horizontal="center" wrapText="1"/>
    </xf>
    <xf numFmtId="49" fontId="1" fillId="11" borderId="1" xfId="11" applyNumberFormat="1" applyFont="1" applyFill="1" applyBorder="1" applyAlignment="1">
      <alignment horizontal="center"/>
    </xf>
    <xf numFmtId="49" fontId="1" fillId="11" borderId="2" xfId="11" applyNumberFormat="1" applyFont="1" applyFill="1" applyBorder="1" applyAlignment="1">
      <alignment horizontal="center"/>
    </xf>
    <xf numFmtId="49" fontId="1" fillId="11" borderId="9" xfId="5" applyNumberFormat="1" applyFont="1" applyFill="1" applyBorder="1" applyAlignment="1">
      <alignment horizontal="center"/>
    </xf>
    <xf numFmtId="49" fontId="1" fillId="11" borderId="3" xfId="5" applyNumberFormat="1" applyFont="1" applyFill="1" applyBorder="1" applyAlignment="1">
      <alignment horizontal="center" wrapText="1"/>
    </xf>
    <xf numFmtId="49" fontId="1" fillId="11" borderId="1" xfId="5" applyNumberFormat="1" applyFont="1" applyFill="1" applyBorder="1" applyAlignment="1">
      <alignment horizontal="center"/>
    </xf>
    <xf numFmtId="164" fontId="1" fillId="11" borderId="1" xfId="5" applyNumberFormat="1" applyFont="1" applyFill="1" applyBorder="1" applyAlignment="1">
      <alignment horizontal="right"/>
    </xf>
    <xf numFmtId="170" fontId="11" fillId="11" borderId="0" xfId="5" applyNumberFormat="1" applyFont="1" applyFill="1"/>
    <xf numFmtId="0" fontId="11" fillId="11" borderId="0" xfId="5" applyFont="1" applyFill="1"/>
    <xf numFmtId="1" fontId="2" fillId="0" borderId="0" xfId="2" applyNumberFormat="1" applyFont="1" applyFill="1" applyAlignment="1">
      <alignment horizontal="center" wrapText="1"/>
    </xf>
    <xf numFmtId="0" fontId="1" fillId="12" borderId="1" xfId="14" applyFont="1" applyFill="1" applyBorder="1" applyAlignment="1">
      <alignment horizontal="center" vertical="top"/>
    </xf>
    <xf numFmtId="49" fontId="1" fillId="12" borderId="1" xfId="11" applyNumberFormat="1" applyFont="1" applyFill="1" applyBorder="1" applyAlignment="1">
      <alignment horizontal="center" wrapText="1"/>
    </xf>
    <xf numFmtId="49" fontId="1" fillId="12" borderId="1" xfId="11" applyNumberFormat="1" applyFont="1" applyFill="1" applyBorder="1" applyAlignment="1">
      <alignment horizontal="center"/>
    </xf>
    <xf numFmtId="49" fontId="1" fillId="12" borderId="2" xfId="11" applyNumberFormat="1" applyFont="1" applyFill="1" applyBorder="1" applyAlignment="1">
      <alignment horizontal="center"/>
    </xf>
    <xf numFmtId="49" fontId="1" fillId="12" borderId="9" xfId="14" applyNumberFormat="1" applyFont="1" applyFill="1" applyBorder="1" applyAlignment="1">
      <alignment horizontal="center"/>
    </xf>
    <xf numFmtId="49" fontId="1" fillId="12" borderId="3" xfId="5" applyNumberFormat="1" applyFont="1" applyFill="1" applyBorder="1" applyAlignment="1">
      <alignment horizontal="center" wrapText="1"/>
    </xf>
    <xf numFmtId="49" fontId="1" fillId="12" borderId="13" xfId="14" applyNumberFormat="1" applyFont="1" applyFill="1" applyBorder="1" applyAlignment="1">
      <alignment horizontal="center"/>
    </xf>
    <xf numFmtId="164" fontId="1" fillId="12" borderId="1" xfId="14" applyNumberFormat="1" applyFont="1" applyFill="1" applyBorder="1" applyAlignment="1">
      <alignment horizontal="right"/>
    </xf>
    <xf numFmtId="170" fontId="11" fillId="12" borderId="0" xfId="14" applyNumberFormat="1" applyFont="1" applyFill="1"/>
    <xf numFmtId="0" fontId="11" fillId="12" borderId="0" xfId="14" applyFont="1" applyFill="1"/>
    <xf numFmtId="1" fontId="2" fillId="0" borderId="0" xfId="2" applyNumberFormat="1" applyFont="1" applyFill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1" fillId="0" borderId="0" xfId="3" applyFont="1" applyFill="1"/>
    <xf numFmtId="49" fontId="1" fillId="11" borderId="3" xfId="0" applyNumberFormat="1" applyFont="1" applyFill="1" applyBorder="1" applyAlignment="1">
      <alignment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3" xfId="5" applyNumberFormat="1" applyFont="1" applyFill="1" applyBorder="1" applyAlignment="1">
      <alignment horizontal="left" wrapText="1"/>
    </xf>
    <xf numFmtId="0" fontId="11" fillId="11" borderId="0" xfId="0" applyFont="1" applyFill="1"/>
    <xf numFmtId="49" fontId="1" fillId="11" borderId="3" xfId="0" applyNumberFormat="1" applyFont="1" applyFill="1" applyBorder="1" applyAlignment="1">
      <alignment horizontal="left" wrapText="1"/>
    </xf>
    <xf numFmtId="49" fontId="1" fillId="11" borderId="3" xfId="6" applyNumberFormat="1" applyFont="1" applyFill="1" applyBorder="1" applyAlignment="1">
      <alignment horizontal="left" wrapText="1"/>
    </xf>
    <xf numFmtId="0" fontId="1" fillId="11" borderId="1" xfId="14" applyFont="1" applyFill="1" applyBorder="1" applyAlignment="1">
      <alignment horizontal="center" vertical="top"/>
    </xf>
    <xf numFmtId="49" fontId="1" fillId="11" borderId="9" xfId="5" applyNumberFormat="1" applyFont="1" applyFill="1" applyBorder="1" applyAlignment="1">
      <alignment wrapText="1"/>
    </xf>
    <xf numFmtId="49" fontId="1" fillId="11" borderId="9" xfId="6" applyNumberFormat="1" applyFont="1" applyFill="1" applyBorder="1" applyAlignment="1">
      <alignment horizontal="center"/>
    </xf>
    <xf numFmtId="49" fontId="1" fillId="11" borderId="9" xfId="14" applyNumberFormat="1" applyFont="1" applyFill="1" applyBorder="1" applyAlignment="1">
      <alignment horizontal="center"/>
    </xf>
    <xf numFmtId="49" fontId="1" fillId="11" borderId="3" xfId="14" applyNumberFormat="1" applyFont="1" applyFill="1" applyBorder="1" applyAlignment="1">
      <alignment horizontal="center"/>
    </xf>
    <xf numFmtId="49" fontId="1" fillId="11" borderId="1" xfId="14" applyNumberFormat="1" applyFont="1" applyFill="1" applyBorder="1" applyAlignment="1">
      <alignment horizontal="center"/>
    </xf>
    <xf numFmtId="164" fontId="1" fillId="11" borderId="1" xfId="14" applyNumberFormat="1" applyFont="1" applyFill="1" applyBorder="1" applyAlignment="1">
      <alignment horizontal="right"/>
    </xf>
    <xf numFmtId="170" fontId="11" fillId="11" borderId="0" xfId="14" applyNumberFormat="1" applyFont="1" applyFill="1"/>
    <xf numFmtId="0" fontId="11" fillId="11" borderId="0" xfId="14" applyFont="1" applyFill="1"/>
    <xf numFmtId="165" fontId="1" fillId="13" borderId="1" xfId="0" applyNumberFormat="1" applyFont="1" applyFill="1" applyBorder="1"/>
    <xf numFmtId="49" fontId="3" fillId="3" borderId="2" xfId="7" applyNumberFormat="1" applyFont="1" applyFill="1" applyBorder="1" applyAlignment="1">
      <alignment horizontal="center"/>
    </xf>
    <xf numFmtId="49" fontId="3" fillId="3" borderId="9" xfId="7" applyNumberFormat="1" applyFont="1" applyFill="1" applyBorder="1" applyAlignment="1">
      <alignment horizontal="center"/>
    </xf>
    <xf numFmtId="49" fontId="3" fillId="3" borderId="3" xfId="7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5" fillId="2" borderId="0" xfId="0" applyFont="1" applyFill="1"/>
    <xf numFmtId="49" fontId="3" fillId="3" borderId="3" xfId="0" applyNumberFormat="1" applyFont="1" applyFill="1" applyBorder="1" applyAlignment="1">
      <alignment horizontal="left" wrapText="1"/>
    </xf>
    <xf numFmtId="49" fontId="3" fillId="3" borderId="20" xfId="5" applyNumberFormat="1" applyFont="1" applyFill="1" applyBorder="1" applyAlignment="1">
      <alignment wrapText="1"/>
    </xf>
    <xf numFmtId="49" fontId="3" fillId="3" borderId="13" xfId="14" applyNumberFormat="1" applyFont="1" applyFill="1" applyBorder="1" applyAlignment="1">
      <alignment horizontal="center"/>
    </xf>
    <xf numFmtId="0" fontId="3" fillId="0" borderId="10" xfId="3" applyFont="1" applyFill="1" applyBorder="1" applyAlignment="1">
      <alignment vertical="top" wrapText="1"/>
    </xf>
    <xf numFmtId="173" fontId="4" fillId="0" borderId="11" xfId="13" applyNumberFormat="1" applyFont="1" applyFill="1" applyBorder="1" applyAlignment="1">
      <alignment horizontal="center" vertical="center"/>
    </xf>
    <xf numFmtId="173" fontId="4" fillId="0" borderId="12" xfId="13" applyNumberFormat="1" applyFont="1" applyFill="1" applyBorder="1" applyAlignment="1">
      <alignment horizontal="center" vertical="center"/>
    </xf>
    <xf numFmtId="173" fontId="3" fillId="0" borderId="11" xfId="13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4" fillId="3" borderId="11" xfId="13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23" fillId="3" borderId="0" xfId="0" applyFont="1" applyFill="1" applyAlignment="1"/>
    <xf numFmtId="0" fontId="2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justify" wrapText="1"/>
    </xf>
    <xf numFmtId="168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 wrapText="1"/>
    </xf>
    <xf numFmtId="0" fontId="31" fillId="3" borderId="0" xfId="1" applyFont="1" applyFill="1" applyAlignment="1">
      <alignment horizontal="center" vertical="top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2" fillId="3" borderId="0" xfId="3" applyFont="1" applyFill="1" applyAlignment="1">
      <alignment horizontal="center"/>
    </xf>
    <xf numFmtId="0" fontId="7" fillId="3" borderId="0" xfId="7" applyFont="1" applyFill="1" applyAlignment="1">
      <alignment horizontal="center"/>
    </xf>
    <xf numFmtId="0" fontId="3" fillId="3" borderId="0" xfId="3" applyFont="1" applyFill="1" applyAlignment="1">
      <alignment horizontal="right" wrapText="1"/>
    </xf>
    <xf numFmtId="0" fontId="2" fillId="0" borderId="0" xfId="3" applyFont="1" applyFill="1" applyAlignment="1">
      <alignment horizontal="center"/>
    </xf>
    <xf numFmtId="0" fontId="7" fillId="0" borderId="0" xfId="7" applyFont="1" applyFill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1" fontId="4" fillId="3" borderId="0" xfId="2" applyNumberFormat="1" applyFont="1" applyFill="1" applyAlignment="1">
      <alignment horizontal="center" wrapText="1"/>
    </xf>
    <xf numFmtId="49" fontId="3" fillId="3" borderId="6" xfId="7" applyNumberFormat="1" applyFont="1" applyFill="1" applyBorder="1" applyAlignment="1">
      <alignment horizontal="center" vertical="center"/>
    </xf>
    <xf numFmtId="49" fontId="3" fillId="3" borderId="7" xfId="7" applyNumberFormat="1" applyFont="1" applyFill="1" applyBorder="1" applyAlignment="1">
      <alignment horizontal="center" vertical="center"/>
    </xf>
    <xf numFmtId="49" fontId="3" fillId="3" borderId="8" xfId="7" applyNumberFormat="1" applyFont="1" applyFill="1" applyBorder="1" applyAlignment="1">
      <alignment horizontal="center" vertical="center"/>
    </xf>
    <xf numFmtId="49" fontId="3" fillId="3" borderId="2" xfId="7" applyNumberFormat="1" applyFont="1" applyFill="1" applyBorder="1" applyAlignment="1">
      <alignment horizontal="center"/>
    </xf>
    <xf numFmtId="49" fontId="3" fillId="3" borderId="9" xfId="7" applyNumberFormat="1" applyFont="1" applyFill="1" applyBorder="1" applyAlignment="1">
      <alignment horizontal="center"/>
    </xf>
    <xf numFmtId="49" fontId="3" fillId="3" borderId="3" xfId="7" applyNumberFormat="1" applyFont="1" applyFill="1" applyBorder="1" applyAlignment="1">
      <alignment horizontal="center"/>
    </xf>
    <xf numFmtId="1" fontId="2" fillId="0" borderId="0" xfId="2" applyNumberFormat="1" applyFont="1" applyFill="1" applyAlignment="1">
      <alignment horizontal="center" wrapText="1"/>
    </xf>
    <xf numFmtId="49" fontId="1" fillId="0" borderId="2" xfId="7" applyNumberFormat="1" applyFont="1" applyFill="1" applyBorder="1" applyAlignment="1">
      <alignment horizontal="center"/>
    </xf>
    <xf numFmtId="49" fontId="1" fillId="0" borderId="9" xfId="7" applyNumberFormat="1" applyFont="1" applyFill="1" applyBorder="1" applyAlignment="1">
      <alignment horizontal="center"/>
    </xf>
    <xf numFmtId="49" fontId="1" fillId="0" borderId="3" xfId="7" applyNumberFormat="1" applyFont="1" applyFill="1" applyBorder="1" applyAlignment="1">
      <alignment horizontal="center"/>
    </xf>
    <xf numFmtId="166" fontId="3" fillId="0" borderId="1" xfId="7" applyNumberFormat="1" applyFont="1" applyFill="1" applyBorder="1" applyAlignment="1">
      <alignment horizontal="center"/>
    </xf>
    <xf numFmtId="49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/>
    </xf>
    <xf numFmtId="0" fontId="1" fillId="3" borderId="13" xfId="3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19" fillId="0" borderId="0" xfId="7" applyFont="1" applyFill="1" applyAlignment="1">
      <alignment horizontal="center" wrapText="1"/>
    </xf>
    <xf numFmtId="166" fontId="3" fillId="0" borderId="2" xfId="7" applyNumberFormat="1" applyFont="1" applyFill="1" applyBorder="1" applyAlignment="1">
      <alignment horizontal="center"/>
    </xf>
    <xf numFmtId="166" fontId="3" fillId="0" borderId="3" xfId="7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wrapText="1"/>
    </xf>
    <xf numFmtId="0" fontId="1" fillId="0" borderId="2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/>
    </xf>
    <xf numFmtId="0" fontId="19" fillId="0" borderId="3" xfId="7" applyFont="1" applyFill="1" applyBorder="1" applyAlignment="1">
      <alignment horizontal="center"/>
    </xf>
    <xf numFmtId="0" fontId="2" fillId="0" borderId="2" xfId="7" applyFont="1" applyFill="1" applyBorder="1" applyAlignment="1"/>
    <xf numFmtId="0" fontId="19" fillId="0" borderId="9" xfId="7" applyFont="1" applyFill="1" applyBorder="1" applyAlignment="1"/>
    <xf numFmtId="0" fontId="19" fillId="0" borderId="3" xfId="7" applyFont="1" applyFill="1" applyBorder="1" applyAlignment="1"/>
    <xf numFmtId="0" fontId="1" fillId="0" borderId="9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justify"/>
    </xf>
    <xf numFmtId="0" fontId="2" fillId="0" borderId="0" xfId="3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3" applyFont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3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" fillId="0" borderId="2" xfId="3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0" xfId="3" applyFont="1" applyAlignment="1">
      <alignment wrapText="1"/>
    </xf>
    <xf numFmtId="0" fontId="19" fillId="0" borderId="0" xfId="0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4" fillId="0" borderId="9" xfId="0" applyFont="1" applyBorder="1" applyAlignment="1"/>
    <xf numFmtId="0" fontId="24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7">
    <cellStyle name="Excel Built-in Normal" xfId="5"/>
    <cellStyle name="Excel Built-in Normal 1" xfId="11"/>
    <cellStyle name="Excel Built-in Normal 2" xfId="14"/>
    <cellStyle name="Обычный" xfId="0" builtinId="0"/>
    <cellStyle name="Обычный 2" xfId="7"/>
    <cellStyle name="Обычный 2 2" xfId="8"/>
    <cellStyle name="Обычный 2 2 2" xfId="4"/>
    <cellStyle name="Обычный 3" xfId="16"/>
    <cellStyle name="Обычный_tmp1" xfId="15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CCFF"/>
      <color rgb="FFFFFF99"/>
      <color rgb="FFFF99CC"/>
      <color rgb="FFFFFFCC"/>
      <color rgb="FFCCFFCC"/>
      <color rgb="FF66FFFF"/>
      <color rgb="FF33CCFF"/>
      <color rgb="FF99CCFF"/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62"/>
  <sheetViews>
    <sheetView zoomScaleNormal="100" workbookViewId="0">
      <selection activeCell="C55" sqref="C55"/>
    </sheetView>
  </sheetViews>
  <sheetFormatPr defaultColWidth="8.85546875" defaultRowHeight="15" x14ac:dyDescent="0.25"/>
  <cols>
    <col min="1" max="1" width="19.140625" style="536" customWidth="1"/>
    <col min="2" max="2" width="26.5703125" style="536" customWidth="1"/>
    <col min="3" max="3" width="63.28515625" style="536" customWidth="1"/>
    <col min="4" max="16384" width="8.85546875" style="536"/>
  </cols>
  <sheetData>
    <row r="1" spans="1:6" ht="18.75" x14ac:dyDescent="0.3">
      <c r="C1" s="605" t="s">
        <v>496</v>
      </c>
    </row>
    <row r="2" spans="1:6" ht="18.75" x14ac:dyDescent="0.3">
      <c r="C2" s="605" t="s">
        <v>0</v>
      </c>
    </row>
    <row r="3" spans="1:6" ht="18.75" x14ac:dyDescent="0.3">
      <c r="C3" s="605"/>
    </row>
    <row r="4" spans="1:6" ht="18" customHeight="1" x14ac:dyDescent="0.25"/>
    <row r="5" spans="1:6" ht="54" customHeight="1" x14ac:dyDescent="0.3">
      <c r="A5" s="954" t="s">
        <v>440</v>
      </c>
      <c r="B5" s="955"/>
      <c r="C5" s="955"/>
    </row>
    <row r="7" spans="1:6" ht="18" customHeight="1" x14ac:dyDescent="0.25">
      <c r="A7" s="956"/>
      <c r="B7" s="956"/>
    </row>
    <row r="8" spans="1:6" ht="34.9" customHeight="1" x14ac:dyDescent="0.25">
      <c r="A8" s="959" t="s">
        <v>1</v>
      </c>
      <c r="B8" s="960"/>
      <c r="C8" s="957" t="s">
        <v>439</v>
      </c>
    </row>
    <row r="9" spans="1:6" ht="150" x14ac:dyDescent="0.25">
      <c r="A9" s="606" t="s">
        <v>2</v>
      </c>
      <c r="B9" s="606" t="s">
        <v>3</v>
      </c>
      <c r="C9" s="958"/>
    </row>
    <row r="10" spans="1:6" ht="18.75" x14ac:dyDescent="0.25">
      <c r="A10" s="607">
        <v>1</v>
      </c>
      <c r="B10" s="607">
        <v>2</v>
      </c>
      <c r="C10" s="607">
        <v>3</v>
      </c>
    </row>
    <row r="11" spans="1:6" ht="56.25" x14ac:dyDescent="0.25">
      <c r="A11" s="608">
        <v>804</v>
      </c>
      <c r="B11" s="607"/>
      <c r="C11" s="608" t="s">
        <v>776</v>
      </c>
    </row>
    <row r="12" spans="1:6" ht="56.25" x14ac:dyDescent="0.25">
      <c r="A12" s="607">
        <v>804</v>
      </c>
      <c r="B12" s="607" t="s">
        <v>10</v>
      </c>
      <c r="C12" s="609" t="s">
        <v>777</v>
      </c>
    </row>
    <row r="13" spans="1:6" ht="18.75" x14ac:dyDescent="0.25">
      <c r="A13" s="608">
        <v>816</v>
      </c>
      <c r="B13" s="608"/>
      <c r="C13" s="608" t="s">
        <v>778</v>
      </c>
      <c r="D13" s="535"/>
      <c r="E13" s="535"/>
      <c r="F13" s="535"/>
    </row>
    <row r="14" spans="1:6" ht="112.5" x14ac:dyDescent="0.25">
      <c r="A14" s="607">
        <v>816</v>
      </c>
      <c r="B14" s="607" t="s">
        <v>779</v>
      </c>
      <c r="C14" s="609" t="s">
        <v>780</v>
      </c>
      <c r="D14" s="535"/>
      <c r="E14" s="535"/>
      <c r="F14" s="535"/>
    </row>
    <row r="15" spans="1:6" ht="56.25" x14ac:dyDescent="0.25">
      <c r="A15" s="608">
        <v>819</v>
      </c>
      <c r="B15" s="607"/>
      <c r="C15" s="608" t="s">
        <v>781</v>
      </c>
      <c r="D15" s="535"/>
      <c r="E15" s="535"/>
      <c r="F15" s="535"/>
    </row>
    <row r="16" spans="1:6" ht="56.25" x14ac:dyDescent="0.25">
      <c r="A16" s="607">
        <v>819</v>
      </c>
      <c r="B16" s="607" t="s">
        <v>10</v>
      </c>
      <c r="C16" s="609" t="s">
        <v>777</v>
      </c>
      <c r="D16" s="535"/>
      <c r="E16" s="535"/>
      <c r="F16" s="535"/>
    </row>
    <row r="17" spans="1:6" ht="37.5" x14ac:dyDescent="0.25">
      <c r="A17" s="608">
        <v>821</v>
      </c>
      <c r="B17" s="607"/>
      <c r="C17" s="608" t="s">
        <v>783</v>
      </c>
      <c r="D17" s="535"/>
      <c r="E17" s="535"/>
      <c r="F17" s="535"/>
    </row>
    <row r="18" spans="1:6" ht="75" x14ac:dyDescent="0.25">
      <c r="A18" s="607">
        <v>821</v>
      </c>
      <c r="B18" s="607" t="s">
        <v>784</v>
      </c>
      <c r="C18" s="609" t="s">
        <v>785</v>
      </c>
      <c r="D18" s="535"/>
      <c r="E18" s="535"/>
      <c r="F18" s="535"/>
    </row>
    <row r="19" spans="1:6" ht="37.5" x14ac:dyDescent="0.25">
      <c r="A19" s="608">
        <v>828</v>
      </c>
      <c r="B19" s="607"/>
      <c r="C19" s="608" t="s">
        <v>786</v>
      </c>
      <c r="D19" s="535"/>
      <c r="E19" s="535"/>
      <c r="F19" s="535"/>
    </row>
    <row r="20" spans="1:6" ht="56.25" x14ac:dyDescent="0.25">
      <c r="A20" s="607">
        <v>828</v>
      </c>
      <c r="B20" s="607" t="s">
        <v>10</v>
      </c>
      <c r="C20" s="609" t="s">
        <v>782</v>
      </c>
      <c r="D20" s="535"/>
      <c r="E20" s="535"/>
      <c r="F20" s="535"/>
    </row>
    <row r="21" spans="1:6" ht="37.5" x14ac:dyDescent="0.25">
      <c r="A21" s="610">
        <v>830</v>
      </c>
      <c r="B21" s="607"/>
      <c r="C21" s="608" t="s">
        <v>787</v>
      </c>
      <c r="D21" s="535"/>
      <c r="E21" s="535"/>
      <c r="F21" s="535"/>
    </row>
    <row r="22" spans="1:6" ht="56.25" x14ac:dyDescent="0.25">
      <c r="A22" s="607">
        <v>830</v>
      </c>
      <c r="B22" s="607" t="s">
        <v>10</v>
      </c>
      <c r="C22" s="609" t="s">
        <v>777</v>
      </c>
      <c r="D22" s="535"/>
      <c r="E22" s="535"/>
      <c r="F22" s="535"/>
    </row>
    <row r="23" spans="1:6" ht="37.5" x14ac:dyDescent="0.25">
      <c r="A23" s="610">
        <v>833</v>
      </c>
      <c r="B23" s="607"/>
      <c r="C23" s="608" t="s">
        <v>788</v>
      </c>
      <c r="D23" s="535"/>
      <c r="E23" s="535"/>
      <c r="F23" s="535"/>
    </row>
    <row r="24" spans="1:6" ht="56.25" x14ac:dyDescent="0.25">
      <c r="A24" s="607">
        <v>833</v>
      </c>
      <c r="B24" s="607" t="s">
        <v>10</v>
      </c>
      <c r="C24" s="609" t="s">
        <v>777</v>
      </c>
      <c r="D24" s="535"/>
      <c r="E24" s="535"/>
      <c r="F24" s="535"/>
    </row>
    <row r="25" spans="1:6" ht="37.5" x14ac:dyDescent="0.25">
      <c r="A25" s="608">
        <v>835</v>
      </c>
      <c r="B25" s="607"/>
      <c r="C25" s="608" t="s">
        <v>789</v>
      </c>
      <c r="D25" s="535"/>
      <c r="E25" s="535"/>
      <c r="F25" s="535"/>
    </row>
    <row r="26" spans="1:6" ht="56.25" x14ac:dyDescent="0.25">
      <c r="A26" s="607">
        <v>835</v>
      </c>
      <c r="B26" s="607" t="s">
        <v>10</v>
      </c>
      <c r="C26" s="609" t="s">
        <v>777</v>
      </c>
      <c r="D26" s="535"/>
      <c r="E26" s="535"/>
      <c r="F26" s="535"/>
    </row>
    <row r="27" spans="1:6" ht="37.5" x14ac:dyDescent="0.25">
      <c r="A27" s="608">
        <v>840</v>
      </c>
      <c r="B27" s="607"/>
      <c r="C27" s="608" t="s">
        <v>790</v>
      </c>
      <c r="D27" s="535"/>
      <c r="E27" s="535"/>
      <c r="F27" s="535"/>
    </row>
    <row r="28" spans="1:6" ht="56.25" x14ac:dyDescent="0.25">
      <c r="A28" s="607">
        <v>840</v>
      </c>
      <c r="B28" s="607" t="s">
        <v>10</v>
      </c>
      <c r="C28" s="609" t="s">
        <v>777</v>
      </c>
      <c r="D28" s="535"/>
      <c r="E28" s="535"/>
      <c r="F28" s="535"/>
    </row>
    <row r="29" spans="1:6" ht="37.5" x14ac:dyDescent="0.3">
      <c r="A29" s="608">
        <v>854</v>
      </c>
      <c r="B29" s="607"/>
      <c r="C29" s="611" t="s">
        <v>791</v>
      </c>
      <c r="D29" s="535"/>
      <c r="E29" s="535"/>
      <c r="F29" s="535"/>
    </row>
    <row r="30" spans="1:6" ht="37.5" x14ac:dyDescent="0.25">
      <c r="A30" s="607">
        <v>854</v>
      </c>
      <c r="B30" s="607" t="s">
        <v>792</v>
      </c>
      <c r="C30" s="609" t="s">
        <v>793</v>
      </c>
      <c r="D30" s="535"/>
      <c r="E30" s="535"/>
      <c r="F30" s="535"/>
    </row>
    <row r="31" spans="1:6" ht="56.25" x14ac:dyDescent="0.25">
      <c r="A31" s="607">
        <v>854</v>
      </c>
      <c r="B31" s="607" t="s">
        <v>794</v>
      </c>
      <c r="C31" s="609" t="s">
        <v>795</v>
      </c>
      <c r="D31" s="535"/>
      <c r="E31" s="535"/>
      <c r="F31" s="535"/>
    </row>
    <row r="32" spans="1:6" ht="56.25" x14ac:dyDescent="0.25">
      <c r="A32" s="607">
        <v>854</v>
      </c>
      <c r="B32" s="607" t="s">
        <v>796</v>
      </c>
      <c r="C32" s="609" t="s">
        <v>797</v>
      </c>
      <c r="D32" s="535"/>
      <c r="E32" s="535"/>
      <c r="F32" s="535"/>
    </row>
    <row r="33" spans="1:6" ht="37.5" x14ac:dyDescent="0.25">
      <c r="A33" s="607">
        <v>854</v>
      </c>
      <c r="B33" s="607" t="s">
        <v>798</v>
      </c>
      <c r="C33" s="609" t="s">
        <v>799</v>
      </c>
      <c r="D33" s="535"/>
      <c r="E33" s="535"/>
      <c r="F33" s="535"/>
    </row>
    <row r="34" spans="1:6" ht="56.25" x14ac:dyDescent="0.25">
      <c r="A34" s="607">
        <v>854</v>
      </c>
      <c r="B34" s="607" t="s">
        <v>800</v>
      </c>
      <c r="C34" s="609" t="s">
        <v>801</v>
      </c>
      <c r="D34" s="535"/>
      <c r="E34" s="535"/>
      <c r="F34" s="535"/>
    </row>
    <row r="35" spans="1:6" ht="75" x14ac:dyDescent="0.25">
      <c r="A35" s="607">
        <v>854</v>
      </c>
      <c r="B35" s="607" t="s">
        <v>802</v>
      </c>
      <c r="C35" s="609" t="s">
        <v>803</v>
      </c>
      <c r="D35" s="535"/>
      <c r="E35" s="535"/>
      <c r="F35" s="535"/>
    </row>
    <row r="36" spans="1:6" ht="56.25" x14ac:dyDescent="0.25">
      <c r="A36" s="607">
        <v>854</v>
      </c>
      <c r="B36" s="607" t="s">
        <v>804</v>
      </c>
      <c r="C36" s="609" t="s">
        <v>805</v>
      </c>
      <c r="D36" s="535"/>
      <c r="E36" s="535"/>
      <c r="F36" s="535"/>
    </row>
    <row r="37" spans="1:6" ht="112.5" x14ac:dyDescent="0.25">
      <c r="A37" s="607">
        <v>854</v>
      </c>
      <c r="B37" s="607" t="s">
        <v>806</v>
      </c>
      <c r="C37" s="609" t="s">
        <v>807</v>
      </c>
      <c r="D37" s="535"/>
      <c r="E37" s="535"/>
      <c r="F37" s="535"/>
    </row>
    <row r="38" spans="1:6" ht="56.25" x14ac:dyDescent="0.25">
      <c r="A38" s="607">
        <v>854</v>
      </c>
      <c r="B38" s="607" t="s">
        <v>10</v>
      </c>
      <c r="C38" s="609" t="s">
        <v>433</v>
      </c>
      <c r="D38" s="535"/>
      <c r="E38" s="535"/>
      <c r="F38" s="535"/>
    </row>
    <row r="39" spans="1:6" ht="37.5" x14ac:dyDescent="0.25">
      <c r="A39" s="612">
        <v>902</v>
      </c>
      <c r="B39" s="613"/>
      <c r="C39" s="614" t="s">
        <v>4</v>
      </c>
    </row>
    <row r="40" spans="1:6" s="534" customFormat="1" ht="37.5" x14ac:dyDescent="0.3">
      <c r="A40" s="613">
        <v>902</v>
      </c>
      <c r="B40" s="613" t="s">
        <v>5</v>
      </c>
      <c r="C40" s="615" t="s">
        <v>432</v>
      </c>
      <c r="D40" s="533"/>
      <c r="E40" s="533"/>
      <c r="F40" s="533"/>
    </row>
    <row r="41" spans="1:6" s="534" customFormat="1" ht="56.25" x14ac:dyDescent="0.3">
      <c r="A41" s="613">
        <v>902</v>
      </c>
      <c r="B41" s="613" t="s">
        <v>549</v>
      </c>
      <c r="C41" s="615" t="s">
        <v>550</v>
      </c>
      <c r="D41" s="533"/>
      <c r="E41" s="533"/>
      <c r="F41" s="533"/>
    </row>
    <row r="42" spans="1:6" s="534" customFormat="1" ht="56.25" x14ac:dyDescent="0.3">
      <c r="A42" s="613">
        <v>902</v>
      </c>
      <c r="B42" s="613" t="s">
        <v>62</v>
      </c>
      <c r="C42" s="615" t="s">
        <v>63</v>
      </c>
      <c r="D42" s="533"/>
      <c r="E42" s="533"/>
      <c r="F42" s="533"/>
    </row>
    <row r="43" spans="1:6" s="534" customFormat="1" ht="37.5" x14ac:dyDescent="0.3">
      <c r="A43" s="613">
        <v>902</v>
      </c>
      <c r="B43" s="613" t="s">
        <v>6</v>
      </c>
      <c r="C43" s="615" t="s">
        <v>7</v>
      </c>
      <c r="D43" s="533"/>
      <c r="E43" s="533"/>
      <c r="F43" s="533"/>
    </row>
    <row r="44" spans="1:6" s="534" customFormat="1" ht="93.75" x14ac:dyDescent="0.3">
      <c r="A44" s="606">
        <v>902</v>
      </c>
      <c r="B44" s="606" t="s">
        <v>8</v>
      </c>
      <c r="C44" s="615" t="s">
        <v>9</v>
      </c>
      <c r="D44" s="533"/>
      <c r="E44" s="533"/>
      <c r="F44" s="533"/>
    </row>
    <row r="45" spans="1:6" s="534" customFormat="1" ht="76.5" customHeight="1" x14ac:dyDescent="0.3">
      <c r="A45" s="606">
        <v>902</v>
      </c>
      <c r="B45" s="606" t="s">
        <v>551</v>
      </c>
      <c r="C45" s="615" t="s">
        <v>552</v>
      </c>
      <c r="D45" s="533"/>
      <c r="E45" s="533"/>
      <c r="F45" s="533"/>
    </row>
    <row r="46" spans="1:6" s="534" customFormat="1" ht="56.25" x14ac:dyDescent="0.3">
      <c r="A46" s="606">
        <v>902</v>
      </c>
      <c r="B46" s="606" t="s">
        <v>10</v>
      </c>
      <c r="C46" s="615" t="s">
        <v>433</v>
      </c>
      <c r="D46" s="533"/>
      <c r="E46" s="533"/>
      <c r="F46" s="533"/>
    </row>
    <row r="47" spans="1:6" s="534" customFormat="1" ht="37.5" x14ac:dyDescent="0.3">
      <c r="A47" s="606">
        <v>902</v>
      </c>
      <c r="B47" s="606" t="s">
        <v>11</v>
      </c>
      <c r="C47" s="615" t="s">
        <v>12</v>
      </c>
      <c r="D47" s="533"/>
      <c r="E47" s="533"/>
      <c r="F47" s="533"/>
    </row>
    <row r="48" spans="1:6" s="534" customFormat="1" ht="37.5" x14ac:dyDescent="0.3">
      <c r="A48" s="616" t="s">
        <v>13</v>
      </c>
      <c r="B48" s="613" t="s">
        <v>14</v>
      </c>
      <c r="C48" s="617" t="s">
        <v>15</v>
      </c>
      <c r="D48" s="533"/>
      <c r="E48" s="533"/>
      <c r="F48" s="533"/>
    </row>
    <row r="49" spans="1:6" ht="37.5" x14ac:dyDescent="0.25">
      <c r="A49" s="606">
        <v>902</v>
      </c>
      <c r="B49" s="618" t="s">
        <v>704</v>
      </c>
      <c r="C49" s="615" t="s">
        <v>16</v>
      </c>
    </row>
    <row r="50" spans="1:6" ht="56.25" x14ac:dyDescent="0.25">
      <c r="A50" s="606">
        <v>902</v>
      </c>
      <c r="B50" s="613" t="s">
        <v>705</v>
      </c>
      <c r="C50" s="615" t="s">
        <v>17</v>
      </c>
    </row>
    <row r="51" spans="1:6" ht="93.75" x14ac:dyDescent="0.3">
      <c r="A51" s="606">
        <v>902</v>
      </c>
      <c r="B51" s="613" t="s">
        <v>706</v>
      </c>
      <c r="C51" s="619" t="s">
        <v>566</v>
      </c>
    </row>
    <row r="52" spans="1:6" s="534" customFormat="1" ht="112.5" x14ac:dyDescent="0.3">
      <c r="A52" s="613">
        <v>902</v>
      </c>
      <c r="B52" s="613" t="s">
        <v>741</v>
      </c>
      <c r="C52" s="617" t="s">
        <v>18</v>
      </c>
      <c r="D52" s="533"/>
      <c r="E52" s="533"/>
      <c r="F52" s="533"/>
    </row>
    <row r="53" spans="1:6" s="534" customFormat="1" ht="57.75" customHeight="1" x14ac:dyDescent="0.3">
      <c r="A53" s="613">
        <v>902</v>
      </c>
      <c r="B53" s="613" t="s">
        <v>742</v>
      </c>
      <c r="C53" s="617" t="s">
        <v>19</v>
      </c>
      <c r="D53" s="533"/>
      <c r="E53" s="533"/>
      <c r="F53" s="533"/>
    </row>
    <row r="54" spans="1:6" s="534" customFormat="1" ht="37.5" x14ac:dyDescent="0.3">
      <c r="A54" s="613">
        <v>902</v>
      </c>
      <c r="B54" s="613" t="s">
        <v>743</v>
      </c>
      <c r="C54" s="617" t="s">
        <v>20</v>
      </c>
      <c r="D54" s="533"/>
      <c r="E54" s="533"/>
      <c r="F54" s="533"/>
    </row>
    <row r="55" spans="1:6" ht="93.75" x14ac:dyDescent="0.25">
      <c r="A55" s="606">
        <v>902</v>
      </c>
      <c r="B55" s="613" t="s">
        <v>730</v>
      </c>
      <c r="C55" s="615" t="s">
        <v>567</v>
      </c>
    </row>
    <row r="56" spans="1:6" ht="75" x14ac:dyDescent="0.25">
      <c r="A56" s="606">
        <v>902</v>
      </c>
      <c r="B56" s="613" t="s">
        <v>732</v>
      </c>
      <c r="C56" s="615" t="s">
        <v>568</v>
      </c>
    </row>
    <row r="57" spans="1:6" s="534" customFormat="1" ht="56.25" x14ac:dyDescent="0.3">
      <c r="A57" s="613">
        <v>902</v>
      </c>
      <c r="B57" s="613" t="s">
        <v>434</v>
      </c>
      <c r="C57" s="615" t="s">
        <v>21</v>
      </c>
      <c r="D57" s="533"/>
      <c r="E57" s="533"/>
      <c r="F57" s="533"/>
    </row>
    <row r="58" spans="1:6" s="534" customFormat="1" ht="56.25" x14ac:dyDescent="0.3">
      <c r="A58" s="613">
        <v>902</v>
      </c>
      <c r="B58" s="613" t="s">
        <v>22</v>
      </c>
      <c r="C58" s="615" t="s">
        <v>23</v>
      </c>
      <c r="D58" s="533"/>
      <c r="E58" s="533"/>
      <c r="F58" s="533"/>
    </row>
    <row r="59" spans="1:6" s="534" customFormat="1" ht="75" x14ac:dyDescent="0.3">
      <c r="A59" s="613">
        <v>902</v>
      </c>
      <c r="B59" s="613" t="s">
        <v>24</v>
      </c>
      <c r="C59" s="615" t="s">
        <v>25</v>
      </c>
      <c r="D59" s="533"/>
      <c r="E59" s="533"/>
      <c r="F59" s="533"/>
    </row>
    <row r="60" spans="1:6" s="534" customFormat="1" ht="80.25" customHeight="1" x14ac:dyDescent="0.3">
      <c r="A60" s="606">
        <v>902</v>
      </c>
      <c r="B60" s="613" t="s">
        <v>26</v>
      </c>
      <c r="C60" s="615" t="s">
        <v>27</v>
      </c>
      <c r="D60" s="533"/>
      <c r="E60" s="533"/>
      <c r="F60" s="533"/>
    </row>
    <row r="61" spans="1:6" s="534" customFormat="1" ht="77.25" customHeight="1" x14ac:dyDescent="0.3">
      <c r="A61" s="606">
        <v>902</v>
      </c>
      <c r="B61" s="613" t="s">
        <v>508</v>
      </c>
      <c r="C61" s="615" t="s">
        <v>507</v>
      </c>
      <c r="D61" s="533"/>
      <c r="E61" s="533"/>
      <c r="F61" s="533"/>
    </row>
    <row r="62" spans="1:6" s="534" customFormat="1" ht="77.25" customHeight="1" x14ac:dyDescent="0.3">
      <c r="A62" s="606">
        <v>902</v>
      </c>
      <c r="B62" s="613" t="s">
        <v>509</v>
      </c>
      <c r="C62" s="615" t="s">
        <v>510</v>
      </c>
      <c r="D62" s="533"/>
      <c r="E62" s="533"/>
      <c r="F62" s="533"/>
    </row>
    <row r="63" spans="1:6" ht="56.25" x14ac:dyDescent="0.25">
      <c r="A63" s="612">
        <v>905</v>
      </c>
      <c r="B63" s="613"/>
      <c r="C63" s="614" t="s">
        <v>28</v>
      </c>
    </row>
    <row r="64" spans="1:6" ht="56.25" x14ac:dyDescent="0.25">
      <c r="A64" s="613">
        <v>905</v>
      </c>
      <c r="B64" s="613" t="s">
        <v>62</v>
      </c>
      <c r="C64" s="615" t="s">
        <v>63</v>
      </c>
      <c r="D64" s="535"/>
      <c r="E64" s="535"/>
      <c r="F64" s="535"/>
    </row>
    <row r="65" spans="1:6" ht="37.5" x14ac:dyDescent="0.25">
      <c r="A65" s="613">
        <v>905</v>
      </c>
      <c r="B65" s="613" t="s">
        <v>6</v>
      </c>
      <c r="C65" s="615" t="s">
        <v>7</v>
      </c>
      <c r="D65" s="535"/>
      <c r="E65" s="535"/>
      <c r="F65" s="535"/>
    </row>
    <row r="66" spans="1:6" ht="56.25" x14ac:dyDescent="0.25">
      <c r="A66" s="613">
        <v>905</v>
      </c>
      <c r="B66" s="613" t="s">
        <v>513</v>
      </c>
      <c r="C66" s="615" t="s">
        <v>514</v>
      </c>
      <c r="D66" s="535"/>
      <c r="E66" s="535"/>
      <c r="F66" s="535"/>
    </row>
    <row r="67" spans="1:6" s="534" customFormat="1" ht="99" customHeight="1" x14ac:dyDescent="0.3">
      <c r="A67" s="606">
        <v>905</v>
      </c>
      <c r="B67" s="606" t="s">
        <v>8</v>
      </c>
      <c r="C67" s="615" t="s">
        <v>9</v>
      </c>
      <c r="D67" s="533"/>
      <c r="E67" s="533"/>
      <c r="F67" s="533"/>
    </row>
    <row r="68" spans="1:6" s="534" customFormat="1" ht="37.5" x14ac:dyDescent="0.3">
      <c r="A68" s="606">
        <v>905</v>
      </c>
      <c r="B68" s="606" t="s">
        <v>11</v>
      </c>
      <c r="C68" s="615" t="s">
        <v>12</v>
      </c>
      <c r="D68" s="533"/>
      <c r="E68" s="533"/>
      <c r="F68" s="533"/>
    </row>
    <row r="69" spans="1:6" ht="37.5" x14ac:dyDescent="0.25">
      <c r="A69" s="613">
        <v>905</v>
      </c>
      <c r="B69" s="613" t="s">
        <v>707</v>
      </c>
      <c r="C69" s="615" t="s">
        <v>29</v>
      </c>
    </row>
    <row r="70" spans="1:6" ht="55.15" customHeight="1" x14ac:dyDescent="0.25">
      <c r="A70" s="613">
        <v>905</v>
      </c>
      <c r="B70" s="613" t="s">
        <v>708</v>
      </c>
      <c r="C70" s="615" t="s">
        <v>30</v>
      </c>
    </row>
    <row r="71" spans="1:6" ht="37.5" x14ac:dyDescent="0.25">
      <c r="A71" s="613">
        <v>905</v>
      </c>
      <c r="B71" s="613" t="s">
        <v>704</v>
      </c>
      <c r="C71" s="615" t="s">
        <v>16</v>
      </c>
    </row>
    <row r="72" spans="1:6" ht="93.75" x14ac:dyDescent="0.25">
      <c r="A72" s="613">
        <v>905</v>
      </c>
      <c r="B72" s="613" t="s">
        <v>709</v>
      </c>
      <c r="C72" s="615" t="s">
        <v>35</v>
      </c>
    </row>
    <row r="73" spans="1:6" ht="150" x14ac:dyDescent="0.3">
      <c r="A73" s="613">
        <v>905</v>
      </c>
      <c r="B73" s="613" t="s">
        <v>744</v>
      </c>
      <c r="C73" s="620" t="s">
        <v>639</v>
      </c>
    </row>
    <row r="74" spans="1:6" ht="75" x14ac:dyDescent="0.25">
      <c r="A74" s="606">
        <v>905</v>
      </c>
      <c r="B74" s="613" t="s">
        <v>732</v>
      </c>
      <c r="C74" s="615" t="s">
        <v>568</v>
      </c>
    </row>
    <row r="75" spans="1:6" ht="37.5" x14ac:dyDescent="0.25">
      <c r="A75" s="613">
        <v>905</v>
      </c>
      <c r="B75" s="613" t="s">
        <v>31</v>
      </c>
      <c r="C75" s="615" t="s">
        <v>32</v>
      </c>
    </row>
    <row r="76" spans="1:6" ht="37.5" x14ac:dyDescent="0.25">
      <c r="A76" s="613">
        <v>905</v>
      </c>
      <c r="B76" s="613" t="s">
        <v>33</v>
      </c>
      <c r="C76" s="615" t="s">
        <v>34</v>
      </c>
    </row>
    <row r="77" spans="1:6" ht="37.5" x14ac:dyDescent="0.25">
      <c r="A77" s="612">
        <v>910</v>
      </c>
      <c r="B77" s="613"/>
      <c r="C77" s="614" t="s">
        <v>88</v>
      </c>
    </row>
    <row r="78" spans="1:6" ht="37.5" x14ac:dyDescent="0.25">
      <c r="A78" s="606">
        <v>910</v>
      </c>
      <c r="B78" s="606" t="s">
        <v>6</v>
      </c>
      <c r="C78" s="615" t="s">
        <v>7</v>
      </c>
    </row>
    <row r="79" spans="1:6" ht="56.25" x14ac:dyDescent="0.25">
      <c r="A79" s="613">
        <v>910</v>
      </c>
      <c r="B79" s="606" t="s">
        <v>513</v>
      </c>
      <c r="C79" s="615" t="s">
        <v>514</v>
      </c>
      <c r="D79" s="535"/>
      <c r="E79" s="535"/>
      <c r="F79" s="535"/>
    </row>
    <row r="80" spans="1:6" s="534" customFormat="1" ht="56.25" x14ac:dyDescent="0.3">
      <c r="A80" s="606">
        <v>910</v>
      </c>
      <c r="B80" s="606" t="s">
        <v>10</v>
      </c>
      <c r="C80" s="615" t="s">
        <v>433</v>
      </c>
      <c r="D80" s="533"/>
      <c r="E80" s="533"/>
      <c r="F80" s="533"/>
    </row>
    <row r="81" spans="1:6" s="534" customFormat="1" ht="37.5" x14ac:dyDescent="0.3">
      <c r="A81" s="613">
        <v>910</v>
      </c>
      <c r="B81" s="606" t="s">
        <v>11</v>
      </c>
      <c r="C81" s="615" t="s">
        <v>12</v>
      </c>
      <c r="D81" s="533"/>
      <c r="E81" s="533"/>
      <c r="F81" s="533"/>
    </row>
    <row r="82" spans="1:6" ht="93.75" x14ac:dyDescent="0.25">
      <c r="A82" s="613">
        <v>910</v>
      </c>
      <c r="B82" s="613" t="s">
        <v>709</v>
      </c>
      <c r="C82" s="615" t="s">
        <v>35</v>
      </c>
    </row>
    <row r="83" spans="1:6" ht="75" x14ac:dyDescent="0.25">
      <c r="A83" s="613">
        <v>910</v>
      </c>
      <c r="B83" s="613" t="s">
        <v>732</v>
      </c>
      <c r="C83" s="615" t="s">
        <v>568</v>
      </c>
    </row>
    <row r="84" spans="1:6" ht="56.25" x14ac:dyDescent="0.25">
      <c r="A84" s="614">
        <v>921</v>
      </c>
      <c r="B84" s="606"/>
      <c r="C84" s="614" t="s">
        <v>36</v>
      </c>
    </row>
    <row r="85" spans="1:6" s="534" customFormat="1" ht="80.25" customHeight="1" x14ac:dyDescent="0.3">
      <c r="A85" s="613">
        <v>921</v>
      </c>
      <c r="B85" s="613" t="s">
        <v>219</v>
      </c>
      <c r="C85" s="615" t="s">
        <v>37</v>
      </c>
      <c r="D85" s="533"/>
      <c r="E85" s="533"/>
      <c r="F85" s="533"/>
    </row>
    <row r="86" spans="1:6" s="534" customFormat="1" ht="75" x14ac:dyDescent="0.3">
      <c r="A86" s="613">
        <v>921</v>
      </c>
      <c r="B86" s="613" t="s">
        <v>435</v>
      </c>
      <c r="C86" s="615" t="s">
        <v>38</v>
      </c>
      <c r="D86" s="533"/>
      <c r="E86" s="533"/>
      <c r="F86" s="533"/>
    </row>
    <row r="87" spans="1:6" s="534" customFormat="1" ht="150" x14ac:dyDescent="0.3">
      <c r="A87" s="613">
        <v>921</v>
      </c>
      <c r="B87" s="606" t="s">
        <v>577</v>
      </c>
      <c r="C87" s="615" t="s">
        <v>578</v>
      </c>
      <c r="D87" s="533"/>
      <c r="E87" s="533"/>
      <c r="F87" s="533"/>
    </row>
    <row r="88" spans="1:6" s="534" customFormat="1" ht="56.25" x14ac:dyDescent="0.3">
      <c r="A88" s="613">
        <v>921</v>
      </c>
      <c r="B88" s="613" t="s">
        <v>436</v>
      </c>
      <c r="C88" s="615" t="s">
        <v>39</v>
      </c>
      <c r="D88" s="533"/>
      <c r="E88" s="533"/>
      <c r="F88" s="533"/>
    </row>
    <row r="89" spans="1:6" s="534" customFormat="1" ht="77.25" customHeight="1" x14ac:dyDescent="0.3">
      <c r="A89" s="613">
        <v>921</v>
      </c>
      <c r="B89" s="613" t="s">
        <v>223</v>
      </c>
      <c r="C89" s="615" t="s">
        <v>40</v>
      </c>
      <c r="D89" s="533"/>
      <c r="E89" s="533"/>
      <c r="F89" s="533"/>
    </row>
    <row r="90" spans="1:6" s="534" customFormat="1" ht="112.5" x14ac:dyDescent="0.3">
      <c r="A90" s="613">
        <v>921</v>
      </c>
      <c r="B90" s="613" t="s">
        <v>511</v>
      </c>
      <c r="C90" s="615" t="s">
        <v>512</v>
      </c>
      <c r="D90" s="533"/>
      <c r="E90" s="533"/>
      <c r="F90" s="533"/>
    </row>
    <row r="91" spans="1:6" s="534" customFormat="1" ht="37.5" x14ac:dyDescent="0.3">
      <c r="A91" s="613">
        <v>921</v>
      </c>
      <c r="B91" s="613" t="s">
        <v>6</v>
      </c>
      <c r="C91" s="615" t="s">
        <v>7</v>
      </c>
      <c r="D91" s="533"/>
      <c r="E91" s="533"/>
      <c r="F91" s="533"/>
    </row>
    <row r="92" spans="1:6" s="534" customFormat="1" ht="111" customHeight="1" x14ac:dyDescent="0.3">
      <c r="A92" s="613">
        <v>921</v>
      </c>
      <c r="B92" s="613" t="s">
        <v>41</v>
      </c>
      <c r="C92" s="615" t="s">
        <v>42</v>
      </c>
      <c r="D92" s="533"/>
      <c r="E92" s="533"/>
      <c r="F92" s="533"/>
    </row>
    <row r="93" spans="1:6" s="534" customFormat="1" ht="126" customHeight="1" x14ac:dyDescent="0.3">
      <c r="A93" s="613">
        <v>921</v>
      </c>
      <c r="B93" s="613" t="s">
        <v>43</v>
      </c>
      <c r="C93" s="615" t="s">
        <v>44</v>
      </c>
      <c r="D93" s="533"/>
      <c r="E93" s="533"/>
      <c r="F93" s="533"/>
    </row>
    <row r="94" spans="1:6" s="534" customFormat="1" ht="110.45" customHeight="1" x14ac:dyDescent="0.3">
      <c r="A94" s="613">
        <v>921</v>
      </c>
      <c r="B94" s="613" t="s">
        <v>45</v>
      </c>
      <c r="C94" s="615" t="s">
        <v>46</v>
      </c>
      <c r="D94" s="533"/>
      <c r="E94" s="533"/>
      <c r="F94" s="533"/>
    </row>
    <row r="95" spans="1:6" s="534" customFormat="1" ht="132" customHeight="1" x14ac:dyDescent="0.3">
      <c r="A95" s="613">
        <v>921</v>
      </c>
      <c r="B95" s="613" t="s">
        <v>437</v>
      </c>
      <c r="C95" s="615" t="s">
        <v>47</v>
      </c>
      <c r="D95" s="533"/>
      <c r="E95" s="533"/>
      <c r="F95" s="533"/>
    </row>
    <row r="96" spans="1:6" s="534" customFormat="1" ht="99" customHeight="1" x14ac:dyDescent="0.3">
      <c r="A96" s="613">
        <v>921</v>
      </c>
      <c r="B96" s="606" t="s">
        <v>579</v>
      </c>
      <c r="C96" s="615" t="s">
        <v>580</v>
      </c>
      <c r="D96" s="533"/>
      <c r="E96" s="533"/>
      <c r="F96" s="533"/>
    </row>
    <row r="97" spans="1:6" s="534" customFormat="1" ht="93.75" x14ac:dyDescent="0.3">
      <c r="A97" s="613">
        <v>921</v>
      </c>
      <c r="B97" s="606" t="s">
        <v>553</v>
      </c>
      <c r="C97" s="615" t="s">
        <v>565</v>
      </c>
      <c r="D97" s="533"/>
      <c r="E97" s="533"/>
      <c r="F97" s="533"/>
    </row>
    <row r="98" spans="1:6" s="534" customFormat="1" ht="150" x14ac:dyDescent="0.3">
      <c r="A98" s="613">
        <v>921</v>
      </c>
      <c r="B98" s="606" t="s">
        <v>745</v>
      </c>
      <c r="C98" s="615" t="s">
        <v>746</v>
      </c>
      <c r="D98" s="533"/>
      <c r="E98" s="533"/>
      <c r="F98" s="533"/>
    </row>
    <row r="99" spans="1:6" s="534" customFormat="1" ht="93.75" x14ac:dyDescent="0.3">
      <c r="A99" s="606">
        <v>921</v>
      </c>
      <c r="B99" s="606" t="s">
        <v>8</v>
      </c>
      <c r="C99" s="615" t="s">
        <v>9</v>
      </c>
      <c r="D99" s="533"/>
      <c r="E99" s="533"/>
      <c r="F99" s="533"/>
    </row>
    <row r="100" spans="1:6" s="534" customFormat="1" ht="56.25" x14ac:dyDescent="0.3">
      <c r="A100" s="606">
        <v>921</v>
      </c>
      <c r="B100" s="606" t="s">
        <v>10</v>
      </c>
      <c r="C100" s="615" t="s">
        <v>433</v>
      </c>
      <c r="D100" s="533"/>
      <c r="E100" s="533"/>
      <c r="F100" s="533"/>
    </row>
    <row r="101" spans="1:6" s="534" customFormat="1" ht="37.5" x14ac:dyDescent="0.3">
      <c r="A101" s="606">
        <v>921</v>
      </c>
      <c r="B101" s="606" t="s">
        <v>11</v>
      </c>
      <c r="C101" s="615" t="s">
        <v>12</v>
      </c>
      <c r="D101" s="533"/>
      <c r="E101" s="533"/>
      <c r="F101" s="533"/>
    </row>
    <row r="102" spans="1:6" s="534" customFormat="1" ht="37.5" x14ac:dyDescent="0.3">
      <c r="A102" s="613">
        <v>921</v>
      </c>
      <c r="B102" s="613" t="s">
        <v>14</v>
      </c>
      <c r="C102" s="617" t="s">
        <v>15</v>
      </c>
      <c r="D102" s="533"/>
      <c r="E102" s="533"/>
      <c r="F102" s="533"/>
    </row>
    <row r="103" spans="1:6" ht="37.5" x14ac:dyDescent="0.25">
      <c r="A103" s="606">
        <v>921</v>
      </c>
      <c r="B103" s="613" t="s">
        <v>704</v>
      </c>
      <c r="C103" s="615" t="s">
        <v>16</v>
      </c>
    </row>
    <row r="104" spans="1:6" ht="56.25" x14ac:dyDescent="0.25">
      <c r="A104" s="606">
        <v>921</v>
      </c>
      <c r="B104" s="613" t="s">
        <v>705</v>
      </c>
      <c r="C104" s="615" t="s">
        <v>17</v>
      </c>
    </row>
    <row r="105" spans="1:6" ht="93.75" x14ac:dyDescent="0.25">
      <c r="A105" s="606">
        <v>921</v>
      </c>
      <c r="B105" s="613" t="s">
        <v>710</v>
      </c>
      <c r="C105" s="615" t="s">
        <v>48</v>
      </c>
    </row>
    <row r="106" spans="1:6" ht="37.5" x14ac:dyDescent="0.25">
      <c r="A106" s="606">
        <v>921</v>
      </c>
      <c r="B106" s="613" t="s">
        <v>711</v>
      </c>
      <c r="C106" s="615" t="s">
        <v>49</v>
      </c>
    </row>
    <row r="107" spans="1:6" ht="37.5" x14ac:dyDescent="0.25">
      <c r="A107" s="606">
        <v>921</v>
      </c>
      <c r="B107" s="606" t="s">
        <v>712</v>
      </c>
      <c r="C107" s="615" t="s">
        <v>50</v>
      </c>
    </row>
    <row r="108" spans="1:6" ht="56.25" x14ac:dyDescent="0.25">
      <c r="A108" s="606">
        <v>921</v>
      </c>
      <c r="B108" s="613" t="s">
        <v>731</v>
      </c>
      <c r="C108" s="615" t="s">
        <v>51</v>
      </c>
    </row>
    <row r="109" spans="1:6" ht="75" x14ac:dyDescent="0.25">
      <c r="A109" s="606">
        <v>921</v>
      </c>
      <c r="B109" s="613" t="s">
        <v>732</v>
      </c>
      <c r="C109" s="615" t="s">
        <v>568</v>
      </c>
    </row>
    <row r="110" spans="1:6" s="534" customFormat="1" ht="56.25" x14ac:dyDescent="0.3">
      <c r="A110" s="606">
        <v>921</v>
      </c>
      <c r="B110" s="613" t="s">
        <v>52</v>
      </c>
      <c r="C110" s="615" t="s">
        <v>53</v>
      </c>
      <c r="D110" s="621"/>
      <c r="E110" s="533"/>
      <c r="F110" s="622"/>
    </row>
    <row r="111" spans="1:6" ht="56.25" x14ac:dyDescent="0.25">
      <c r="A111" s="614">
        <v>925</v>
      </c>
      <c r="B111" s="606"/>
      <c r="C111" s="614" t="s">
        <v>54</v>
      </c>
    </row>
    <row r="112" spans="1:6" s="534" customFormat="1" ht="98.25" customHeight="1" x14ac:dyDescent="0.3">
      <c r="A112" s="613">
        <v>925</v>
      </c>
      <c r="B112" s="613" t="s">
        <v>604</v>
      </c>
      <c r="C112" s="615" t="s">
        <v>605</v>
      </c>
      <c r="D112" s="533"/>
      <c r="E112" s="533"/>
      <c r="F112" s="533"/>
    </row>
    <row r="113" spans="1:6" s="534" customFormat="1" ht="37.5" x14ac:dyDescent="0.3">
      <c r="A113" s="613">
        <v>925</v>
      </c>
      <c r="B113" s="613" t="s">
        <v>6</v>
      </c>
      <c r="C113" s="615" t="s">
        <v>7</v>
      </c>
      <c r="D113" s="533"/>
      <c r="E113" s="533"/>
      <c r="F113" s="533"/>
    </row>
    <row r="114" spans="1:6" s="534" customFormat="1" ht="134.25" customHeight="1" x14ac:dyDescent="0.3">
      <c r="A114" s="613">
        <v>925</v>
      </c>
      <c r="B114" s="613" t="s">
        <v>45</v>
      </c>
      <c r="C114" s="615" t="s">
        <v>46</v>
      </c>
      <c r="D114" s="533"/>
      <c r="E114" s="533"/>
      <c r="F114" s="533"/>
    </row>
    <row r="115" spans="1:6" s="534" customFormat="1" ht="93.75" x14ac:dyDescent="0.3">
      <c r="A115" s="606">
        <v>925</v>
      </c>
      <c r="B115" s="606" t="s">
        <v>8</v>
      </c>
      <c r="C115" s="615" t="s">
        <v>9</v>
      </c>
      <c r="D115" s="533"/>
      <c r="E115" s="533"/>
      <c r="F115" s="533"/>
    </row>
    <row r="116" spans="1:6" s="534" customFormat="1" ht="56.25" x14ac:dyDescent="0.3">
      <c r="A116" s="606">
        <v>925</v>
      </c>
      <c r="B116" s="606" t="s">
        <v>10</v>
      </c>
      <c r="C116" s="615" t="s">
        <v>433</v>
      </c>
      <c r="D116" s="533"/>
      <c r="E116" s="533"/>
      <c r="F116" s="533"/>
    </row>
    <row r="117" spans="1:6" s="534" customFormat="1" ht="37.5" x14ac:dyDescent="0.3">
      <c r="A117" s="606">
        <v>925</v>
      </c>
      <c r="B117" s="606" t="s">
        <v>11</v>
      </c>
      <c r="C117" s="615" t="s">
        <v>12</v>
      </c>
      <c r="D117" s="533"/>
      <c r="E117" s="533"/>
      <c r="F117" s="533"/>
    </row>
    <row r="118" spans="1:6" s="534" customFormat="1" ht="37.5" x14ac:dyDescent="0.3">
      <c r="A118" s="613">
        <v>925</v>
      </c>
      <c r="B118" s="613" t="s">
        <v>14</v>
      </c>
      <c r="C118" s="617" t="s">
        <v>15</v>
      </c>
      <c r="D118" s="533"/>
      <c r="E118" s="533"/>
      <c r="F118" s="533"/>
    </row>
    <row r="119" spans="1:6" ht="37.5" x14ac:dyDescent="0.25">
      <c r="A119" s="606">
        <v>925</v>
      </c>
      <c r="B119" s="613" t="s">
        <v>713</v>
      </c>
      <c r="C119" s="615" t="s">
        <v>55</v>
      </c>
    </row>
    <row r="120" spans="1:6" ht="37.5" x14ac:dyDescent="0.25">
      <c r="A120" s="606">
        <v>925</v>
      </c>
      <c r="B120" s="613" t="s">
        <v>704</v>
      </c>
      <c r="C120" s="615" t="s">
        <v>16</v>
      </c>
    </row>
    <row r="121" spans="1:6" ht="56.25" x14ac:dyDescent="0.25">
      <c r="A121" s="606">
        <v>925</v>
      </c>
      <c r="B121" s="613" t="s">
        <v>705</v>
      </c>
      <c r="C121" s="615" t="s">
        <v>17</v>
      </c>
    </row>
    <row r="122" spans="1:6" ht="112.5" x14ac:dyDescent="0.25">
      <c r="A122" s="606">
        <v>925</v>
      </c>
      <c r="B122" s="613" t="s">
        <v>714</v>
      </c>
      <c r="C122" s="615" t="s">
        <v>56</v>
      </c>
    </row>
    <row r="123" spans="1:6" ht="37.5" x14ac:dyDescent="0.25">
      <c r="A123" s="606">
        <v>925</v>
      </c>
      <c r="B123" s="606" t="s">
        <v>712</v>
      </c>
      <c r="C123" s="615" t="s">
        <v>50</v>
      </c>
    </row>
    <row r="124" spans="1:6" ht="56.25" x14ac:dyDescent="0.25">
      <c r="A124" s="606">
        <v>925</v>
      </c>
      <c r="B124" s="613" t="s">
        <v>731</v>
      </c>
      <c r="C124" s="615" t="s">
        <v>51</v>
      </c>
    </row>
    <row r="125" spans="1:6" ht="75" x14ac:dyDescent="0.25">
      <c r="A125" s="606">
        <v>925</v>
      </c>
      <c r="B125" s="613" t="s">
        <v>732</v>
      </c>
      <c r="C125" s="615" t="s">
        <v>568</v>
      </c>
    </row>
    <row r="126" spans="1:6" ht="56.25" x14ac:dyDescent="0.25">
      <c r="A126" s="614">
        <v>926</v>
      </c>
      <c r="B126" s="606"/>
      <c r="C126" s="614" t="s">
        <v>57</v>
      </c>
    </row>
    <row r="127" spans="1:6" ht="56.25" x14ac:dyDescent="0.25">
      <c r="A127" s="613">
        <v>926</v>
      </c>
      <c r="B127" s="613" t="s">
        <v>62</v>
      </c>
      <c r="C127" s="615" t="s">
        <v>63</v>
      </c>
    </row>
    <row r="128" spans="1:6" s="534" customFormat="1" ht="37.5" x14ac:dyDescent="0.3">
      <c r="A128" s="613">
        <v>926</v>
      </c>
      <c r="B128" s="613" t="s">
        <v>6</v>
      </c>
      <c r="C128" s="615" t="s">
        <v>7</v>
      </c>
      <c r="D128" s="533"/>
      <c r="E128" s="533"/>
      <c r="F128" s="533"/>
    </row>
    <row r="129" spans="1:6" s="534" customFormat="1" ht="93.75" x14ac:dyDescent="0.3">
      <c r="A129" s="606">
        <v>926</v>
      </c>
      <c r="B129" s="606" t="s">
        <v>8</v>
      </c>
      <c r="C129" s="615" t="s">
        <v>9</v>
      </c>
      <c r="D129" s="533"/>
      <c r="E129" s="533"/>
      <c r="F129" s="533"/>
    </row>
    <row r="130" spans="1:6" s="534" customFormat="1" ht="37.5" x14ac:dyDescent="0.3">
      <c r="A130" s="606">
        <v>926</v>
      </c>
      <c r="B130" s="606" t="s">
        <v>11</v>
      </c>
      <c r="C130" s="615" t="s">
        <v>12</v>
      </c>
      <c r="D130" s="533"/>
      <c r="E130" s="533"/>
      <c r="F130" s="533"/>
    </row>
    <row r="131" spans="1:6" s="534" customFormat="1" ht="37.5" x14ac:dyDescent="0.3">
      <c r="A131" s="606">
        <v>926</v>
      </c>
      <c r="B131" s="606" t="s">
        <v>715</v>
      </c>
      <c r="C131" s="615" t="s">
        <v>582</v>
      </c>
      <c r="D131" s="533"/>
      <c r="E131" s="533"/>
      <c r="F131" s="533"/>
    </row>
    <row r="132" spans="1:6" ht="37.5" x14ac:dyDescent="0.25">
      <c r="A132" s="606">
        <v>926</v>
      </c>
      <c r="B132" s="613" t="s">
        <v>704</v>
      </c>
      <c r="C132" s="615" t="s">
        <v>16</v>
      </c>
    </row>
    <row r="133" spans="1:6" ht="93.75" x14ac:dyDescent="0.25">
      <c r="A133" s="606">
        <v>926</v>
      </c>
      <c r="B133" s="613" t="s">
        <v>709</v>
      </c>
      <c r="C133" s="615" t="s">
        <v>35</v>
      </c>
    </row>
    <row r="134" spans="1:6" ht="37.5" x14ac:dyDescent="0.25">
      <c r="A134" s="606">
        <v>926</v>
      </c>
      <c r="B134" s="613" t="s">
        <v>712</v>
      </c>
      <c r="C134" s="615" t="s">
        <v>50</v>
      </c>
    </row>
    <row r="135" spans="1:6" ht="57.75" customHeight="1" x14ac:dyDescent="0.25">
      <c r="A135" s="606">
        <v>926</v>
      </c>
      <c r="B135" s="613" t="s">
        <v>742</v>
      </c>
      <c r="C135" s="615" t="s">
        <v>19</v>
      </c>
    </row>
    <row r="136" spans="1:6" ht="56.25" x14ac:dyDescent="0.25">
      <c r="A136" s="606">
        <v>926</v>
      </c>
      <c r="B136" s="613" t="s">
        <v>731</v>
      </c>
      <c r="C136" s="615" t="s">
        <v>51</v>
      </c>
    </row>
    <row r="137" spans="1:6" ht="75" x14ac:dyDescent="0.25">
      <c r="A137" s="606">
        <v>926</v>
      </c>
      <c r="B137" s="613" t="s">
        <v>732</v>
      </c>
      <c r="C137" s="615" t="s">
        <v>568</v>
      </c>
    </row>
    <row r="138" spans="1:6" ht="56.25" x14ac:dyDescent="0.25">
      <c r="A138" s="614">
        <v>929</v>
      </c>
      <c r="B138" s="613"/>
      <c r="C138" s="614" t="s">
        <v>58</v>
      </c>
    </row>
    <row r="139" spans="1:6" ht="37.5" x14ac:dyDescent="0.25">
      <c r="A139" s="606">
        <v>929</v>
      </c>
      <c r="B139" s="606" t="s">
        <v>6</v>
      </c>
      <c r="C139" s="615" t="s">
        <v>7</v>
      </c>
    </row>
    <row r="140" spans="1:6" ht="133.5" customHeight="1" x14ac:dyDescent="0.25">
      <c r="A140" s="613">
        <v>929</v>
      </c>
      <c r="B140" s="613" t="s">
        <v>45</v>
      </c>
      <c r="C140" s="615" t="s">
        <v>46</v>
      </c>
      <c r="D140" s="535"/>
      <c r="E140" s="535"/>
      <c r="F140" s="535"/>
    </row>
    <row r="141" spans="1:6" ht="37.5" x14ac:dyDescent="0.25">
      <c r="A141" s="613">
        <v>929</v>
      </c>
      <c r="B141" s="606" t="s">
        <v>11</v>
      </c>
      <c r="C141" s="615" t="s">
        <v>12</v>
      </c>
      <c r="D141" s="535"/>
      <c r="E141" s="535"/>
      <c r="F141" s="535"/>
    </row>
    <row r="142" spans="1:6" ht="37.5" x14ac:dyDescent="0.25">
      <c r="A142" s="613">
        <v>929</v>
      </c>
      <c r="B142" s="613" t="s">
        <v>14</v>
      </c>
      <c r="C142" s="617" t="s">
        <v>15</v>
      </c>
      <c r="D142" s="535"/>
      <c r="E142" s="535"/>
      <c r="F142" s="535"/>
    </row>
    <row r="143" spans="1:6" ht="37.5" x14ac:dyDescent="0.25">
      <c r="A143" s="606">
        <v>929</v>
      </c>
      <c r="B143" s="613" t="s">
        <v>704</v>
      </c>
      <c r="C143" s="615" t="s">
        <v>16</v>
      </c>
    </row>
    <row r="144" spans="1:6" ht="75" x14ac:dyDescent="0.25">
      <c r="A144" s="606">
        <v>929</v>
      </c>
      <c r="B144" s="613" t="s">
        <v>732</v>
      </c>
      <c r="C144" s="615" t="s">
        <v>568</v>
      </c>
    </row>
    <row r="145" spans="1:8" ht="56.25" x14ac:dyDescent="0.25">
      <c r="A145" s="614">
        <v>934</v>
      </c>
      <c r="B145" s="613"/>
      <c r="C145" s="614" t="s">
        <v>59</v>
      </c>
    </row>
    <row r="146" spans="1:8" s="534" customFormat="1" ht="37.5" x14ac:dyDescent="0.3">
      <c r="A146" s="606">
        <v>934</v>
      </c>
      <c r="B146" s="606" t="s">
        <v>6</v>
      </c>
      <c r="C146" s="615" t="s">
        <v>7</v>
      </c>
      <c r="D146" s="533"/>
      <c r="E146" s="533"/>
      <c r="F146" s="533"/>
    </row>
    <row r="147" spans="1:8" s="534" customFormat="1" ht="93.75" x14ac:dyDescent="0.3">
      <c r="A147" s="606">
        <v>934</v>
      </c>
      <c r="B147" s="606" t="s">
        <v>8</v>
      </c>
      <c r="C147" s="615" t="s">
        <v>9</v>
      </c>
      <c r="D147" s="533"/>
      <c r="E147" s="533"/>
      <c r="F147" s="533"/>
    </row>
    <row r="148" spans="1:8" s="534" customFormat="1" ht="37.5" x14ac:dyDescent="0.3">
      <c r="A148" s="613">
        <v>934</v>
      </c>
      <c r="B148" s="606" t="s">
        <v>11</v>
      </c>
      <c r="C148" s="615" t="s">
        <v>12</v>
      </c>
      <c r="D148" s="533"/>
      <c r="E148" s="533"/>
      <c r="F148" s="533"/>
    </row>
    <row r="149" spans="1:8" ht="75" x14ac:dyDescent="0.25">
      <c r="A149" s="606">
        <v>934</v>
      </c>
      <c r="B149" s="613" t="s">
        <v>732</v>
      </c>
      <c r="C149" s="615" t="s">
        <v>568</v>
      </c>
    </row>
    <row r="150" spans="1:8" ht="56.25" x14ac:dyDescent="0.25">
      <c r="A150" s="614">
        <v>953</v>
      </c>
      <c r="B150" s="606"/>
      <c r="C150" s="614" t="s">
        <v>60</v>
      </c>
    </row>
    <row r="151" spans="1:8" ht="37.5" x14ac:dyDescent="0.25">
      <c r="A151" s="613">
        <v>953</v>
      </c>
      <c r="B151" s="606" t="s">
        <v>6</v>
      </c>
      <c r="C151" s="615" t="s">
        <v>7</v>
      </c>
    </row>
    <row r="152" spans="1:8" s="534" customFormat="1" ht="37.5" x14ac:dyDescent="0.3">
      <c r="A152" s="613">
        <v>953</v>
      </c>
      <c r="B152" s="606" t="s">
        <v>11</v>
      </c>
      <c r="C152" s="615" t="s">
        <v>12</v>
      </c>
      <c r="D152" s="533"/>
      <c r="E152" s="533"/>
      <c r="F152" s="533"/>
    </row>
    <row r="153" spans="1:8" ht="56.25" x14ac:dyDescent="0.25">
      <c r="A153" s="606">
        <v>953</v>
      </c>
      <c r="B153" s="613" t="s">
        <v>705</v>
      </c>
      <c r="C153" s="615" t="s">
        <v>17</v>
      </c>
    </row>
    <row r="154" spans="1:8" ht="75" x14ac:dyDescent="0.25">
      <c r="A154" s="606">
        <v>953</v>
      </c>
      <c r="B154" s="613" t="s">
        <v>716</v>
      </c>
      <c r="C154" s="615" t="s">
        <v>61</v>
      </c>
    </row>
    <row r="155" spans="1:8" ht="75" x14ac:dyDescent="0.25">
      <c r="A155" s="606">
        <v>953</v>
      </c>
      <c r="B155" s="613" t="s">
        <v>732</v>
      </c>
      <c r="C155" s="615" t="s">
        <v>568</v>
      </c>
    </row>
    <row r="157" spans="1:8" ht="18.75" x14ac:dyDescent="0.25">
      <c r="A157" s="961" t="s">
        <v>438</v>
      </c>
      <c r="B157" s="961"/>
      <c r="C157" s="961"/>
    </row>
    <row r="160" spans="1:8" s="480" customFormat="1" ht="18.75" x14ac:dyDescent="0.3">
      <c r="A160" s="474" t="s">
        <v>588</v>
      </c>
      <c r="B160" s="475"/>
      <c r="C160" s="476"/>
      <c r="D160" s="476"/>
      <c r="E160" s="476"/>
      <c r="F160" s="477"/>
      <c r="G160" s="478"/>
      <c r="H160" s="479"/>
    </row>
    <row r="161" spans="1:8" s="480" customFormat="1" ht="18.75" x14ac:dyDescent="0.3">
      <c r="A161" s="474" t="s">
        <v>589</v>
      </c>
      <c r="B161" s="475"/>
      <c r="C161" s="476"/>
      <c r="D161" s="476"/>
      <c r="E161" s="476"/>
      <c r="F161" s="477"/>
      <c r="G161" s="478"/>
      <c r="H161" s="479"/>
    </row>
    <row r="162" spans="1:8" s="480" customFormat="1" ht="18.75" x14ac:dyDescent="0.3">
      <c r="A162" s="481" t="s">
        <v>590</v>
      </c>
      <c r="B162" s="475"/>
      <c r="C162" s="623" t="s">
        <v>643</v>
      </c>
      <c r="D162" s="476"/>
      <c r="E162" s="476"/>
      <c r="F162" s="477"/>
    </row>
  </sheetData>
  <autoFilter ref="A1:C162"/>
  <mergeCells count="5">
    <mergeCell ref="A5:C5"/>
    <mergeCell ref="A7:B7"/>
    <mergeCell ref="C8:C9"/>
    <mergeCell ref="A8:B8"/>
    <mergeCell ref="A157:C157"/>
  </mergeCells>
  <printOptions horizontalCentered="1"/>
  <pageMargins left="1.1811023622047245" right="0.39370078740157483" top="0.6692913385826772" bottom="0.6692913385826772" header="0.31496062992125984" footer="0.31496062992125984"/>
  <pageSetup paperSize="9" scale="78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57"/>
  <sheetViews>
    <sheetView zoomScale="80" zoomScaleNormal="80" zoomScaleSheetLayoutView="70" workbookViewId="0">
      <pane ySplit="4" topLeftCell="A5" activePane="bottomLeft" state="frozen"/>
      <selection activeCell="M15" sqref="M15"/>
      <selection pane="bottomLeft" activeCell="B45" sqref="B45"/>
    </sheetView>
  </sheetViews>
  <sheetFormatPr defaultColWidth="9.140625" defaultRowHeight="15.75" x14ac:dyDescent="0.25"/>
  <cols>
    <col min="1" max="1" width="4.5703125" style="777" customWidth="1"/>
    <col min="2" max="2" width="62.42578125" style="778" customWidth="1"/>
    <col min="3" max="3" width="3.140625" style="779" customWidth="1"/>
    <col min="4" max="4" width="2" style="779" customWidth="1"/>
    <col min="5" max="5" width="3" style="779" customWidth="1"/>
    <col min="6" max="6" width="7.5703125" style="779" customWidth="1"/>
    <col min="7" max="7" width="5.5703125" style="780" customWidth="1"/>
    <col min="8" max="8" width="16.7109375" style="781" customWidth="1"/>
    <col min="9" max="9" width="9.140625" style="699"/>
    <col min="10" max="10" width="17.7109375" style="699" customWidth="1"/>
    <col min="11" max="16384" width="9.140625" style="699"/>
  </cols>
  <sheetData>
    <row r="1" spans="1:10" s="536" customFormat="1" ht="18.75" x14ac:dyDescent="0.3">
      <c r="H1" s="605" t="s">
        <v>573</v>
      </c>
    </row>
    <row r="2" spans="1:10" s="536" customFormat="1" ht="18.75" x14ac:dyDescent="0.3">
      <c r="H2" s="605" t="s">
        <v>0</v>
      </c>
    </row>
    <row r="4" spans="1:10" ht="18.75" x14ac:dyDescent="0.3">
      <c r="H4" s="605" t="s">
        <v>702</v>
      </c>
    </row>
    <row r="5" spans="1:10" ht="18.75" x14ac:dyDescent="0.3">
      <c r="H5" s="605" t="s">
        <v>821</v>
      </c>
    </row>
    <row r="8" spans="1:10" ht="93.75" customHeight="1" x14ac:dyDescent="0.3">
      <c r="A8" s="986" t="s">
        <v>752</v>
      </c>
      <c r="B8" s="986"/>
      <c r="C8" s="986"/>
      <c r="D8" s="986"/>
      <c r="E8" s="986"/>
      <c r="F8" s="986"/>
      <c r="G8" s="986"/>
      <c r="H8" s="986"/>
    </row>
    <row r="9" spans="1:10" x14ac:dyDescent="0.25">
      <c r="A9" s="699"/>
      <c r="B9" s="699"/>
      <c r="C9" s="777"/>
      <c r="D9" s="777"/>
      <c r="E9" s="777"/>
      <c r="F9" s="777"/>
      <c r="G9" s="781"/>
    </row>
    <row r="10" spans="1:10" ht="18.75" x14ac:dyDescent="0.3">
      <c r="A10" s="782"/>
      <c r="B10" s="694"/>
      <c r="C10" s="477"/>
      <c r="D10" s="477"/>
      <c r="E10" s="477"/>
      <c r="F10" s="477"/>
      <c r="G10" s="699"/>
      <c r="H10" s="783" t="s">
        <v>75</v>
      </c>
    </row>
    <row r="11" spans="1:10" ht="56.25" x14ac:dyDescent="0.25">
      <c r="A11" s="784" t="s">
        <v>76</v>
      </c>
      <c r="B11" s="785" t="s">
        <v>77</v>
      </c>
      <c r="C11" s="987" t="s">
        <v>81</v>
      </c>
      <c r="D11" s="988"/>
      <c r="E11" s="988"/>
      <c r="F11" s="989"/>
      <c r="G11" s="785" t="s">
        <v>82</v>
      </c>
      <c r="H11" s="786" t="s">
        <v>66</v>
      </c>
    </row>
    <row r="12" spans="1:10" ht="18.75" x14ac:dyDescent="0.3">
      <c r="A12" s="724">
        <v>1</v>
      </c>
      <c r="B12" s="787">
        <v>2</v>
      </c>
      <c r="C12" s="990" t="s">
        <v>83</v>
      </c>
      <c r="D12" s="991"/>
      <c r="E12" s="991"/>
      <c r="F12" s="992"/>
      <c r="G12" s="788" t="s">
        <v>84</v>
      </c>
      <c r="H12" s="725">
        <v>5</v>
      </c>
    </row>
    <row r="13" spans="1:10" ht="18.75" x14ac:dyDescent="0.25">
      <c r="A13" s="789"/>
      <c r="B13" s="790" t="s">
        <v>281</v>
      </c>
      <c r="C13" s="791"/>
      <c r="D13" s="791"/>
      <c r="E13" s="791"/>
      <c r="F13" s="791"/>
      <c r="G13" s="792"/>
      <c r="H13" s="793">
        <f>H14+H109+H150+H177+H192+H220+H237+H273+H326+H335+H341+H351+H359+H365+H422+H436+H316+H416</f>
        <v>1315947.2008500004</v>
      </c>
      <c r="J13" s="794">
        <f>H13-'прил12(ведом 19)'!M15</f>
        <v>-1.9999999552965164E-2</v>
      </c>
    </row>
    <row r="14" spans="1:10" s="801" customFormat="1" ht="56.25" x14ac:dyDescent="0.3">
      <c r="A14" s="795">
        <v>1</v>
      </c>
      <c r="B14" s="796" t="s">
        <v>284</v>
      </c>
      <c r="C14" s="797" t="s">
        <v>92</v>
      </c>
      <c r="D14" s="797" t="s">
        <v>95</v>
      </c>
      <c r="E14" s="797" t="s">
        <v>96</v>
      </c>
      <c r="F14" s="798" t="s">
        <v>97</v>
      </c>
      <c r="G14" s="799"/>
      <c r="H14" s="800">
        <f>H15+H61+H87</f>
        <v>890469.95177000004</v>
      </c>
    </row>
    <row r="15" spans="1:10" ht="37.5" x14ac:dyDescent="0.3">
      <c r="A15" s="789"/>
      <c r="B15" s="802" t="s">
        <v>285</v>
      </c>
      <c r="C15" s="933" t="s">
        <v>92</v>
      </c>
      <c r="D15" s="933" t="s">
        <v>98</v>
      </c>
      <c r="E15" s="933" t="s">
        <v>96</v>
      </c>
      <c r="F15" s="934" t="s">
        <v>97</v>
      </c>
      <c r="G15" s="788"/>
      <c r="H15" s="803">
        <f>H16+H32</f>
        <v>791563.8</v>
      </c>
    </row>
    <row r="16" spans="1:10" ht="18.75" x14ac:dyDescent="0.3">
      <c r="A16" s="789"/>
      <c r="B16" s="802" t="s">
        <v>373</v>
      </c>
      <c r="C16" s="463" t="s">
        <v>92</v>
      </c>
      <c r="D16" s="464" t="s">
        <v>98</v>
      </c>
      <c r="E16" s="464" t="s">
        <v>90</v>
      </c>
      <c r="F16" s="465" t="s">
        <v>97</v>
      </c>
      <c r="G16" s="788"/>
      <c r="H16" s="803">
        <f>H25+H28+H30+H17+H21+H23+H19</f>
        <v>305155.30000000005</v>
      </c>
    </row>
    <row r="17" spans="1:8" ht="75" x14ac:dyDescent="0.3">
      <c r="A17" s="789"/>
      <c r="B17" s="802" t="s">
        <v>151</v>
      </c>
      <c r="C17" s="463" t="s">
        <v>92</v>
      </c>
      <c r="D17" s="464" t="s">
        <v>98</v>
      </c>
      <c r="E17" s="464" t="s">
        <v>90</v>
      </c>
      <c r="F17" s="465" t="s">
        <v>153</v>
      </c>
      <c r="G17" s="466"/>
      <c r="H17" s="803">
        <f>H18</f>
        <v>88261.6</v>
      </c>
    </row>
    <row r="18" spans="1:8" ht="56.25" x14ac:dyDescent="0.3">
      <c r="A18" s="789"/>
      <c r="B18" s="802" t="s">
        <v>135</v>
      </c>
      <c r="C18" s="463" t="s">
        <v>92</v>
      </c>
      <c r="D18" s="464" t="s">
        <v>98</v>
      </c>
      <c r="E18" s="464" t="s">
        <v>90</v>
      </c>
      <c r="F18" s="465" t="s">
        <v>153</v>
      </c>
      <c r="G18" s="466" t="s">
        <v>136</v>
      </c>
      <c r="H18" s="803">
        <f>'прил12(ведом 19)'!M319</f>
        <v>88261.6</v>
      </c>
    </row>
    <row r="19" spans="1:8" ht="37.5" x14ac:dyDescent="0.3">
      <c r="A19" s="789"/>
      <c r="B19" s="763" t="s">
        <v>619</v>
      </c>
      <c r="C19" s="463" t="s">
        <v>92</v>
      </c>
      <c r="D19" s="464" t="s">
        <v>98</v>
      </c>
      <c r="E19" s="464" t="s">
        <v>90</v>
      </c>
      <c r="F19" s="465" t="s">
        <v>618</v>
      </c>
      <c r="G19" s="466"/>
      <c r="H19" s="803">
        <f>H20</f>
        <v>338.2</v>
      </c>
    </row>
    <row r="20" spans="1:8" ht="56.25" x14ac:dyDescent="0.3">
      <c r="A20" s="789"/>
      <c r="B20" s="802" t="s">
        <v>135</v>
      </c>
      <c r="C20" s="463" t="s">
        <v>92</v>
      </c>
      <c r="D20" s="464" t="s">
        <v>98</v>
      </c>
      <c r="E20" s="464" t="s">
        <v>90</v>
      </c>
      <c r="F20" s="465" t="s">
        <v>618</v>
      </c>
      <c r="G20" s="466" t="s">
        <v>136</v>
      </c>
      <c r="H20" s="803">
        <f>'прил12(ведом 19)'!M321</f>
        <v>338.2</v>
      </c>
    </row>
    <row r="21" spans="1:8" ht="37.5" x14ac:dyDescent="0.3">
      <c r="A21" s="789"/>
      <c r="B21" s="763" t="s">
        <v>286</v>
      </c>
      <c r="C21" s="463" t="s">
        <v>92</v>
      </c>
      <c r="D21" s="464" t="s">
        <v>98</v>
      </c>
      <c r="E21" s="464" t="s">
        <v>90</v>
      </c>
      <c r="F21" s="465" t="s">
        <v>379</v>
      </c>
      <c r="G21" s="466"/>
      <c r="H21" s="803">
        <f>H22</f>
        <v>5881.4000000000005</v>
      </c>
    </row>
    <row r="22" spans="1:8" ht="56.25" x14ac:dyDescent="0.3">
      <c r="A22" s="789"/>
      <c r="B22" s="763" t="s">
        <v>135</v>
      </c>
      <c r="C22" s="463" t="s">
        <v>92</v>
      </c>
      <c r="D22" s="464" t="s">
        <v>98</v>
      </c>
      <c r="E22" s="464" t="s">
        <v>90</v>
      </c>
      <c r="F22" s="465" t="s">
        <v>379</v>
      </c>
      <c r="G22" s="466" t="s">
        <v>136</v>
      </c>
      <c r="H22" s="803">
        <f>'прил12(ведом 19)'!M323</f>
        <v>5881.4000000000005</v>
      </c>
    </row>
    <row r="23" spans="1:8" ht="56.25" x14ac:dyDescent="0.3">
      <c r="A23" s="789"/>
      <c r="B23" s="763" t="s">
        <v>288</v>
      </c>
      <c r="C23" s="463" t="s">
        <v>92</v>
      </c>
      <c r="D23" s="464" t="s">
        <v>98</v>
      </c>
      <c r="E23" s="464" t="s">
        <v>90</v>
      </c>
      <c r="F23" s="465" t="s">
        <v>381</v>
      </c>
      <c r="G23" s="466"/>
      <c r="H23" s="803">
        <f>H24</f>
        <v>7.5</v>
      </c>
    </row>
    <row r="24" spans="1:8" ht="56.25" x14ac:dyDescent="0.3">
      <c r="A24" s="789"/>
      <c r="B24" s="763" t="s">
        <v>135</v>
      </c>
      <c r="C24" s="463" t="s">
        <v>92</v>
      </c>
      <c r="D24" s="464" t="s">
        <v>98</v>
      </c>
      <c r="E24" s="464" t="s">
        <v>90</v>
      </c>
      <c r="F24" s="465" t="s">
        <v>381</v>
      </c>
      <c r="G24" s="466" t="s">
        <v>136</v>
      </c>
      <c r="H24" s="803">
        <f>'прил12(ведом 19)'!M325</f>
        <v>7.5</v>
      </c>
    </row>
    <row r="25" spans="1:8" ht="131.25" x14ac:dyDescent="0.3">
      <c r="A25" s="789"/>
      <c r="B25" s="802" t="s">
        <v>390</v>
      </c>
      <c r="C25" s="463" t="s">
        <v>92</v>
      </c>
      <c r="D25" s="464" t="s">
        <v>98</v>
      </c>
      <c r="E25" s="464" t="s">
        <v>90</v>
      </c>
      <c r="F25" s="465" t="s">
        <v>391</v>
      </c>
      <c r="G25" s="466"/>
      <c r="H25" s="803">
        <f>SUM(H26:H27)</f>
        <v>9069.2000000000007</v>
      </c>
    </row>
    <row r="26" spans="1:8" ht="37.5" x14ac:dyDescent="0.3">
      <c r="A26" s="789"/>
      <c r="B26" s="802" t="s">
        <v>108</v>
      </c>
      <c r="C26" s="463" t="s">
        <v>92</v>
      </c>
      <c r="D26" s="464" t="s">
        <v>98</v>
      </c>
      <c r="E26" s="464" t="s">
        <v>90</v>
      </c>
      <c r="F26" s="465" t="s">
        <v>391</v>
      </c>
      <c r="G26" s="466" t="s">
        <v>109</v>
      </c>
      <c r="H26" s="803">
        <f>'прил12(ведом 19)'!M440</f>
        <v>134</v>
      </c>
    </row>
    <row r="27" spans="1:8" ht="37.5" x14ac:dyDescent="0.3">
      <c r="A27" s="789"/>
      <c r="B27" s="804" t="s">
        <v>183</v>
      </c>
      <c r="C27" s="463" t="s">
        <v>92</v>
      </c>
      <c r="D27" s="464" t="s">
        <v>98</v>
      </c>
      <c r="E27" s="464" t="s">
        <v>90</v>
      </c>
      <c r="F27" s="465" t="s">
        <v>391</v>
      </c>
      <c r="G27" s="466" t="s">
        <v>184</v>
      </c>
      <c r="H27" s="803">
        <f>'прил12(ведом 19)'!M441</f>
        <v>8935.2000000000007</v>
      </c>
    </row>
    <row r="28" spans="1:8" ht="168.75" x14ac:dyDescent="0.3">
      <c r="A28" s="789"/>
      <c r="B28" s="802" t="s">
        <v>374</v>
      </c>
      <c r="C28" s="463" t="s">
        <v>92</v>
      </c>
      <c r="D28" s="464" t="s">
        <v>98</v>
      </c>
      <c r="E28" s="464" t="s">
        <v>90</v>
      </c>
      <c r="F28" s="465" t="s">
        <v>375</v>
      </c>
      <c r="G28" s="466"/>
      <c r="H28" s="803">
        <f>H29</f>
        <v>509.50000000000006</v>
      </c>
    </row>
    <row r="29" spans="1:8" ht="56.25" x14ac:dyDescent="0.3">
      <c r="A29" s="789"/>
      <c r="B29" s="802" t="s">
        <v>135</v>
      </c>
      <c r="C29" s="463" t="s">
        <v>92</v>
      </c>
      <c r="D29" s="464" t="s">
        <v>98</v>
      </c>
      <c r="E29" s="464" t="s">
        <v>90</v>
      </c>
      <c r="F29" s="465" t="s">
        <v>375</v>
      </c>
      <c r="G29" s="466" t="s">
        <v>136</v>
      </c>
      <c r="H29" s="803">
        <f>'прил12(ведом 19)'!M327</f>
        <v>509.50000000000006</v>
      </c>
    </row>
    <row r="30" spans="1:8" ht="112.5" x14ac:dyDescent="0.3">
      <c r="A30" s="789"/>
      <c r="B30" s="802" t="s">
        <v>503</v>
      </c>
      <c r="C30" s="463" t="s">
        <v>92</v>
      </c>
      <c r="D30" s="464" t="s">
        <v>98</v>
      </c>
      <c r="E30" s="464" t="s">
        <v>90</v>
      </c>
      <c r="F30" s="465" t="s">
        <v>376</v>
      </c>
      <c r="G30" s="466"/>
      <c r="H30" s="803">
        <f>H31</f>
        <v>201087.9</v>
      </c>
    </row>
    <row r="31" spans="1:8" ht="56.25" x14ac:dyDescent="0.3">
      <c r="A31" s="789"/>
      <c r="B31" s="804" t="s">
        <v>135</v>
      </c>
      <c r="C31" s="463" t="s">
        <v>92</v>
      </c>
      <c r="D31" s="464" t="s">
        <v>98</v>
      </c>
      <c r="E31" s="464" t="s">
        <v>90</v>
      </c>
      <c r="F31" s="465" t="s">
        <v>376</v>
      </c>
      <c r="G31" s="466" t="s">
        <v>136</v>
      </c>
      <c r="H31" s="803">
        <f>'прил12(ведом 19)'!M329</f>
        <v>201087.9</v>
      </c>
    </row>
    <row r="32" spans="1:8" ht="18.75" x14ac:dyDescent="0.3">
      <c r="A32" s="789"/>
      <c r="B32" s="802" t="s">
        <v>378</v>
      </c>
      <c r="C32" s="463" t="s">
        <v>92</v>
      </c>
      <c r="D32" s="464" t="s">
        <v>98</v>
      </c>
      <c r="E32" s="464" t="s">
        <v>92</v>
      </c>
      <c r="F32" s="465" t="s">
        <v>97</v>
      </c>
      <c r="G32" s="466"/>
      <c r="H32" s="803">
        <f>H40+H43+H50+H54+H58+H33+H48+H38</f>
        <v>486408.5</v>
      </c>
    </row>
    <row r="33" spans="1:8" ht="75" x14ac:dyDescent="0.3">
      <c r="A33" s="789"/>
      <c r="B33" s="802" t="s">
        <v>151</v>
      </c>
      <c r="C33" s="463" t="s">
        <v>92</v>
      </c>
      <c r="D33" s="464" t="s">
        <v>98</v>
      </c>
      <c r="E33" s="464" t="s">
        <v>92</v>
      </c>
      <c r="F33" s="465" t="s">
        <v>153</v>
      </c>
      <c r="G33" s="466"/>
      <c r="H33" s="803">
        <f>SUM(H34:H37)</f>
        <v>79117.400000000009</v>
      </c>
    </row>
    <row r="34" spans="1:8" ht="93.75" x14ac:dyDescent="0.3">
      <c r="A34" s="789"/>
      <c r="B34" s="763" t="s">
        <v>102</v>
      </c>
      <c r="C34" s="463" t="s">
        <v>92</v>
      </c>
      <c r="D34" s="464" t="s">
        <v>98</v>
      </c>
      <c r="E34" s="464" t="s">
        <v>92</v>
      </c>
      <c r="F34" s="465" t="s">
        <v>153</v>
      </c>
      <c r="G34" s="466" t="s">
        <v>103</v>
      </c>
      <c r="H34" s="803">
        <f>'прил12(ведом 19)'!M345</f>
        <v>3791.6</v>
      </c>
    </row>
    <row r="35" spans="1:8" ht="37.5" x14ac:dyDescent="0.3">
      <c r="A35" s="789"/>
      <c r="B35" s="763" t="s">
        <v>108</v>
      </c>
      <c r="C35" s="463" t="s">
        <v>92</v>
      </c>
      <c r="D35" s="464" t="s">
        <v>98</v>
      </c>
      <c r="E35" s="464" t="s">
        <v>92</v>
      </c>
      <c r="F35" s="465" t="s">
        <v>153</v>
      </c>
      <c r="G35" s="466" t="s">
        <v>109</v>
      </c>
      <c r="H35" s="803">
        <f>'прил12(ведом 19)'!M346</f>
        <v>4352</v>
      </c>
    </row>
    <row r="36" spans="1:8" ht="56.25" x14ac:dyDescent="0.3">
      <c r="A36" s="789"/>
      <c r="B36" s="802" t="s">
        <v>135</v>
      </c>
      <c r="C36" s="463" t="s">
        <v>92</v>
      </c>
      <c r="D36" s="464" t="s">
        <v>98</v>
      </c>
      <c r="E36" s="464" t="s">
        <v>92</v>
      </c>
      <c r="F36" s="465" t="s">
        <v>153</v>
      </c>
      <c r="G36" s="466" t="s">
        <v>136</v>
      </c>
      <c r="H36" s="803">
        <f>'прил12(ведом 19)'!M347</f>
        <v>70251.8</v>
      </c>
    </row>
    <row r="37" spans="1:8" ht="18.75" x14ac:dyDescent="0.3">
      <c r="A37" s="789"/>
      <c r="B37" s="802" t="s">
        <v>110</v>
      </c>
      <c r="C37" s="463" t="s">
        <v>92</v>
      </c>
      <c r="D37" s="464" t="s">
        <v>98</v>
      </c>
      <c r="E37" s="464" t="s">
        <v>92</v>
      </c>
      <c r="F37" s="465" t="s">
        <v>153</v>
      </c>
      <c r="G37" s="466" t="s">
        <v>111</v>
      </c>
      <c r="H37" s="803">
        <f>'прил12(ведом 19)'!M348</f>
        <v>722</v>
      </c>
    </row>
    <row r="38" spans="1:8" ht="37.5" x14ac:dyDescent="0.3">
      <c r="A38" s="789"/>
      <c r="B38" s="763" t="s">
        <v>619</v>
      </c>
      <c r="C38" s="463" t="s">
        <v>92</v>
      </c>
      <c r="D38" s="464" t="s">
        <v>98</v>
      </c>
      <c r="E38" s="464" t="s">
        <v>92</v>
      </c>
      <c r="F38" s="465" t="s">
        <v>618</v>
      </c>
      <c r="G38" s="466"/>
      <c r="H38" s="803">
        <f>H39</f>
        <v>438.1</v>
      </c>
    </row>
    <row r="39" spans="1:8" ht="56.25" x14ac:dyDescent="0.3">
      <c r="A39" s="789"/>
      <c r="B39" s="802" t="s">
        <v>135</v>
      </c>
      <c r="C39" s="463" t="s">
        <v>92</v>
      </c>
      <c r="D39" s="464" t="s">
        <v>98</v>
      </c>
      <c r="E39" s="464" t="s">
        <v>92</v>
      </c>
      <c r="F39" s="465" t="s">
        <v>618</v>
      </c>
      <c r="G39" s="466" t="s">
        <v>136</v>
      </c>
      <c r="H39" s="803">
        <f>'прил12(ведом 19)'!M350</f>
        <v>438.1</v>
      </c>
    </row>
    <row r="40" spans="1:8" ht="37.5" x14ac:dyDescent="0.3">
      <c r="A40" s="789"/>
      <c r="B40" s="802" t="s">
        <v>286</v>
      </c>
      <c r="C40" s="463" t="s">
        <v>92</v>
      </c>
      <c r="D40" s="464" t="s">
        <v>98</v>
      </c>
      <c r="E40" s="464" t="s">
        <v>92</v>
      </c>
      <c r="F40" s="465" t="s">
        <v>379</v>
      </c>
      <c r="G40" s="466"/>
      <c r="H40" s="803">
        <f>SUM(H41:H42)</f>
        <v>5800.9000000000005</v>
      </c>
    </row>
    <row r="41" spans="1:8" ht="37.5" x14ac:dyDescent="0.3">
      <c r="A41" s="789"/>
      <c r="B41" s="763" t="s">
        <v>108</v>
      </c>
      <c r="C41" s="463" t="s">
        <v>92</v>
      </c>
      <c r="D41" s="464" t="s">
        <v>98</v>
      </c>
      <c r="E41" s="464" t="s">
        <v>92</v>
      </c>
      <c r="F41" s="465" t="s">
        <v>379</v>
      </c>
      <c r="G41" s="466" t="s">
        <v>109</v>
      </c>
      <c r="H41" s="803">
        <f>'прил12(ведом 19)'!M352</f>
        <v>830.8</v>
      </c>
    </row>
    <row r="42" spans="1:8" ht="56.25" x14ac:dyDescent="0.3">
      <c r="A42" s="789"/>
      <c r="B42" s="802" t="s">
        <v>135</v>
      </c>
      <c r="C42" s="463" t="s">
        <v>92</v>
      </c>
      <c r="D42" s="464" t="s">
        <v>98</v>
      </c>
      <c r="E42" s="464" t="s">
        <v>92</v>
      </c>
      <c r="F42" s="465" t="s">
        <v>379</v>
      </c>
      <c r="G42" s="466" t="s">
        <v>136</v>
      </c>
      <c r="H42" s="803">
        <f>'прил12(ведом 19)'!M353</f>
        <v>4970.1000000000004</v>
      </c>
    </row>
    <row r="43" spans="1:8" ht="37.5" x14ac:dyDescent="0.3">
      <c r="A43" s="789"/>
      <c r="B43" s="802" t="s">
        <v>287</v>
      </c>
      <c r="C43" s="463" t="s">
        <v>92</v>
      </c>
      <c r="D43" s="464" t="s">
        <v>98</v>
      </c>
      <c r="E43" s="464" t="s">
        <v>92</v>
      </c>
      <c r="F43" s="465" t="s">
        <v>380</v>
      </c>
      <c r="G43" s="466"/>
      <c r="H43" s="803">
        <f>SUM(H44:H47)</f>
        <v>14404.599999999999</v>
      </c>
    </row>
    <row r="44" spans="1:8" ht="37.5" x14ac:dyDescent="0.3">
      <c r="A44" s="789"/>
      <c r="B44" s="763" t="s">
        <v>108</v>
      </c>
      <c r="C44" s="463" t="s">
        <v>92</v>
      </c>
      <c r="D44" s="464" t="s">
        <v>98</v>
      </c>
      <c r="E44" s="464" t="s">
        <v>92</v>
      </c>
      <c r="F44" s="465" t="s">
        <v>380</v>
      </c>
      <c r="G44" s="466" t="s">
        <v>109</v>
      </c>
      <c r="H44" s="803">
        <f>'прил12(ведом 19)'!M355</f>
        <v>1174</v>
      </c>
    </row>
    <row r="45" spans="1:8" ht="37.5" x14ac:dyDescent="0.3">
      <c r="A45" s="789"/>
      <c r="B45" s="763" t="s">
        <v>183</v>
      </c>
      <c r="C45" s="463" t="s">
        <v>92</v>
      </c>
      <c r="D45" s="464" t="s">
        <v>98</v>
      </c>
      <c r="E45" s="464" t="s">
        <v>92</v>
      </c>
      <c r="F45" s="465" t="s">
        <v>380</v>
      </c>
      <c r="G45" s="466" t="s">
        <v>184</v>
      </c>
      <c r="H45" s="803">
        <f>'прил12(ведом 19)'!M356</f>
        <v>238.5</v>
      </c>
    </row>
    <row r="46" spans="1:8" ht="37.5" x14ac:dyDescent="0.3">
      <c r="A46" s="789"/>
      <c r="B46" s="774" t="s">
        <v>282</v>
      </c>
      <c r="C46" s="463" t="s">
        <v>92</v>
      </c>
      <c r="D46" s="464" t="s">
        <v>98</v>
      </c>
      <c r="E46" s="464" t="s">
        <v>92</v>
      </c>
      <c r="F46" s="465" t="s">
        <v>380</v>
      </c>
      <c r="G46" s="466" t="s">
        <v>283</v>
      </c>
      <c r="H46" s="803">
        <f>'прил12(ведом 19)'!M357+'прил12(ведом 19)'!M292</f>
        <v>3400</v>
      </c>
    </row>
    <row r="47" spans="1:8" ht="56.25" x14ac:dyDescent="0.3">
      <c r="A47" s="789"/>
      <c r="B47" s="802" t="s">
        <v>135</v>
      </c>
      <c r="C47" s="463" t="s">
        <v>92</v>
      </c>
      <c r="D47" s="464" t="s">
        <v>98</v>
      </c>
      <c r="E47" s="464" t="s">
        <v>92</v>
      </c>
      <c r="F47" s="465" t="s">
        <v>380</v>
      </c>
      <c r="G47" s="466" t="s">
        <v>136</v>
      </c>
      <c r="H47" s="803">
        <f>'прил12(ведом 19)'!M358</f>
        <v>9592.0999999999985</v>
      </c>
    </row>
    <row r="48" spans="1:8" ht="56.25" x14ac:dyDescent="0.3">
      <c r="A48" s="789"/>
      <c r="B48" s="763" t="s">
        <v>288</v>
      </c>
      <c r="C48" s="463" t="s">
        <v>92</v>
      </c>
      <c r="D48" s="464" t="s">
        <v>98</v>
      </c>
      <c r="E48" s="464" t="s">
        <v>92</v>
      </c>
      <c r="F48" s="465" t="s">
        <v>381</v>
      </c>
      <c r="G48" s="466"/>
      <c r="H48" s="803">
        <f>H49</f>
        <v>15</v>
      </c>
    </row>
    <row r="49" spans="1:8" ht="56.25" x14ac:dyDescent="0.3">
      <c r="A49" s="789"/>
      <c r="B49" s="763" t="s">
        <v>135</v>
      </c>
      <c r="C49" s="463" t="s">
        <v>92</v>
      </c>
      <c r="D49" s="464" t="s">
        <v>98</v>
      </c>
      <c r="E49" s="464" t="s">
        <v>92</v>
      </c>
      <c r="F49" s="465" t="s">
        <v>381</v>
      </c>
      <c r="G49" s="466" t="s">
        <v>136</v>
      </c>
      <c r="H49" s="803">
        <f>'прил12(ведом 19)'!M360</f>
        <v>15</v>
      </c>
    </row>
    <row r="50" spans="1:8" ht="168.75" x14ac:dyDescent="0.3">
      <c r="A50" s="789"/>
      <c r="B50" s="802" t="s">
        <v>374</v>
      </c>
      <c r="C50" s="463" t="s">
        <v>92</v>
      </c>
      <c r="D50" s="464" t="s">
        <v>98</v>
      </c>
      <c r="E50" s="464" t="s">
        <v>92</v>
      </c>
      <c r="F50" s="465" t="s">
        <v>375</v>
      </c>
      <c r="G50" s="466"/>
      <c r="H50" s="803">
        <f>SUM(H51:H53)</f>
        <v>1759.8999999999999</v>
      </c>
    </row>
    <row r="51" spans="1:8" ht="93.75" x14ac:dyDescent="0.3">
      <c r="A51" s="789"/>
      <c r="B51" s="763" t="s">
        <v>102</v>
      </c>
      <c r="C51" s="463" t="s">
        <v>92</v>
      </c>
      <c r="D51" s="464" t="s">
        <v>98</v>
      </c>
      <c r="E51" s="464" t="s">
        <v>92</v>
      </c>
      <c r="F51" s="465" t="s">
        <v>375</v>
      </c>
      <c r="G51" s="466" t="s">
        <v>103</v>
      </c>
      <c r="H51" s="803">
        <f>'прил12(ведом 19)'!M362</f>
        <v>138.30000000000001</v>
      </c>
    </row>
    <row r="52" spans="1:8" ht="37.5" x14ac:dyDescent="0.3">
      <c r="A52" s="789"/>
      <c r="B52" s="763" t="s">
        <v>183</v>
      </c>
      <c r="C52" s="463" t="s">
        <v>92</v>
      </c>
      <c r="D52" s="464" t="s">
        <v>98</v>
      </c>
      <c r="E52" s="464" t="s">
        <v>92</v>
      </c>
      <c r="F52" s="465" t="s">
        <v>375</v>
      </c>
      <c r="G52" s="466" t="s">
        <v>184</v>
      </c>
      <c r="H52" s="803">
        <f>'прил12(ведом 19)'!M363</f>
        <v>14</v>
      </c>
    </row>
    <row r="53" spans="1:8" ht="56.25" x14ac:dyDescent="0.3">
      <c r="A53" s="789"/>
      <c r="B53" s="802" t="s">
        <v>135</v>
      </c>
      <c r="C53" s="463" t="s">
        <v>92</v>
      </c>
      <c r="D53" s="464" t="s">
        <v>98</v>
      </c>
      <c r="E53" s="464" t="s">
        <v>92</v>
      </c>
      <c r="F53" s="465" t="s">
        <v>375</v>
      </c>
      <c r="G53" s="466" t="s">
        <v>136</v>
      </c>
      <c r="H53" s="803">
        <f>'прил12(ведом 19)'!M364</f>
        <v>1607.6</v>
      </c>
    </row>
    <row r="54" spans="1:8" ht="112.5" x14ac:dyDescent="0.3">
      <c r="A54" s="789"/>
      <c r="B54" s="802" t="s">
        <v>503</v>
      </c>
      <c r="C54" s="463" t="s">
        <v>92</v>
      </c>
      <c r="D54" s="464" t="s">
        <v>98</v>
      </c>
      <c r="E54" s="464" t="s">
        <v>92</v>
      </c>
      <c r="F54" s="465" t="s">
        <v>376</v>
      </c>
      <c r="G54" s="466"/>
      <c r="H54" s="803">
        <f>SUM(H55:H57)</f>
        <v>380636.89999999997</v>
      </c>
    </row>
    <row r="55" spans="1:8" ht="93.75" x14ac:dyDescent="0.3">
      <c r="A55" s="789"/>
      <c r="B55" s="802" t="s">
        <v>102</v>
      </c>
      <c r="C55" s="463" t="s">
        <v>92</v>
      </c>
      <c r="D55" s="464" t="s">
        <v>98</v>
      </c>
      <c r="E55" s="464" t="s">
        <v>92</v>
      </c>
      <c r="F55" s="465" t="s">
        <v>376</v>
      </c>
      <c r="G55" s="466" t="s">
        <v>103</v>
      </c>
      <c r="H55" s="803">
        <f>'прил12(ведом 19)'!M366</f>
        <v>30288.5</v>
      </c>
    </row>
    <row r="56" spans="1:8" ht="37.5" x14ac:dyDescent="0.3">
      <c r="A56" s="789"/>
      <c r="B56" s="802" t="s">
        <v>108</v>
      </c>
      <c r="C56" s="463" t="s">
        <v>92</v>
      </c>
      <c r="D56" s="464" t="s">
        <v>98</v>
      </c>
      <c r="E56" s="464" t="s">
        <v>92</v>
      </c>
      <c r="F56" s="465" t="s">
        <v>376</v>
      </c>
      <c r="G56" s="466" t="s">
        <v>109</v>
      </c>
      <c r="H56" s="803">
        <f>'прил12(ведом 19)'!M367</f>
        <v>1762.8</v>
      </c>
    </row>
    <row r="57" spans="1:8" ht="56.25" x14ac:dyDescent="0.3">
      <c r="A57" s="789"/>
      <c r="B57" s="802" t="s">
        <v>135</v>
      </c>
      <c r="C57" s="463" t="s">
        <v>92</v>
      </c>
      <c r="D57" s="464" t="s">
        <v>98</v>
      </c>
      <c r="E57" s="464" t="s">
        <v>92</v>
      </c>
      <c r="F57" s="465" t="s">
        <v>376</v>
      </c>
      <c r="G57" s="466" t="s">
        <v>136</v>
      </c>
      <c r="H57" s="803">
        <f>'прил12(ведом 19)'!M368</f>
        <v>348585.6</v>
      </c>
    </row>
    <row r="58" spans="1:8" ht="75" x14ac:dyDescent="0.3">
      <c r="A58" s="789"/>
      <c r="B58" s="802" t="s">
        <v>289</v>
      </c>
      <c r="C58" s="933" t="s">
        <v>92</v>
      </c>
      <c r="D58" s="933" t="s">
        <v>98</v>
      </c>
      <c r="E58" s="933" t="s">
        <v>92</v>
      </c>
      <c r="F58" s="934" t="s">
        <v>382</v>
      </c>
      <c r="G58" s="788"/>
      <c r="H58" s="803">
        <f>SUM(H59:H60)</f>
        <v>4235.7</v>
      </c>
    </row>
    <row r="59" spans="1:8" ht="37.5" x14ac:dyDescent="0.3">
      <c r="A59" s="789"/>
      <c r="B59" s="763" t="s">
        <v>108</v>
      </c>
      <c r="C59" s="463" t="s">
        <v>92</v>
      </c>
      <c r="D59" s="464" t="s">
        <v>98</v>
      </c>
      <c r="E59" s="464" t="s">
        <v>92</v>
      </c>
      <c r="F59" s="465" t="s">
        <v>382</v>
      </c>
      <c r="G59" s="466" t="s">
        <v>109</v>
      </c>
      <c r="H59" s="803">
        <f>'прил12(ведом 19)'!M370</f>
        <v>226.5</v>
      </c>
    </row>
    <row r="60" spans="1:8" ht="56.25" x14ac:dyDescent="0.3">
      <c r="A60" s="789"/>
      <c r="B60" s="802" t="s">
        <v>135</v>
      </c>
      <c r="C60" s="933" t="s">
        <v>92</v>
      </c>
      <c r="D60" s="933" t="s">
        <v>98</v>
      </c>
      <c r="E60" s="933" t="s">
        <v>92</v>
      </c>
      <c r="F60" s="934" t="s">
        <v>382</v>
      </c>
      <c r="G60" s="788" t="s">
        <v>136</v>
      </c>
      <c r="H60" s="803">
        <f>'прил12(ведом 19)'!M371</f>
        <v>4009.2</v>
      </c>
    </row>
    <row r="61" spans="1:8" ht="18.75" x14ac:dyDescent="0.3">
      <c r="A61" s="789"/>
      <c r="B61" s="802" t="s">
        <v>290</v>
      </c>
      <c r="C61" s="463" t="s">
        <v>92</v>
      </c>
      <c r="D61" s="464" t="s">
        <v>150</v>
      </c>
      <c r="E61" s="464" t="s">
        <v>96</v>
      </c>
      <c r="F61" s="465" t="s">
        <v>97</v>
      </c>
      <c r="G61" s="788"/>
      <c r="H61" s="803">
        <f>H62+H84</f>
        <v>50236.703460000004</v>
      </c>
    </row>
    <row r="62" spans="1:8" ht="37.5" x14ac:dyDescent="0.3">
      <c r="A62" s="789"/>
      <c r="B62" s="802" t="s">
        <v>383</v>
      </c>
      <c r="C62" s="463" t="s">
        <v>92</v>
      </c>
      <c r="D62" s="464" t="s">
        <v>150</v>
      </c>
      <c r="E62" s="464" t="s">
        <v>90</v>
      </c>
      <c r="F62" s="465" t="s">
        <v>97</v>
      </c>
      <c r="G62" s="788"/>
      <c r="H62" s="803">
        <f>H63+H68+H70+H73+H76+H78+H80+H82</f>
        <v>50227.703460000004</v>
      </c>
    </row>
    <row r="63" spans="1:8" ht="75" x14ac:dyDescent="0.3">
      <c r="A63" s="789"/>
      <c r="B63" s="802" t="s">
        <v>151</v>
      </c>
      <c r="C63" s="463" t="s">
        <v>92</v>
      </c>
      <c r="D63" s="464" t="s">
        <v>150</v>
      </c>
      <c r="E63" s="464" t="s">
        <v>90</v>
      </c>
      <c r="F63" s="465" t="s">
        <v>153</v>
      </c>
      <c r="G63" s="466"/>
      <c r="H63" s="803">
        <f>SUM(H64:H67)</f>
        <v>45217.203460000004</v>
      </c>
    </row>
    <row r="64" spans="1:8" ht="93.75" x14ac:dyDescent="0.3">
      <c r="A64" s="789"/>
      <c r="B64" s="763" t="s">
        <v>102</v>
      </c>
      <c r="C64" s="463" t="s">
        <v>92</v>
      </c>
      <c r="D64" s="464" t="s">
        <v>150</v>
      </c>
      <c r="E64" s="464" t="s">
        <v>90</v>
      </c>
      <c r="F64" s="465" t="s">
        <v>153</v>
      </c>
      <c r="G64" s="466" t="s">
        <v>103</v>
      </c>
      <c r="H64" s="803">
        <f>'прил12(ведом 19)'!M387</f>
        <v>24148</v>
      </c>
    </row>
    <row r="65" spans="1:8" ht="37.5" x14ac:dyDescent="0.3">
      <c r="A65" s="789"/>
      <c r="B65" s="763" t="s">
        <v>108</v>
      </c>
      <c r="C65" s="463" t="s">
        <v>92</v>
      </c>
      <c r="D65" s="464" t="s">
        <v>150</v>
      </c>
      <c r="E65" s="464" t="s">
        <v>90</v>
      </c>
      <c r="F65" s="465" t="s">
        <v>153</v>
      </c>
      <c r="G65" s="466" t="s">
        <v>109</v>
      </c>
      <c r="H65" s="803">
        <f>'прил12(ведом 19)'!M388</f>
        <v>2191.3034600000001</v>
      </c>
    </row>
    <row r="66" spans="1:8" ht="56.25" x14ac:dyDescent="0.3">
      <c r="A66" s="789"/>
      <c r="B66" s="802" t="s">
        <v>135</v>
      </c>
      <c r="C66" s="463" t="s">
        <v>92</v>
      </c>
      <c r="D66" s="464" t="s">
        <v>150</v>
      </c>
      <c r="E66" s="464" t="s">
        <v>90</v>
      </c>
      <c r="F66" s="465" t="s">
        <v>153</v>
      </c>
      <c r="G66" s="466" t="s">
        <v>136</v>
      </c>
      <c r="H66" s="803">
        <f>'прил12(ведом 19)'!M389</f>
        <v>18811.599999999999</v>
      </c>
    </row>
    <row r="67" spans="1:8" ht="18.75" x14ac:dyDescent="0.3">
      <c r="A67" s="789"/>
      <c r="B67" s="763" t="s">
        <v>110</v>
      </c>
      <c r="C67" s="463" t="s">
        <v>92</v>
      </c>
      <c r="D67" s="464" t="s">
        <v>150</v>
      </c>
      <c r="E67" s="464" t="s">
        <v>90</v>
      </c>
      <c r="F67" s="465" t="s">
        <v>153</v>
      </c>
      <c r="G67" s="466" t="s">
        <v>111</v>
      </c>
      <c r="H67" s="803">
        <f>'прил12(ведом 19)'!M390</f>
        <v>66.3</v>
      </c>
    </row>
    <row r="68" spans="1:8" ht="37.5" x14ac:dyDescent="0.3">
      <c r="A68" s="789"/>
      <c r="B68" s="763" t="s">
        <v>619</v>
      </c>
      <c r="C68" s="463" t="s">
        <v>92</v>
      </c>
      <c r="D68" s="464" t="s">
        <v>150</v>
      </c>
      <c r="E68" s="464" t="s">
        <v>90</v>
      </c>
      <c r="F68" s="465" t="s">
        <v>618</v>
      </c>
      <c r="G68" s="466"/>
      <c r="H68" s="803">
        <f>H69</f>
        <v>39.700000000000003</v>
      </c>
    </row>
    <row r="69" spans="1:8" ht="37.5" x14ac:dyDescent="0.3">
      <c r="A69" s="789"/>
      <c r="B69" s="763" t="s">
        <v>108</v>
      </c>
      <c r="C69" s="463" t="s">
        <v>92</v>
      </c>
      <c r="D69" s="464" t="s">
        <v>150</v>
      </c>
      <c r="E69" s="464" t="s">
        <v>90</v>
      </c>
      <c r="F69" s="465" t="s">
        <v>618</v>
      </c>
      <c r="G69" s="466" t="s">
        <v>109</v>
      </c>
      <c r="H69" s="803">
        <f>'прил12(ведом 19)'!M392</f>
        <v>39.700000000000003</v>
      </c>
    </row>
    <row r="70" spans="1:8" ht="37.5" x14ac:dyDescent="0.3">
      <c r="A70" s="789"/>
      <c r="B70" s="763" t="s">
        <v>286</v>
      </c>
      <c r="C70" s="463" t="s">
        <v>92</v>
      </c>
      <c r="D70" s="464" t="s">
        <v>150</v>
      </c>
      <c r="E70" s="464" t="s">
        <v>90</v>
      </c>
      <c r="F70" s="465" t="s">
        <v>379</v>
      </c>
      <c r="G70" s="466"/>
      <c r="H70" s="803">
        <f>SUM(H71:H72)</f>
        <v>970.8</v>
      </c>
    </row>
    <row r="71" spans="1:8" ht="37.5" x14ac:dyDescent="0.3">
      <c r="A71" s="789"/>
      <c r="B71" s="763" t="s">
        <v>108</v>
      </c>
      <c r="C71" s="463" t="s">
        <v>92</v>
      </c>
      <c r="D71" s="464" t="s">
        <v>150</v>
      </c>
      <c r="E71" s="464" t="s">
        <v>90</v>
      </c>
      <c r="F71" s="465" t="s">
        <v>379</v>
      </c>
      <c r="G71" s="466" t="s">
        <v>109</v>
      </c>
      <c r="H71" s="803">
        <f>'прил12(ведом 19)'!M394</f>
        <v>542.69999999999993</v>
      </c>
    </row>
    <row r="72" spans="1:8" ht="56.25" x14ac:dyDescent="0.3">
      <c r="A72" s="789"/>
      <c r="B72" s="805" t="s">
        <v>135</v>
      </c>
      <c r="C72" s="463" t="s">
        <v>92</v>
      </c>
      <c r="D72" s="464" t="s">
        <v>150</v>
      </c>
      <c r="E72" s="464" t="s">
        <v>90</v>
      </c>
      <c r="F72" s="465" t="s">
        <v>379</v>
      </c>
      <c r="G72" s="466" t="s">
        <v>136</v>
      </c>
      <c r="H72" s="803">
        <f>'прил12(ведом 19)'!M395</f>
        <v>428.1</v>
      </c>
    </row>
    <row r="73" spans="1:8" ht="37.5" x14ac:dyDescent="0.3">
      <c r="A73" s="789"/>
      <c r="B73" s="802" t="s">
        <v>287</v>
      </c>
      <c r="C73" s="463" t="s">
        <v>92</v>
      </c>
      <c r="D73" s="464" t="s">
        <v>150</v>
      </c>
      <c r="E73" s="464" t="s">
        <v>90</v>
      </c>
      <c r="F73" s="465" t="s">
        <v>380</v>
      </c>
      <c r="G73" s="466"/>
      <c r="H73" s="803">
        <f>H74+H75</f>
        <v>138.9</v>
      </c>
    </row>
    <row r="74" spans="1:8" ht="37.5" x14ac:dyDescent="0.3">
      <c r="A74" s="789"/>
      <c r="B74" s="763" t="s">
        <v>108</v>
      </c>
      <c r="C74" s="463" t="s">
        <v>92</v>
      </c>
      <c r="D74" s="464" t="s">
        <v>150</v>
      </c>
      <c r="E74" s="464" t="s">
        <v>90</v>
      </c>
      <c r="F74" s="465" t="s">
        <v>380</v>
      </c>
      <c r="G74" s="466" t="s">
        <v>109</v>
      </c>
      <c r="H74" s="803">
        <f>'прил12(ведом 19)'!M397</f>
        <v>70</v>
      </c>
    </row>
    <row r="75" spans="1:8" ht="37.5" x14ac:dyDescent="0.3">
      <c r="A75" s="789"/>
      <c r="B75" s="774" t="s">
        <v>282</v>
      </c>
      <c r="C75" s="463" t="s">
        <v>92</v>
      </c>
      <c r="D75" s="464" t="s">
        <v>150</v>
      </c>
      <c r="E75" s="464" t="s">
        <v>90</v>
      </c>
      <c r="F75" s="465" t="s">
        <v>380</v>
      </c>
      <c r="G75" s="466" t="s">
        <v>283</v>
      </c>
      <c r="H75" s="803">
        <f>'прил12(ведом 19)'!M398</f>
        <v>68.900000000000006</v>
      </c>
    </row>
    <row r="76" spans="1:8" ht="56.25" x14ac:dyDescent="0.3">
      <c r="A76" s="789"/>
      <c r="B76" s="763" t="s">
        <v>288</v>
      </c>
      <c r="C76" s="463" t="s">
        <v>92</v>
      </c>
      <c r="D76" s="464" t="s">
        <v>150</v>
      </c>
      <c r="E76" s="464" t="s">
        <v>90</v>
      </c>
      <c r="F76" s="465" t="s">
        <v>381</v>
      </c>
      <c r="G76" s="466"/>
      <c r="H76" s="803">
        <f>SUM(H77:H77)</f>
        <v>7.5</v>
      </c>
    </row>
    <row r="77" spans="1:8" ht="56.25" x14ac:dyDescent="0.3">
      <c r="A77" s="789"/>
      <c r="B77" s="763" t="s">
        <v>135</v>
      </c>
      <c r="C77" s="463" t="s">
        <v>92</v>
      </c>
      <c r="D77" s="464" t="s">
        <v>150</v>
      </c>
      <c r="E77" s="464" t="s">
        <v>90</v>
      </c>
      <c r="F77" s="465" t="s">
        <v>381</v>
      </c>
      <c r="G77" s="466" t="s">
        <v>136</v>
      </c>
      <c r="H77" s="803">
        <f>'прил12(ведом 19)'!M400</f>
        <v>7.5</v>
      </c>
    </row>
    <row r="78" spans="1:8" ht="168.75" x14ac:dyDescent="0.3">
      <c r="A78" s="789"/>
      <c r="B78" s="763" t="s">
        <v>700</v>
      </c>
      <c r="C78" s="463" t="s">
        <v>92</v>
      </c>
      <c r="D78" s="464" t="s">
        <v>150</v>
      </c>
      <c r="E78" s="464" t="s">
        <v>90</v>
      </c>
      <c r="F78" s="465" t="s">
        <v>699</v>
      </c>
      <c r="G78" s="466"/>
      <c r="H78" s="803">
        <f>H79</f>
        <v>125</v>
      </c>
    </row>
    <row r="79" spans="1:8" ht="93.75" x14ac:dyDescent="0.3">
      <c r="A79" s="789"/>
      <c r="B79" s="763" t="s">
        <v>102</v>
      </c>
      <c r="C79" s="463" t="s">
        <v>92</v>
      </c>
      <c r="D79" s="464" t="s">
        <v>150</v>
      </c>
      <c r="E79" s="464" t="s">
        <v>90</v>
      </c>
      <c r="F79" s="465" t="s">
        <v>699</v>
      </c>
      <c r="G79" s="466" t="s">
        <v>103</v>
      </c>
      <c r="H79" s="803">
        <f>'прил12(ведом 19)'!M402</f>
        <v>125</v>
      </c>
    </row>
    <row r="80" spans="1:8" ht="168.75" x14ac:dyDescent="0.3">
      <c r="A80" s="789"/>
      <c r="B80" s="802" t="s">
        <v>374</v>
      </c>
      <c r="C80" s="463" t="s">
        <v>92</v>
      </c>
      <c r="D80" s="464" t="s">
        <v>150</v>
      </c>
      <c r="E80" s="464" t="s">
        <v>90</v>
      </c>
      <c r="F80" s="465" t="s">
        <v>375</v>
      </c>
      <c r="G80" s="466"/>
      <c r="H80" s="803">
        <f>H81</f>
        <v>151.4</v>
      </c>
    </row>
    <row r="81" spans="1:8" ht="93.75" x14ac:dyDescent="0.3">
      <c r="A81" s="789"/>
      <c r="B81" s="763" t="s">
        <v>102</v>
      </c>
      <c r="C81" s="463" t="s">
        <v>92</v>
      </c>
      <c r="D81" s="464" t="s">
        <v>150</v>
      </c>
      <c r="E81" s="464" t="s">
        <v>90</v>
      </c>
      <c r="F81" s="465" t="s">
        <v>375</v>
      </c>
      <c r="G81" s="466" t="s">
        <v>103</v>
      </c>
      <c r="H81" s="803">
        <f>'прил12(ведом 19)'!M404</f>
        <v>151.4</v>
      </c>
    </row>
    <row r="82" spans="1:8" ht="112.5" x14ac:dyDescent="0.3">
      <c r="A82" s="789"/>
      <c r="B82" s="802" t="s">
        <v>503</v>
      </c>
      <c r="C82" s="463" t="s">
        <v>92</v>
      </c>
      <c r="D82" s="464" t="s">
        <v>150</v>
      </c>
      <c r="E82" s="464" t="s">
        <v>90</v>
      </c>
      <c r="F82" s="465" t="s">
        <v>376</v>
      </c>
      <c r="G82" s="466"/>
      <c r="H82" s="803">
        <f>H83</f>
        <v>3577.2</v>
      </c>
    </row>
    <row r="83" spans="1:8" ht="56.25" x14ac:dyDescent="0.3">
      <c r="A83" s="789"/>
      <c r="B83" s="802" t="s">
        <v>135</v>
      </c>
      <c r="C83" s="463" t="s">
        <v>92</v>
      </c>
      <c r="D83" s="464" t="s">
        <v>150</v>
      </c>
      <c r="E83" s="464" t="s">
        <v>90</v>
      </c>
      <c r="F83" s="465" t="s">
        <v>376</v>
      </c>
      <c r="G83" s="466" t="s">
        <v>136</v>
      </c>
      <c r="H83" s="803">
        <f>'прил12(ведом 19)'!M406</f>
        <v>3577.2</v>
      </c>
    </row>
    <row r="84" spans="1:8" ht="18.75" x14ac:dyDescent="0.3">
      <c r="A84" s="789"/>
      <c r="B84" s="763" t="s">
        <v>384</v>
      </c>
      <c r="C84" s="463" t="s">
        <v>92</v>
      </c>
      <c r="D84" s="464" t="s">
        <v>150</v>
      </c>
      <c r="E84" s="464" t="s">
        <v>92</v>
      </c>
      <c r="F84" s="465" t="s">
        <v>97</v>
      </c>
      <c r="G84" s="466"/>
      <c r="H84" s="803">
        <f>H85</f>
        <v>9</v>
      </c>
    </row>
    <row r="85" spans="1:8" ht="37.5" x14ac:dyDescent="0.3">
      <c r="A85" s="789"/>
      <c r="B85" s="763" t="s">
        <v>385</v>
      </c>
      <c r="C85" s="463" t="s">
        <v>92</v>
      </c>
      <c r="D85" s="464" t="s">
        <v>150</v>
      </c>
      <c r="E85" s="464" t="s">
        <v>92</v>
      </c>
      <c r="F85" s="465" t="s">
        <v>386</v>
      </c>
      <c r="G85" s="466"/>
      <c r="H85" s="803">
        <f>H86</f>
        <v>9</v>
      </c>
    </row>
    <row r="86" spans="1:8" ht="37.5" x14ac:dyDescent="0.3">
      <c r="A86" s="789"/>
      <c r="B86" s="763" t="s">
        <v>183</v>
      </c>
      <c r="C86" s="463" t="s">
        <v>92</v>
      </c>
      <c r="D86" s="464" t="s">
        <v>150</v>
      </c>
      <c r="E86" s="464" t="s">
        <v>92</v>
      </c>
      <c r="F86" s="465" t="s">
        <v>386</v>
      </c>
      <c r="G86" s="466" t="s">
        <v>184</v>
      </c>
      <c r="H86" s="803">
        <f>'прил12(ведом 19)'!M420</f>
        <v>9</v>
      </c>
    </row>
    <row r="87" spans="1:8" ht="56.25" x14ac:dyDescent="0.3">
      <c r="A87" s="789"/>
      <c r="B87" s="802" t="s">
        <v>292</v>
      </c>
      <c r="C87" s="463" t="s">
        <v>92</v>
      </c>
      <c r="D87" s="464" t="s">
        <v>83</v>
      </c>
      <c r="E87" s="464" t="s">
        <v>96</v>
      </c>
      <c r="F87" s="465" t="s">
        <v>97</v>
      </c>
      <c r="G87" s="788"/>
      <c r="H87" s="803">
        <f>H88+H102</f>
        <v>48669.44831</v>
      </c>
    </row>
    <row r="88" spans="1:8" ht="37.5" x14ac:dyDescent="0.3">
      <c r="A88" s="789"/>
      <c r="B88" s="802" t="s">
        <v>389</v>
      </c>
      <c r="C88" s="463" t="s">
        <v>92</v>
      </c>
      <c r="D88" s="464" t="s">
        <v>83</v>
      </c>
      <c r="E88" s="464" t="s">
        <v>90</v>
      </c>
      <c r="F88" s="465" t="s">
        <v>97</v>
      </c>
      <c r="G88" s="788"/>
      <c r="H88" s="803">
        <f>H89+H93+H100+H97</f>
        <v>43603.348310000001</v>
      </c>
    </row>
    <row r="89" spans="1:8" ht="37.5" x14ac:dyDescent="0.3">
      <c r="A89" s="789"/>
      <c r="B89" s="802" t="s">
        <v>100</v>
      </c>
      <c r="C89" s="463" t="s">
        <v>92</v>
      </c>
      <c r="D89" s="464" t="s">
        <v>83</v>
      </c>
      <c r="E89" s="464" t="s">
        <v>90</v>
      </c>
      <c r="F89" s="465" t="s">
        <v>101</v>
      </c>
      <c r="G89" s="466"/>
      <c r="H89" s="803">
        <f>SUM(H90:H92)</f>
        <v>8562.423020000002</v>
      </c>
    </row>
    <row r="90" spans="1:8" ht="93.75" x14ac:dyDescent="0.3">
      <c r="A90" s="789"/>
      <c r="B90" s="802" t="s">
        <v>102</v>
      </c>
      <c r="C90" s="463" t="s">
        <v>92</v>
      </c>
      <c r="D90" s="464" t="s">
        <v>83</v>
      </c>
      <c r="E90" s="464" t="s">
        <v>90</v>
      </c>
      <c r="F90" s="465" t="s">
        <v>101</v>
      </c>
      <c r="G90" s="466" t="s">
        <v>103</v>
      </c>
      <c r="H90" s="803">
        <f>'прил12(ведом 19)'!M424</f>
        <v>7867.1</v>
      </c>
    </row>
    <row r="91" spans="1:8" ht="37.5" x14ac:dyDescent="0.3">
      <c r="A91" s="789"/>
      <c r="B91" s="802" t="s">
        <v>108</v>
      </c>
      <c r="C91" s="463" t="s">
        <v>92</v>
      </c>
      <c r="D91" s="464" t="s">
        <v>83</v>
      </c>
      <c r="E91" s="464" t="s">
        <v>90</v>
      </c>
      <c r="F91" s="465" t="s">
        <v>101</v>
      </c>
      <c r="G91" s="466" t="s">
        <v>109</v>
      </c>
      <c r="H91" s="803">
        <f>'прил12(ведом 19)'!M425</f>
        <v>677.12302</v>
      </c>
    </row>
    <row r="92" spans="1:8" ht="18.75" x14ac:dyDescent="0.3">
      <c r="A92" s="789"/>
      <c r="B92" s="802" t="s">
        <v>110</v>
      </c>
      <c r="C92" s="463" t="s">
        <v>92</v>
      </c>
      <c r="D92" s="464" t="s">
        <v>83</v>
      </c>
      <c r="E92" s="464" t="s">
        <v>90</v>
      </c>
      <c r="F92" s="465" t="s">
        <v>101</v>
      </c>
      <c r="G92" s="466" t="s">
        <v>111</v>
      </c>
      <c r="H92" s="803">
        <f>'прил12(ведом 19)'!M426</f>
        <v>18.2</v>
      </c>
    </row>
    <row r="93" spans="1:8" ht="75" x14ac:dyDescent="0.3">
      <c r="A93" s="789"/>
      <c r="B93" s="802" t="s">
        <v>151</v>
      </c>
      <c r="C93" s="463" t="s">
        <v>92</v>
      </c>
      <c r="D93" s="464" t="s">
        <v>83</v>
      </c>
      <c r="E93" s="464" t="s">
        <v>90</v>
      </c>
      <c r="F93" s="465" t="s">
        <v>153</v>
      </c>
      <c r="G93" s="466"/>
      <c r="H93" s="803">
        <f>SUM(H94:H96)</f>
        <v>27205.62529</v>
      </c>
    </row>
    <row r="94" spans="1:8" ht="93.75" x14ac:dyDescent="0.3">
      <c r="A94" s="789"/>
      <c r="B94" s="802" t="s">
        <v>102</v>
      </c>
      <c r="C94" s="463" t="s">
        <v>92</v>
      </c>
      <c r="D94" s="464" t="s">
        <v>83</v>
      </c>
      <c r="E94" s="464" t="s">
        <v>90</v>
      </c>
      <c r="F94" s="465" t="s">
        <v>153</v>
      </c>
      <c r="G94" s="466" t="s">
        <v>103</v>
      </c>
      <c r="H94" s="803">
        <f>'прил12(ведом 19)'!M428</f>
        <v>24761.5</v>
      </c>
    </row>
    <row r="95" spans="1:8" ht="37.5" x14ac:dyDescent="0.3">
      <c r="A95" s="789"/>
      <c r="B95" s="802" t="s">
        <v>108</v>
      </c>
      <c r="C95" s="463" t="s">
        <v>92</v>
      </c>
      <c r="D95" s="464" t="s">
        <v>83</v>
      </c>
      <c r="E95" s="464" t="s">
        <v>90</v>
      </c>
      <c r="F95" s="465" t="s">
        <v>153</v>
      </c>
      <c r="G95" s="466" t="s">
        <v>109</v>
      </c>
      <c r="H95" s="803">
        <f>'прил12(ведом 19)'!M429</f>
        <v>2414.6252899999999</v>
      </c>
    </row>
    <row r="96" spans="1:8" ht="18.75" x14ac:dyDescent="0.3">
      <c r="A96" s="789"/>
      <c r="B96" s="802" t="s">
        <v>110</v>
      </c>
      <c r="C96" s="463" t="s">
        <v>92</v>
      </c>
      <c r="D96" s="464" t="s">
        <v>83</v>
      </c>
      <c r="E96" s="464" t="s">
        <v>90</v>
      </c>
      <c r="F96" s="465" t="s">
        <v>153</v>
      </c>
      <c r="G96" s="466" t="s">
        <v>111</v>
      </c>
      <c r="H96" s="803">
        <f>'прил12(ведом 19)'!M430</f>
        <v>29.5</v>
      </c>
    </row>
    <row r="97" spans="1:8" ht="112.5" x14ac:dyDescent="0.3">
      <c r="A97" s="789"/>
      <c r="B97" s="763" t="s">
        <v>503</v>
      </c>
      <c r="C97" s="463" t="s">
        <v>92</v>
      </c>
      <c r="D97" s="464" t="s">
        <v>83</v>
      </c>
      <c r="E97" s="464" t="s">
        <v>90</v>
      </c>
      <c r="F97" s="465" t="s">
        <v>376</v>
      </c>
      <c r="G97" s="466"/>
      <c r="H97" s="803">
        <f>H98+H99</f>
        <v>5763.2000000000007</v>
      </c>
    </row>
    <row r="98" spans="1:8" ht="93.75" x14ac:dyDescent="0.3">
      <c r="A98" s="789"/>
      <c r="B98" s="763" t="s">
        <v>102</v>
      </c>
      <c r="C98" s="463" t="s">
        <v>92</v>
      </c>
      <c r="D98" s="464" t="s">
        <v>83</v>
      </c>
      <c r="E98" s="464" t="s">
        <v>90</v>
      </c>
      <c r="F98" s="465" t="s">
        <v>376</v>
      </c>
      <c r="G98" s="466" t="s">
        <v>103</v>
      </c>
      <c r="H98" s="803">
        <f>'прил12(ведом 19)'!M432</f>
        <v>5595.1</v>
      </c>
    </row>
    <row r="99" spans="1:8" ht="37.5" x14ac:dyDescent="0.3">
      <c r="A99" s="789"/>
      <c r="B99" s="802" t="s">
        <v>108</v>
      </c>
      <c r="C99" s="463" t="s">
        <v>92</v>
      </c>
      <c r="D99" s="464" t="s">
        <v>83</v>
      </c>
      <c r="E99" s="464" t="s">
        <v>90</v>
      </c>
      <c r="F99" s="465" t="s">
        <v>376</v>
      </c>
      <c r="G99" s="466" t="s">
        <v>109</v>
      </c>
      <c r="H99" s="803">
        <f>'прил12(ведом 19)'!M433</f>
        <v>168.1</v>
      </c>
    </row>
    <row r="100" spans="1:8" ht="225" x14ac:dyDescent="0.3">
      <c r="A100" s="789"/>
      <c r="B100" s="763" t="s">
        <v>813</v>
      </c>
      <c r="C100" s="463" t="s">
        <v>92</v>
      </c>
      <c r="D100" s="464" t="s">
        <v>83</v>
      </c>
      <c r="E100" s="464" t="s">
        <v>90</v>
      </c>
      <c r="F100" s="465" t="s">
        <v>504</v>
      </c>
      <c r="G100" s="466"/>
      <c r="H100" s="803">
        <f>SUM(H101:H101)</f>
        <v>2072.1</v>
      </c>
    </row>
    <row r="101" spans="1:8" ht="56.25" x14ac:dyDescent="0.3">
      <c r="A101" s="789"/>
      <c r="B101" s="802" t="s">
        <v>135</v>
      </c>
      <c r="C101" s="463" t="s">
        <v>92</v>
      </c>
      <c r="D101" s="464" t="s">
        <v>83</v>
      </c>
      <c r="E101" s="464" t="s">
        <v>90</v>
      </c>
      <c r="F101" s="465" t="s">
        <v>504</v>
      </c>
      <c r="G101" s="466" t="s">
        <v>136</v>
      </c>
      <c r="H101" s="803">
        <f>'прил12(ведом 19)'!M375</f>
        <v>2072.1</v>
      </c>
    </row>
    <row r="102" spans="1:8" ht="37.5" x14ac:dyDescent="0.3">
      <c r="A102" s="789"/>
      <c r="B102" s="763" t="s">
        <v>388</v>
      </c>
      <c r="C102" s="463" t="s">
        <v>92</v>
      </c>
      <c r="D102" s="464" t="s">
        <v>83</v>
      </c>
      <c r="E102" s="464" t="s">
        <v>92</v>
      </c>
      <c r="F102" s="465" t="s">
        <v>97</v>
      </c>
      <c r="G102" s="466"/>
      <c r="H102" s="803">
        <f>H103+H106</f>
        <v>5066.1000000000004</v>
      </c>
    </row>
    <row r="103" spans="1:8" ht="37.5" x14ac:dyDescent="0.3">
      <c r="A103" s="789"/>
      <c r="B103" s="763" t="s">
        <v>827</v>
      </c>
      <c r="C103" s="463" t="s">
        <v>92</v>
      </c>
      <c r="D103" s="464" t="s">
        <v>83</v>
      </c>
      <c r="E103" s="464" t="s">
        <v>92</v>
      </c>
      <c r="F103" s="465" t="s">
        <v>826</v>
      </c>
      <c r="G103" s="466"/>
      <c r="H103" s="803">
        <f>H104+H105</f>
        <v>1062.5</v>
      </c>
    </row>
    <row r="104" spans="1:8" ht="37.5" x14ac:dyDescent="0.3">
      <c r="A104" s="789"/>
      <c r="B104" s="763" t="s">
        <v>108</v>
      </c>
      <c r="C104" s="463" t="s">
        <v>92</v>
      </c>
      <c r="D104" s="464" t="s">
        <v>83</v>
      </c>
      <c r="E104" s="464" t="s">
        <v>92</v>
      </c>
      <c r="F104" s="465" t="s">
        <v>826</v>
      </c>
      <c r="G104" s="466" t="s">
        <v>109</v>
      </c>
      <c r="H104" s="803">
        <f>'прил12(ведом 19)'!M412</f>
        <v>652.79999999999995</v>
      </c>
    </row>
    <row r="105" spans="1:8" ht="56.25" x14ac:dyDescent="0.3">
      <c r="A105" s="789"/>
      <c r="B105" s="763" t="s">
        <v>135</v>
      </c>
      <c r="C105" s="463" t="s">
        <v>92</v>
      </c>
      <c r="D105" s="464" t="s">
        <v>83</v>
      </c>
      <c r="E105" s="464" t="s">
        <v>92</v>
      </c>
      <c r="F105" s="465" t="s">
        <v>826</v>
      </c>
      <c r="G105" s="466" t="s">
        <v>136</v>
      </c>
      <c r="H105" s="803">
        <f>'прил12(ведом 19)'!M413</f>
        <v>409.7</v>
      </c>
    </row>
    <row r="106" spans="1:8" ht="37.5" x14ac:dyDescent="0.3">
      <c r="A106" s="789"/>
      <c r="B106" s="763" t="s">
        <v>506</v>
      </c>
      <c r="C106" s="463" t="s">
        <v>92</v>
      </c>
      <c r="D106" s="464" t="s">
        <v>83</v>
      </c>
      <c r="E106" s="464" t="s">
        <v>92</v>
      </c>
      <c r="F106" s="465" t="s">
        <v>642</v>
      </c>
      <c r="G106" s="466"/>
      <c r="H106" s="803">
        <f>H107</f>
        <v>4003.6</v>
      </c>
    </row>
    <row r="107" spans="1:8" ht="56.25" x14ac:dyDescent="0.3">
      <c r="A107" s="789"/>
      <c r="B107" s="763" t="s">
        <v>135</v>
      </c>
      <c r="C107" s="463" t="s">
        <v>92</v>
      </c>
      <c r="D107" s="464" t="s">
        <v>83</v>
      </c>
      <c r="E107" s="464" t="s">
        <v>92</v>
      </c>
      <c r="F107" s="465" t="s">
        <v>642</v>
      </c>
      <c r="G107" s="466" t="s">
        <v>136</v>
      </c>
      <c r="H107" s="803">
        <f>'прил12(ведом 19)'!M415</f>
        <v>4003.6</v>
      </c>
    </row>
    <row r="108" spans="1:8" ht="18.75" x14ac:dyDescent="0.3">
      <c r="A108" s="789"/>
      <c r="B108" s="806"/>
      <c r="C108" s="932"/>
      <c r="D108" s="933"/>
      <c r="E108" s="933"/>
      <c r="F108" s="934"/>
      <c r="G108" s="788"/>
      <c r="H108" s="803"/>
    </row>
    <row r="109" spans="1:8" s="801" customFormat="1" ht="56.25" x14ac:dyDescent="0.3">
      <c r="A109" s="807">
        <v>2</v>
      </c>
      <c r="B109" s="796" t="s">
        <v>293</v>
      </c>
      <c r="C109" s="808" t="s">
        <v>119</v>
      </c>
      <c r="D109" s="808" t="s">
        <v>95</v>
      </c>
      <c r="E109" s="808" t="s">
        <v>96</v>
      </c>
      <c r="F109" s="809" t="s">
        <v>97</v>
      </c>
      <c r="G109" s="799"/>
      <c r="H109" s="800">
        <f>H110+H134+H139</f>
        <v>83823.3</v>
      </c>
    </row>
    <row r="110" spans="1:8" s="801" customFormat="1" ht="56.25" x14ac:dyDescent="0.3">
      <c r="A110" s="789"/>
      <c r="B110" s="810" t="s">
        <v>294</v>
      </c>
      <c r="C110" s="463" t="s">
        <v>119</v>
      </c>
      <c r="D110" s="464" t="s">
        <v>98</v>
      </c>
      <c r="E110" s="464" t="s">
        <v>96</v>
      </c>
      <c r="F110" s="465" t="s">
        <v>97</v>
      </c>
      <c r="G110" s="788"/>
      <c r="H110" s="803">
        <f>H111+H116+H119+H126+H131</f>
        <v>74473</v>
      </c>
    </row>
    <row r="111" spans="1:8" s="801" customFormat="1" ht="37.5" x14ac:dyDescent="0.3">
      <c r="A111" s="789"/>
      <c r="B111" s="810" t="s">
        <v>383</v>
      </c>
      <c r="C111" s="463" t="s">
        <v>119</v>
      </c>
      <c r="D111" s="464" t="s">
        <v>98</v>
      </c>
      <c r="E111" s="464" t="s">
        <v>90</v>
      </c>
      <c r="F111" s="465" t="s">
        <v>97</v>
      </c>
      <c r="G111" s="788"/>
      <c r="H111" s="803">
        <f>H112+H114</f>
        <v>50139.100000000006</v>
      </c>
    </row>
    <row r="112" spans="1:8" s="801" customFormat="1" ht="75" x14ac:dyDescent="0.3">
      <c r="A112" s="789"/>
      <c r="B112" s="811" t="s">
        <v>454</v>
      </c>
      <c r="C112" s="463" t="s">
        <v>119</v>
      </c>
      <c r="D112" s="464" t="s">
        <v>98</v>
      </c>
      <c r="E112" s="464" t="s">
        <v>90</v>
      </c>
      <c r="F112" s="465" t="s">
        <v>153</v>
      </c>
      <c r="G112" s="466"/>
      <c r="H112" s="803">
        <f>H113</f>
        <v>49869.700000000004</v>
      </c>
    </row>
    <row r="113" spans="1:8" s="801" customFormat="1" ht="56.25" x14ac:dyDescent="0.3">
      <c r="A113" s="789"/>
      <c r="B113" s="804" t="s">
        <v>135</v>
      </c>
      <c r="C113" s="463" t="s">
        <v>119</v>
      </c>
      <c r="D113" s="464" t="s">
        <v>98</v>
      </c>
      <c r="E113" s="464" t="s">
        <v>90</v>
      </c>
      <c r="F113" s="465" t="s">
        <v>153</v>
      </c>
      <c r="G113" s="466" t="s">
        <v>136</v>
      </c>
      <c r="H113" s="803">
        <f>'прил12(ведом 19)'!M450</f>
        <v>49869.700000000004</v>
      </c>
    </row>
    <row r="114" spans="1:8" s="801" customFormat="1" ht="37.5" x14ac:dyDescent="0.3">
      <c r="A114" s="789"/>
      <c r="B114" s="804" t="s">
        <v>455</v>
      </c>
      <c r="C114" s="463" t="s">
        <v>119</v>
      </c>
      <c r="D114" s="464" t="s">
        <v>98</v>
      </c>
      <c r="E114" s="464" t="s">
        <v>90</v>
      </c>
      <c r="F114" s="465" t="s">
        <v>456</v>
      </c>
      <c r="G114" s="466"/>
      <c r="H114" s="803">
        <f>H115</f>
        <v>269.39999999999998</v>
      </c>
    </row>
    <row r="115" spans="1:8" s="801" customFormat="1" ht="56.25" x14ac:dyDescent="0.3">
      <c r="A115" s="789"/>
      <c r="B115" s="763" t="s">
        <v>135</v>
      </c>
      <c r="C115" s="463" t="s">
        <v>119</v>
      </c>
      <c r="D115" s="464" t="s">
        <v>98</v>
      </c>
      <c r="E115" s="464" t="s">
        <v>90</v>
      </c>
      <c r="F115" s="465" t="s">
        <v>456</v>
      </c>
      <c r="G115" s="466" t="s">
        <v>136</v>
      </c>
      <c r="H115" s="803">
        <f>'прил12(ведом 19)'!M452</f>
        <v>269.39999999999998</v>
      </c>
    </row>
    <row r="116" spans="1:8" ht="18.75" x14ac:dyDescent="0.3">
      <c r="A116" s="812"/>
      <c r="B116" s="804" t="s">
        <v>384</v>
      </c>
      <c r="C116" s="463" t="s">
        <v>119</v>
      </c>
      <c r="D116" s="464" t="s">
        <v>98</v>
      </c>
      <c r="E116" s="464" t="s">
        <v>92</v>
      </c>
      <c r="F116" s="465" t="s">
        <v>97</v>
      </c>
      <c r="G116" s="466"/>
      <c r="H116" s="813">
        <f>H117</f>
        <v>180</v>
      </c>
    </row>
    <row r="117" spans="1:8" s="801" customFormat="1" ht="37.5" x14ac:dyDescent="0.3">
      <c r="A117" s="789"/>
      <c r="B117" s="804" t="s">
        <v>291</v>
      </c>
      <c r="C117" s="463" t="s">
        <v>119</v>
      </c>
      <c r="D117" s="464" t="s">
        <v>98</v>
      </c>
      <c r="E117" s="464" t="s">
        <v>92</v>
      </c>
      <c r="F117" s="465" t="s">
        <v>386</v>
      </c>
      <c r="G117" s="466"/>
      <c r="H117" s="803">
        <f>H118</f>
        <v>180</v>
      </c>
    </row>
    <row r="118" spans="1:8" s="801" customFormat="1" ht="37.5" x14ac:dyDescent="0.3">
      <c r="A118" s="789"/>
      <c r="B118" s="804" t="s">
        <v>183</v>
      </c>
      <c r="C118" s="463" t="s">
        <v>119</v>
      </c>
      <c r="D118" s="464" t="s">
        <v>98</v>
      </c>
      <c r="E118" s="464" t="s">
        <v>92</v>
      </c>
      <c r="F118" s="465" t="s">
        <v>386</v>
      </c>
      <c r="G118" s="466" t="s">
        <v>184</v>
      </c>
      <c r="H118" s="803">
        <f>'прил12(ведом 19)'!M464</f>
        <v>180</v>
      </c>
    </row>
    <row r="119" spans="1:8" s="801" customFormat="1" ht="18.75" x14ac:dyDescent="0.3">
      <c r="A119" s="789"/>
      <c r="B119" s="802" t="s">
        <v>457</v>
      </c>
      <c r="C119" s="814" t="s">
        <v>119</v>
      </c>
      <c r="D119" s="815" t="s">
        <v>98</v>
      </c>
      <c r="E119" s="815" t="s">
        <v>119</v>
      </c>
      <c r="F119" s="816" t="s">
        <v>97</v>
      </c>
      <c r="G119" s="817"/>
      <c r="H119" s="803">
        <f>H120+H122+H124</f>
        <v>11829.099999999999</v>
      </c>
    </row>
    <row r="120" spans="1:8" s="801" customFormat="1" ht="75" x14ac:dyDescent="0.3">
      <c r="A120" s="789"/>
      <c r="B120" s="811" t="s">
        <v>458</v>
      </c>
      <c r="C120" s="814" t="s">
        <v>119</v>
      </c>
      <c r="D120" s="815" t="s">
        <v>98</v>
      </c>
      <c r="E120" s="815" t="s">
        <v>119</v>
      </c>
      <c r="F120" s="816" t="s">
        <v>153</v>
      </c>
      <c r="G120" s="817"/>
      <c r="H120" s="803">
        <f>H121</f>
        <v>11088.3</v>
      </c>
    </row>
    <row r="121" spans="1:8" s="801" customFormat="1" ht="56.25" x14ac:dyDescent="0.3">
      <c r="A121" s="789"/>
      <c r="B121" s="804" t="s">
        <v>135</v>
      </c>
      <c r="C121" s="463" t="s">
        <v>119</v>
      </c>
      <c r="D121" s="464" t="s">
        <v>98</v>
      </c>
      <c r="E121" s="464" t="s">
        <v>119</v>
      </c>
      <c r="F121" s="465" t="s">
        <v>153</v>
      </c>
      <c r="G121" s="466" t="s">
        <v>136</v>
      </c>
      <c r="H121" s="803">
        <f>'прил12(ведом 19)'!M471</f>
        <v>11088.3</v>
      </c>
    </row>
    <row r="122" spans="1:8" s="801" customFormat="1" ht="37.5" x14ac:dyDescent="0.3">
      <c r="A122" s="789"/>
      <c r="B122" s="804" t="s">
        <v>455</v>
      </c>
      <c r="C122" s="814" t="s">
        <v>119</v>
      </c>
      <c r="D122" s="815" t="s">
        <v>98</v>
      </c>
      <c r="E122" s="815" t="s">
        <v>119</v>
      </c>
      <c r="F122" s="816" t="s">
        <v>456</v>
      </c>
      <c r="G122" s="817"/>
      <c r="H122" s="803">
        <f>H123</f>
        <v>300.8</v>
      </c>
    </row>
    <row r="123" spans="1:8" s="801" customFormat="1" ht="56.25" x14ac:dyDescent="0.3">
      <c r="A123" s="789"/>
      <c r="B123" s="804" t="s">
        <v>135</v>
      </c>
      <c r="C123" s="814" t="s">
        <v>119</v>
      </c>
      <c r="D123" s="815" t="s">
        <v>98</v>
      </c>
      <c r="E123" s="815" t="s">
        <v>119</v>
      </c>
      <c r="F123" s="816" t="s">
        <v>456</v>
      </c>
      <c r="G123" s="817" t="s">
        <v>136</v>
      </c>
      <c r="H123" s="803">
        <f>'прил12(ведом 19)'!M473</f>
        <v>300.8</v>
      </c>
    </row>
    <row r="124" spans="1:8" s="801" customFormat="1" ht="56.25" x14ac:dyDescent="0.3">
      <c r="A124" s="789"/>
      <c r="B124" s="804" t="s">
        <v>295</v>
      </c>
      <c r="C124" s="463" t="s">
        <v>119</v>
      </c>
      <c r="D124" s="464" t="s">
        <v>98</v>
      </c>
      <c r="E124" s="464" t="s">
        <v>119</v>
      </c>
      <c r="F124" s="465" t="s">
        <v>459</v>
      </c>
      <c r="G124" s="466"/>
      <c r="H124" s="803">
        <f>H125</f>
        <v>440</v>
      </c>
    </row>
    <row r="125" spans="1:8" s="801" customFormat="1" ht="56.25" x14ac:dyDescent="0.3">
      <c r="A125" s="789"/>
      <c r="B125" s="804" t="s">
        <v>135</v>
      </c>
      <c r="C125" s="463" t="s">
        <v>119</v>
      </c>
      <c r="D125" s="464" t="s">
        <v>98</v>
      </c>
      <c r="E125" s="464" t="s">
        <v>119</v>
      </c>
      <c r="F125" s="465" t="s">
        <v>459</v>
      </c>
      <c r="G125" s="466" t="s">
        <v>136</v>
      </c>
      <c r="H125" s="803">
        <f>'прил12(ведом 19)'!M475</f>
        <v>440</v>
      </c>
    </row>
    <row r="126" spans="1:8" s="801" customFormat="1" ht="37.5" x14ac:dyDescent="0.3">
      <c r="A126" s="789"/>
      <c r="B126" s="804" t="s">
        <v>460</v>
      </c>
      <c r="C126" s="814" t="s">
        <v>119</v>
      </c>
      <c r="D126" s="815" t="s">
        <v>98</v>
      </c>
      <c r="E126" s="815" t="s">
        <v>105</v>
      </c>
      <c r="F126" s="465" t="s">
        <v>97</v>
      </c>
      <c r="G126" s="466"/>
      <c r="H126" s="803">
        <f>H127</f>
        <v>12054.8</v>
      </c>
    </row>
    <row r="127" spans="1:8" s="801" customFormat="1" ht="75" x14ac:dyDescent="0.3">
      <c r="A127" s="789"/>
      <c r="B127" s="811" t="s">
        <v>458</v>
      </c>
      <c r="C127" s="814" t="s">
        <v>119</v>
      </c>
      <c r="D127" s="815" t="s">
        <v>98</v>
      </c>
      <c r="E127" s="815" t="s">
        <v>105</v>
      </c>
      <c r="F127" s="816" t="s">
        <v>153</v>
      </c>
      <c r="G127" s="817"/>
      <c r="H127" s="803">
        <f>SUM(H128:H130)</f>
        <v>12054.8</v>
      </c>
    </row>
    <row r="128" spans="1:8" s="801" customFormat="1" ht="93.75" x14ac:dyDescent="0.3">
      <c r="A128" s="789"/>
      <c r="B128" s="763" t="s">
        <v>102</v>
      </c>
      <c r="C128" s="463" t="s">
        <v>119</v>
      </c>
      <c r="D128" s="464" t="s">
        <v>98</v>
      </c>
      <c r="E128" s="464" t="s">
        <v>105</v>
      </c>
      <c r="F128" s="465" t="s">
        <v>153</v>
      </c>
      <c r="G128" s="466" t="s">
        <v>103</v>
      </c>
      <c r="H128" s="803">
        <f>'прил12(ведом 19)'!M478</f>
        <v>11169.8</v>
      </c>
    </row>
    <row r="129" spans="1:8" s="801" customFormat="1" ht="37.5" x14ac:dyDescent="0.3">
      <c r="A129" s="789"/>
      <c r="B129" s="763" t="s">
        <v>108</v>
      </c>
      <c r="C129" s="463" t="s">
        <v>119</v>
      </c>
      <c r="D129" s="464" t="s">
        <v>98</v>
      </c>
      <c r="E129" s="464" t="s">
        <v>105</v>
      </c>
      <c r="F129" s="465" t="s">
        <v>153</v>
      </c>
      <c r="G129" s="466" t="s">
        <v>109</v>
      </c>
      <c r="H129" s="803">
        <f>'прил12(ведом 19)'!M479</f>
        <v>863.6</v>
      </c>
    </row>
    <row r="130" spans="1:8" s="801" customFormat="1" ht="18.75" x14ac:dyDescent="0.3">
      <c r="A130" s="789"/>
      <c r="B130" s="763" t="s">
        <v>110</v>
      </c>
      <c r="C130" s="463" t="s">
        <v>119</v>
      </c>
      <c r="D130" s="464" t="s">
        <v>98</v>
      </c>
      <c r="E130" s="464" t="s">
        <v>105</v>
      </c>
      <c r="F130" s="465" t="s">
        <v>153</v>
      </c>
      <c r="G130" s="466" t="s">
        <v>111</v>
      </c>
      <c r="H130" s="803">
        <f>'прил12(ведом 19)'!M480</f>
        <v>21.4</v>
      </c>
    </row>
    <row r="131" spans="1:8" s="801" customFormat="1" ht="37.5" x14ac:dyDescent="0.3">
      <c r="A131" s="789"/>
      <c r="B131" s="939" t="s">
        <v>388</v>
      </c>
      <c r="C131" s="463" t="s">
        <v>119</v>
      </c>
      <c r="D131" s="464" t="s">
        <v>98</v>
      </c>
      <c r="E131" s="464" t="s">
        <v>121</v>
      </c>
      <c r="F131" s="465" t="s">
        <v>97</v>
      </c>
      <c r="G131" s="466"/>
      <c r="H131" s="803">
        <f>H132</f>
        <v>270</v>
      </c>
    </row>
    <row r="132" spans="1:8" s="801" customFormat="1" ht="37.5" x14ac:dyDescent="0.3">
      <c r="A132" s="789"/>
      <c r="B132" s="825" t="s">
        <v>827</v>
      </c>
      <c r="C132" s="463" t="s">
        <v>119</v>
      </c>
      <c r="D132" s="464" t="s">
        <v>98</v>
      </c>
      <c r="E132" s="464" t="s">
        <v>121</v>
      </c>
      <c r="F132" s="465" t="s">
        <v>826</v>
      </c>
      <c r="G132" s="466"/>
      <c r="H132" s="803">
        <f>H133</f>
        <v>270</v>
      </c>
    </row>
    <row r="133" spans="1:8" s="801" customFormat="1" ht="56.25" x14ac:dyDescent="0.3">
      <c r="A133" s="789"/>
      <c r="B133" s="858" t="s">
        <v>135</v>
      </c>
      <c r="C133" s="463" t="s">
        <v>119</v>
      </c>
      <c r="D133" s="464" t="s">
        <v>98</v>
      </c>
      <c r="E133" s="464" t="s">
        <v>121</v>
      </c>
      <c r="F133" s="465" t="s">
        <v>826</v>
      </c>
      <c r="G133" s="466" t="s">
        <v>136</v>
      </c>
      <c r="H133" s="803">
        <f>'прил12(ведом 19)'!M458</f>
        <v>270</v>
      </c>
    </row>
    <row r="134" spans="1:8" ht="37.5" x14ac:dyDescent="0.3">
      <c r="A134" s="789"/>
      <c r="B134" s="802" t="s">
        <v>468</v>
      </c>
      <c r="C134" s="814" t="s">
        <v>119</v>
      </c>
      <c r="D134" s="815" t="s">
        <v>150</v>
      </c>
      <c r="E134" s="815" t="s">
        <v>96</v>
      </c>
      <c r="F134" s="465" t="s">
        <v>97</v>
      </c>
      <c r="G134" s="817"/>
      <c r="H134" s="803">
        <f>H135</f>
        <v>782.8</v>
      </c>
    </row>
    <row r="135" spans="1:8" ht="93.75" x14ac:dyDescent="0.3">
      <c r="A135" s="789"/>
      <c r="B135" s="804" t="s">
        <v>461</v>
      </c>
      <c r="C135" s="814" t="s">
        <v>119</v>
      </c>
      <c r="D135" s="815" t="s">
        <v>150</v>
      </c>
      <c r="E135" s="815" t="s">
        <v>119</v>
      </c>
      <c r="F135" s="465" t="s">
        <v>97</v>
      </c>
      <c r="G135" s="817"/>
      <c r="H135" s="803">
        <f>H136</f>
        <v>782.8</v>
      </c>
    </row>
    <row r="136" spans="1:8" ht="37.5" x14ac:dyDescent="0.3">
      <c r="A136" s="789"/>
      <c r="B136" s="804" t="s">
        <v>455</v>
      </c>
      <c r="C136" s="814" t="s">
        <v>119</v>
      </c>
      <c r="D136" s="815" t="s">
        <v>150</v>
      </c>
      <c r="E136" s="815" t="s">
        <v>119</v>
      </c>
      <c r="F136" s="816" t="s">
        <v>456</v>
      </c>
      <c r="G136" s="788"/>
      <c r="H136" s="803">
        <f>SUM(H137:H138)</f>
        <v>782.8</v>
      </c>
    </row>
    <row r="137" spans="1:8" ht="37.5" x14ac:dyDescent="0.3">
      <c r="A137" s="789"/>
      <c r="B137" s="763" t="s">
        <v>108</v>
      </c>
      <c r="C137" s="463" t="s">
        <v>119</v>
      </c>
      <c r="D137" s="464" t="s">
        <v>150</v>
      </c>
      <c r="E137" s="464" t="s">
        <v>119</v>
      </c>
      <c r="F137" s="465" t="s">
        <v>456</v>
      </c>
      <c r="G137" s="466" t="s">
        <v>109</v>
      </c>
      <c r="H137" s="803">
        <f>'прил12(ведом 19)'!M490</f>
        <v>762.8</v>
      </c>
    </row>
    <row r="138" spans="1:8" ht="56.25" x14ac:dyDescent="0.3">
      <c r="A138" s="789"/>
      <c r="B138" s="804" t="s">
        <v>135</v>
      </c>
      <c r="C138" s="463" t="s">
        <v>119</v>
      </c>
      <c r="D138" s="464" t="s">
        <v>150</v>
      </c>
      <c r="E138" s="464" t="s">
        <v>119</v>
      </c>
      <c r="F138" s="465" t="s">
        <v>456</v>
      </c>
      <c r="G138" s="466" t="s">
        <v>136</v>
      </c>
      <c r="H138" s="803">
        <f>'прил12(ведом 19)'!M484</f>
        <v>20</v>
      </c>
    </row>
    <row r="139" spans="1:8" s="801" customFormat="1" ht="56.25" x14ac:dyDescent="0.3">
      <c r="A139" s="789"/>
      <c r="B139" s="802" t="s">
        <v>296</v>
      </c>
      <c r="C139" s="463" t="s">
        <v>119</v>
      </c>
      <c r="D139" s="464" t="s">
        <v>83</v>
      </c>
      <c r="E139" s="464" t="s">
        <v>96</v>
      </c>
      <c r="F139" s="465" t="s">
        <v>97</v>
      </c>
      <c r="G139" s="788"/>
      <c r="H139" s="803">
        <f>H140</f>
        <v>8567.5</v>
      </c>
    </row>
    <row r="140" spans="1:8" s="801" customFormat="1" ht="37.5" x14ac:dyDescent="0.3">
      <c r="A140" s="789"/>
      <c r="B140" s="802" t="s">
        <v>389</v>
      </c>
      <c r="C140" s="463" t="s">
        <v>119</v>
      </c>
      <c r="D140" s="464" t="s">
        <v>83</v>
      </c>
      <c r="E140" s="464" t="s">
        <v>90</v>
      </c>
      <c r="F140" s="465" t="s">
        <v>97</v>
      </c>
      <c r="G140" s="466"/>
      <c r="H140" s="803">
        <f>H141+H145</f>
        <v>8567.5</v>
      </c>
    </row>
    <row r="141" spans="1:8" ht="37.5" x14ac:dyDescent="0.3">
      <c r="A141" s="789"/>
      <c r="B141" s="802" t="s">
        <v>100</v>
      </c>
      <c r="C141" s="463" t="s">
        <v>119</v>
      </c>
      <c r="D141" s="464" t="s">
        <v>83</v>
      </c>
      <c r="E141" s="464" t="s">
        <v>90</v>
      </c>
      <c r="F141" s="465" t="s">
        <v>101</v>
      </c>
      <c r="G141" s="817"/>
      <c r="H141" s="803">
        <f>SUM(H142:H144)</f>
        <v>2619.8999999999996</v>
      </c>
    </row>
    <row r="142" spans="1:8" ht="93.75" x14ac:dyDescent="0.3">
      <c r="A142" s="789"/>
      <c r="B142" s="802" t="s">
        <v>102</v>
      </c>
      <c r="C142" s="463" t="s">
        <v>119</v>
      </c>
      <c r="D142" s="464" t="s">
        <v>83</v>
      </c>
      <c r="E142" s="464" t="s">
        <v>90</v>
      </c>
      <c r="F142" s="465" t="s">
        <v>101</v>
      </c>
      <c r="G142" s="817" t="s">
        <v>103</v>
      </c>
      <c r="H142" s="803">
        <f>'прил12(ведом 19)'!M494</f>
        <v>2413.1999999999998</v>
      </c>
    </row>
    <row r="143" spans="1:8" ht="37.5" x14ac:dyDescent="0.3">
      <c r="A143" s="789"/>
      <c r="B143" s="802" t="s">
        <v>108</v>
      </c>
      <c r="C143" s="463" t="s">
        <v>119</v>
      </c>
      <c r="D143" s="464" t="s">
        <v>83</v>
      </c>
      <c r="E143" s="464" t="s">
        <v>90</v>
      </c>
      <c r="F143" s="465" t="s">
        <v>101</v>
      </c>
      <c r="G143" s="817" t="s">
        <v>109</v>
      </c>
      <c r="H143" s="803">
        <f>'прил12(ведом 19)'!M495</f>
        <v>202.2</v>
      </c>
    </row>
    <row r="144" spans="1:8" ht="18.75" x14ac:dyDescent="0.3">
      <c r="A144" s="789"/>
      <c r="B144" s="802" t="s">
        <v>110</v>
      </c>
      <c r="C144" s="463" t="s">
        <v>119</v>
      </c>
      <c r="D144" s="464" t="s">
        <v>83</v>
      </c>
      <c r="E144" s="464" t="s">
        <v>90</v>
      </c>
      <c r="F144" s="465" t="s">
        <v>101</v>
      </c>
      <c r="G144" s="466" t="s">
        <v>111</v>
      </c>
      <c r="H144" s="803">
        <f>'прил12(ведом 19)'!M496</f>
        <v>4.5</v>
      </c>
    </row>
    <row r="145" spans="1:8" ht="75" x14ac:dyDescent="0.3">
      <c r="A145" s="789"/>
      <c r="B145" s="811" t="s">
        <v>458</v>
      </c>
      <c r="C145" s="463" t="s">
        <v>119</v>
      </c>
      <c r="D145" s="464" t="s">
        <v>83</v>
      </c>
      <c r="E145" s="464" t="s">
        <v>90</v>
      </c>
      <c r="F145" s="465" t="s">
        <v>153</v>
      </c>
      <c r="G145" s="466"/>
      <c r="H145" s="803">
        <f>SUM(H146:H148)</f>
        <v>5947.5999999999995</v>
      </c>
    </row>
    <row r="146" spans="1:8" ht="93.75" x14ac:dyDescent="0.3">
      <c r="A146" s="789"/>
      <c r="B146" s="802" t="s">
        <v>102</v>
      </c>
      <c r="C146" s="463" t="s">
        <v>119</v>
      </c>
      <c r="D146" s="464" t="s">
        <v>83</v>
      </c>
      <c r="E146" s="464" t="s">
        <v>90</v>
      </c>
      <c r="F146" s="465" t="s">
        <v>153</v>
      </c>
      <c r="G146" s="817" t="s">
        <v>103</v>
      </c>
      <c r="H146" s="803">
        <f>'прил12(ведом 19)'!M498</f>
        <v>5519.4</v>
      </c>
    </row>
    <row r="147" spans="1:8" ht="37.5" x14ac:dyDescent="0.3">
      <c r="A147" s="789"/>
      <c r="B147" s="802" t="s">
        <v>108</v>
      </c>
      <c r="C147" s="463" t="s">
        <v>119</v>
      </c>
      <c r="D147" s="464" t="s">
        <v>83</v>
      </c>
      <c r="E147" s="464" t="s">
        <v>90</v>
      </c>
      <c r="F147" s="465" t="s">
        <v>153</v>
      </c>
      <c r="G147" s="817" t="s">
        <v>109</v>
      </c>
      <c r="H147" s="803">
        <f>'прил12(ведом 19)'!M499</f>
        <v>426.40000000000003</v>
      </c>
    </row>
    <row r="148" spans="1:8" ht="18.75" x14ac:dyDescent="0.3">
      <c r="A148" s="789"/>
      <c r="B148" s="802" t="s">
        <v>110</v>
      </c>
      <c r="C148" s="463" t="s">
        <v>119</v>
      </c>
      <c r="D148" s="464" t="s">
        <v>83</v>
      </c>
      <c r="E148" s="464" t="s">
        <v>90</v>
      </c>
      <c r="F148" s="465" t="s">
        <v>153</v>
      </c>
      <c r="G148" s="466" t="s">
        <v>111</v>
      </c>
      <c r="H148" s="803">
        <f>'прил12(ведом 19)'!M500</f>
        <v>1.8</v>
      </c>
    </row>
    <row r="149" spans="1:8" ht="18.75" x14ac:dyDescent="0.3">
      <c r="A149" s="789"/>
      <c r="B149" s="806"/>
      <c r="C149" s="818"/>
      <c r="D149" s="818"/>
      <c r="E149" s="819"/>
      <c r="F149" s="820"/>
      <c r="G149" s="788"/>
      <c r="H149" s="803"/>
    </row>
    <row r="150" spans="1:8" s="801" customFormat="1" ht="56.25" x14ac:dyDescent="0.3">
      <c r="A150" s="807">
        <v>3</v>
      </c>
      <c r="B150" s="821" t="s">
        <v>297</v>
      </c>
      <c r="C150" s="808" t="s">
        <v>105</v>
      </c>
      <c r="D150" s="808" t="s">
        <v>95</v>
      </c>
      <c r="E150" s="808" t="s">
        <v>96</v>
      </c>
      <c r="F150" s="809" t="s">
        <v>97</v>
      </c>
      <c r="G150" s="799"/>
      <c r="H150" s="800">
        <f>H151+H159+H172</f>
        <v>38637.899999999994</v>
      </c>
    </row>
    <row r="151" spans="1:8" ht="37.5" x14ac:dyDescent="0.3">
      <c r="A151" s="789"/>
      <c r="B151" s="810" t="s">
        <v>298</v>
      </c>
      <c r="C151" s="463" t="s">
        <v>105</v>
      </c>
      <c r="D151" s="464" t="s">
        <v>98</v>
      </c>
      <c r="E151" s="464" t="s">
        <v>96</v>
      </c>
      <c r="F151" s="465" t="s">
        <v>97</v>
      </c>
      <c r="G151" s="788"/>
      <c r="H151" s="803">
        <f>H152+H155</f>
        <v>658.1</v>
      </c>
    </row>
    <row r="152" spans="1:8" ht="18.75" x14ac:dyDescent="0.3">
      <c r="A152" s="789"/>
      <c r="B152" s="802" t="s">
        <v>384</v>
      </c>
      <c r="C152" s="463" t="s">
        <v>105</v>
      </c>
      <c r="D152" s="464" t="s">
        <v>98</v>
      </c>
      <c r="E152" s="464" t="s">
        <v>90</v>
      </c>
      <c r="F152" s="465" t="s">
        <v>97</v>
      </c>
      <c r="G152" s="788"/>
      <c r="H152" s="803">
        <f>H153</f>
        <v>171</v>
      </c>
    </row>
    <row r="153" spans="1:8" ht="37.5" x14ac:dyDescent="0.3">
      <c r="A153" s="789"/>
      <c r="B153" s="802" t="s">
        <v>385</v>
      </c>
      <c r="C153" s="463" t="s">
        <v>105</v>
      </c>
      <c r="D153" s="464" t="s">
        <v>98</v>
      </c>
      <c r="E153" s="464" t="s">
        <v>90</v>
      </c>
      <c r="F153" s="465" t="s">
        <v>386</v>
      </c>
      <c r="G153" s="466"/>
      <c r="H153" s="803">
        <f>H154</f>
        <v>171</v>
      </c>
    </row>
    <row r="154" spans="1:8" ht="37.5" x14ac:dyDescent="0.3">
      <c r="A154" s="789"/>
      <c r="B154" s="802" t="s">
        <v>183</v>
      </c>
      <c r="C154" s="463" t="s">
        <v>105</v>
      </c>
      <c r="D154" s="464" t="s">
        <v>98</v>
      </c>
      <c r="E154" s="464" t="s">
        <v>90</v>
      </c>
      <c r="F154" s="465" t="s">
        <v>386</v>
      </c>
      <c r="G154" s="466" t="s">
        <v>184</v>
      </c>
      <c r="H154" s="803">
        <f>'прил12(ведом 19)'!M509</f>
        <v>171</v>
      </c>
    </row>
    <row r="155" spans="1:8" ht="56.25" x14ac:dyDescent="0.3">
      <c r="A155" s="789"/>
      <c r="B155" s="802" t="s">
        <v>399</v>
      </c>
      <c r="C155" s="463" t="s">
        <v>105</v>
      </c>
      <c r="D155" s="464" t="s">
        <v>98</v>
      </c>
      <c r="E155" s="464" t="s">
        <v>92</v>
      </c>
      <c r="F155" s="465" t="s">
        <v>97</v>
      </c>
      <c r="G155" s="466"/>
      <c r="H155" s="803">
        <f>H156</f>
        <v>487.1</v>
      </c>
    </row>
    <row r="156" spans="1:8" ht="56.25" x14ac:dyDescent="0.3">
      <c r="A156" s="789"/>
      <c r="B156" s="802" t="s">
        <v>299</v>
      </c>
      <c r="C156" s="463" t="s">
        <v>105</v>
      </c>
      <c r="D156" s="464" t="s">
        <v>98</v>
      </c>
      <c r="E156" s="464" t="s">
        <v>92</v>
      </c>
      <c r="F156" s="465" t="s">
        <v>400</v>
      </c>
      <c r="G156" s="466"/>
      <c r="H156" s="803">
        <f>SUM(H157:H158)</f>
        <v>487.1</v>
      </c>
    </row>
    <row r="157" spans="1:8" ht="93.75" x14ac:dyDescent="0.3">
      <c r="A157" s="789"/>
      <c r="B157" s="763" t="s">
        <v>102</v>
      </c>
      <c r="C157" s="463" t="s">
        <v>105</v>
      </c>
      <c r="D157" s="464" t="s">
        <v>98</v>
      </c>
      <c r="E157" s="464" t="s">
        <v>92</v>
      </c>
      <c r="F157" s="465" t="s">
        <v>400</v>
      </c>
      <c r="G157" s="466" t="s">
        <v>103</v>
      </c>
      <c r="H157" s="803">
        <f>'прил12(ведом 19)'!M523</f>
        <v>439.8</v>
      </c>
    </row>
    <row r="158" spans="1:8" ht="37.5" x14ac:dyDescent="0.3">
      <c r="A158" s="789"/>
      <c r="B158" s="802" t="s">
        <v>108</v>
      </c>
      <c r="C158" s="463" t="s">
        <v>105</v>
      </c>
      <c r="D158" s="464" t="s">
        <v>98</v>
      </c>
      <c r="E158" s="464" t="s">
        <v>92</v>
      </c>
      <c r="F158" s="465" t="s">
        <v>400</v>
      </c>
      <c r="G158" s="466" t="s">
        <v>109</v>
      </c>
      <c r="H158" s="803">
        <f>'прил12(ведом 19)'!M524</f>
        <v>47.3</v>
      </c>
    </row>
    <row r="159" spans="1:8" ht="37.5" x14ac:dyDescent="0.3">
      <c r="A159" s="789"/>
      <c r="B159" s="802" t="s">
        <v>300</v>
      </c>
      <c r="C159" s="463" t="s">
        <v>105</v>
      </c>
      <c r="D159" s="464" t="s">
        <v>150</v>
      </c>
      <c r="E159" s="464" t="s">
        <v>96</v>
      </c>
      <c r="F159" s="465" t="s">
        <v>97</v>
      </c>
      <c r="G159" s="788"/>
      <c r="H159" s="803">
        <f>H160+H165</f>
        <v>36956.6</v>
      </c>
    </row>
    <row r="160" spans="1:8" ht="37.5" x14ac:dyDescent="0.3">
      <c r="A160" s="789"/>
      <c r="B160" s="802" t="s">
        <v>389</v>
      </c>
      <c r="C160" s="463" t="s">
        <v>105</v>
      </c>
      <c r="D160" s="464" t="s">
        <v>150</v>
      </c>
      <c r="E160" s="464" t="s">
        <v>90</v>
      </c>
      <c r="F160" s="465" t="s">
        <v>97</v>
      </c>
      <c r="G160" s="466"/>
      <c r="H160" s="803">
        <f>H161</f>
        <v>2350.1</v>
      </c>
    </row>
    <row r="161" spans="1:8" ht="37.5" x14ac:dyDescent="0.3">
      <c r="A161" s="789"/>
      <c r="B161" s="802" t="s">
        <v>100</v>
      </c>
      <c r="C161" s="463" t="s">
        <v>105</v>
      </c>
      <c r="D161" s="464" t="s">
        <v>150</v>
      </c>
      <c r="E161" s="464" t="s">
        <v>90</v>
      </c>
      <c r="F161" s="465" t="s">
        <v>101</v>
      </c>
      <c r="G161" s="466"/>
      <c r="H161" s="803">
        <f>SUM(H162:H164)</f>
        <v>2350.1</v>
      </c>
    </row>
    <row r="162" spans="1:8" ht="93.75" x14ac:dyDescent="0.3">
      <c r="A162" s="789"/>
      <c r="B162" s="802" t="s">
        <v>102</v>
      </c>
      <c r="C162" s="463" t="s">
        <v>105</v>
      </c>
      <c r="D162" s="464" t="s">
        <v>150</v>
      </c>
      <c r="E162" s="464" t="s">
        <v>90</v>
      </c>
      <c r="F162" s="465" t="s">
        <v>101</v>
      </c>
      <c r="G162" s="466" t="s">
        <v>103</v>
      </c>
      <c r="H162" s="803">
        <f>'прил12(ведом 19)'!M534</f>
        <v>2262.1</v>
      </c>
    </row>
    <row r="163" spans="1:8" ht="37.5" x14ac:dyDescent="0.3">
      <c r="A163" s="789"/>
      <c r="B163" s="802" t="s">
        <v>108</v>
      </c>
      <c r="C163" s="463" t="s">
        <v>105</v>
      </c>
      <c r="D163" s="464" t="s">
        <v>150</v>
      </c>
      <c r="E163" s="464" t="s">
        <v>90</v>
      </c>
      <c r="F163" s="465" t="s">
        <v>101</v>
      </c>
      <c r="G163" s="466" t="s">
        <v>109</v>
      </c>
      <c r="H163" s="803">
        <f>'прил12(ведом 19)'!M535</f>
        <v>85.8</v>
      </c>
    </row>
    <row r="164" spans="1:8" ht="18.75" x14ac:dyDescent="0.3">
      <c r="A164" s="789"/>
      <c r="B164" s="802" t="s">
        <v>110</v>
      </c>
      <c r="C164" s="463" t="s">
        <v>105</v>
      </c>
      <c r="D164" s="464" t="s">
        <v>150</v>
      </c>
      <c r="E164" s="464" t="s">
        <v>90</v>
      </c>
      <c r="F164" s="465" t="s">
        <v>101</v>
      </c>
      <c r="G164" s="466" t="s">
        <v>111</v>
      </c>
      <c r="H164" s="803">
        <f>'прил12(ведом 19)'!M536</f>
        <v>2.2000000000000002</v>
      </c>
    </row>
    <row r="165" spans="1:8" ht="18.75" x14ac:dyDescent="0.3">
      <c r="A165" s="789"/>
      <c r="B165" s="802" t="s">
        <v>541</v>
      </c>
      <c r="C165" s="463" t="s">
        <v>105</v>
      </c>
      <c r="D165" s="464" t="s">
        <v>150</v>
      </c>
      <c r="E165" s="464" t="s">
        <v>92</v>
      </c>
      <c r="F165" s="465" t="s">
        <v>97</v>
      </c>
      <c r="G165" s="466"/>
      <c r="H165" s="803">
        <f>H166+H170</f>
        <v>34606.5</v>
      </c>
    </row>
    <row r="166" spans="1:8" ht="75" x14ac:dyDescent="0.3">
      <c r="A166" s="789"/>
      <c r="B166" s="802" t="s">
        <v>151</v>
      </c>
      <c r="C166" s="463" t="s">
        <v>105</v>
      </c>
      <c r="D166" s="464" t="s">
        <v>150</v>
      </c>
      <c r="E166" s="464" t="s">
        <v>92</v>
      </c>
      <c r="F166" s="465" t="s">
        <v>153</v>
      </c>
      <c r="G166" s="466"/>
      <c r="H166" s="803">
        <f>SUM(H167:H169)</f>
        <v>26734.799999999999</v>
      </c>
    </row>
    <row r="167" spans="1:8" ht="93.75" x14ac:dyDescent="0.3">
      <c r="A167" s="789"/>
      <c r="B167" s="802" t="s">
        <v>102</v>
      </c>
      <c r="C167" s="463" t="s">
        <v>105</v>
      </c>
      <c r="D167" s="464" t="s">
        <v>150</v>
      </c>
      <c r="E167" s="464" t="s">
        <v>92</v>
      </c>
      <c r="F167" s="465" t="s">
        <v>153</v>
      </c>
      <c r="G167" s="466" t="s">
        <v>103</v>
      </c>
      <c r="H167" s="803">
        <f>'прил12(ведом 19)'!M513</f>
        <v>21553</v>
      </c>
    </row>
    <row r="168" spans="1:8" ht="37.5" x14ac:dyDescent="0.3">
      <c r="A168" s="789"/>
      <c r="B168" s="802" t="s">
        <v>108</v>
      </c>
      <c r="C168" s="463" t="s">
        <v>105</v>
      </c>
      <c r="D168" s="464" t="s">
        <v>150</v>
      </c>
      <c r="E168" s="464" t="s">
        <v>92</v>
      </c>
      <c r="F168" s="465" t="s">
        <v>153</v>
      </c>
      <c r="G168" s="466" t="s">
        <v>109</v>
      </c>
      <c r="H168" s="803">
        <f>'прил12(ведом 19)'!M514</f>
        <v>3700.3</v>
      </c>
    </row>
    <row r="169" spans="1:8" ht="18.75" x14ac:dyDescent="0.3">
      <c r="A169" s="789"/>
      <c r="B169" s="802" t="s">
        <v>110</v>
      </c>
      <c r="C169" s="463" t="s">
        <v>105</v>
      </c>
      <c r="D169" s="464" t="s">
        <v>150</v>
      </c>
      <c r="E169" s="464" t="s">
        <v>92</v>
      </c>
      <c r="F169" s="465" t="s">
        <v>153</v>
      </c>
      <c r="G169" s="466" t="s">
        <v>111</v>
      </c>
      <c r="H169" s="803">
        <f>'прил12(ведом 19)'!M515</f>
        <v>1481.5000000000002</v>
      </c>
    </row>
    <row r="170" spans="1:8" ht="37.5" x14ac:dyDescent="0.3">
      <c r="A170" s="789"/>
      <c r="B170" s="763" t="s">
        <v>619</v>
      </c>
      <c r="C170" s="463" t="s">
        <v>105</v>
      </c>
      <c r="D170" s="464" t="s">
        <v>150</v>
      </c>
      <c r="E170" s="464" t="s">
        <v>92</v>
      </c>
      <c r="F170" s="465" t="s">
        <v>618</v>
      </c>
      <c r="G170" s="466"/>
      <c r="H170" s="803">
        <f>H171</f>
        <v>7871.7</v>
      </c>
    </row>
    <row r="171" spans="1:8" ht="37.5" x14ac:dyDescent="0.3">
      <c r="A171" s="789"/>
      <c r="B171" s="763" t="s">
        <v>108</v>
      </c>
      <c r="C171" s="463" t="s">
        <v>105</v>
      </c>
      <c r="D171" s="464" t="s">
        <v>150</v>
      </c>
      <c r="E171" s="464" t="s">
        <v>92</v>
      </c>
      <c r="F171" s="465" t="s">
        <v>618</v>
      </c>
      <c r="G171" s="466" t="s">
        <v>109</v>
      </c>
      <c r="H171" s="803">
        <f>'прил12(ведом 19)'!M517</f>
        <v>7871.7</v>
      </c>
    </row>
    <row r="172" spans="1:8" ht="37.5" x14ac:dyDescent="0.3">
      <c r="A172" s="789"/>
      <c r="B172" s="802" t="s">
        <v>491</v>
      </c>
      <c r="C172" s="767" t="s">
        <v>105</v>
      </c>
      <c r="D172" s="822" t="s">
        <v>84</v>
      </c>
      <c r="E172" s="464" t="s">
        <v>96</v>
      </c>
      <c r="F172" s="465" t="s">
        <v>97</v>
      </c>
      <c r="G172" s="823"/>
      <c r="H172" s="803">
        <f>H173</f>
        <v>1023.2</v>
      </c>
    </row>
    <row r="173" spans="1:8" ht="75" x14ac:dyDescent="0.3">
      <c r="A173" s="789"/>
      <c r="B173" s="763" t="s">
        <v>574</v>
      </c>
      <c r="C173" s="463" t="s">
        <v>105</v>
      </c>
      <c r="D173" s="464" t="s">
        <v>84</v>
      </c>
      <c r="E173" s="464" t="s">
        <v>105</v>
      </c>
      <c r="F173" s="465" t="s">
        <v>97</v>
      </c>
      <c r="G173" s="466"/>
      <c r="H173" s="803">
        <f>H174</f>
        <v>1023.2</v>
      </c>
    </row>
    <row r="174" spans="1:8" ht="37.5" x14ac:dyDescent="0.3">
      <c r="A174" s="789"/>
      <c r="B174" s="763" t="s">
        <v>133</v>
      </c>
      <c r="C174" s="463" t="s">
        <v>105</v>
      </c>
      <c r="D174" s="464" t="s">
        <v>84</v>
      </c>
      <c r="E174" s="464" t="s">
        <v>105</v>
      </c>
      <c r="F174" s="465" t="s">
        <v>134</v>
      </c>
      <c r="G174" s="466"/>
      <c r="H174" s="803">
        <f>H175</f>
        <v>1023.2</v>
      </c>
    </row>
    <row r="175" spans="1:8" ht="56.25" x14ac:dyDescent="0.3">
      <c r="A175" s="789"/>
      <c r="B175" s="766" t="s">
        <v>135</v>
      </c>
      <c r="C175" s="463" t="s">
        <v>105</v>
      </c>
      <c r="D175" s="464" t="s">
        <v>84</v>
      </c>
      <c r="E175" s="464" t="s">
        <v>105</v>
      </c>
      <c r="F175" s="465" t="s">
        <v>134</v>
      </c>
      <c r="G175" s="466" t="s">
        <v>136</v>
      </c>
      <c r="H175" s="803">
        <f>'прил12(ведом 19)'!M528</f>
        <v>1023.2</v>
      </c>
    </row>
    <row r="176" spans="1:8" ht="18.75" x14ac:dyDescent="0.3">
      <c r="A176" s="789"/>
      <c r="B176" s="806"/>
      <c r="C176" s="932"/>
      <c r="D176" s="933"/>
      <c r="E176" s="933"/>
      <c r="F176" s="934"/>
      <c r="G176" s="788"/>
      <c r="H176" s="803"/>
    </row>
    <row r="177" spans="1:8" s="801" customFormat="1" ht="56.25" x14ac:dyDescent="0.3">
      <c r="A177" s="807">
        <v>4</v>
      </c>
      <c r="B177" s="796" t="s">
        <v>301</v>
      </c>
      <c r="C177" s="797" t="s">
        <v>121</v>
      </c>
      <c r="D177" s="797" t="s">
        <v>95</v>
      </c>
      <c r="E177" s="797" t="s">
        <v>96</v>
      </c>
      <c r="F177" s="798" t="s">
        <v>97</v>
      </c>
      <c r="G177" s="799"/>
      <c r="H177" s="800">
        <f>H178+H185</f>
        <v>5580.2</v>
      </c>
    </row>
    <row r="178" spans="1:8" s="801" customFormat="1" ht="18.75" x14ac:dyDescent="0.3">
      <c r="A178" s="789"/>
      <c r="B178" s="802" t="s">
        <v>302</v>
      </c>
      <c r="C178" s="463" t="s">
        <v>121</v>
      </c>
      <c r="D178" s="464" t="s">
        <v>98</v>
      </c>
      <c r="E178" s="464" t="s">
        <v>96</v>
      </c>
      <c r="F178" s="465" t="s">
        <v>97</v>
      </c>
      <c r="G178" s="788"/>
      <c r="H178" s="803">
        <f>H179</f>
        <v>2706.7</v>
      </c>
    </row>
    <row r="179" spans="1:8" s="801" customFormat="1" ht="75" x14ac:dyDescent="0.3">
      <c r="A179" s="789"/>
      <c r="B179" s="802" t="s">
        <v>395</v>
      </c>
      <c r="C179" s="463" t="s">
        <v>121</v>
      </c>
      <c r="D179" s="464" t="s">
        <v>98</v>
      </c>
      <c r="E179" s="464" t="s">
        <v>90</v>
      </c>
      <c r="F179" s="465" t="s">
        <v>97</v>
      </c>
      <c r="G179" s="466"/>
      <c r="H179" s="803">
        <f>H180+H183</f>
        <v>2706.7</v>
      </c>
    </row>
    <row r="180" spans="1:8" ht="75" x14ac:dyDescent="0.3">
      <c r="A180" s="789"/>
      <c r="B180" s="802" t="s">
        <v>151</v>
      </c>
      <c r="C180" s="463" t="s">
        <v>121</v>
      </c>
      <c r="D180" s="464" t="s">
        <v>98</v>
      </c>
      <c r="E180" s="464" t="s">
        <v>90</v>
      </c>
      <c r="F180" s="465" t="s">
        <v>153</v>
      </c>
      <c r="G180" s="466"/>
      <c r="H180" s="803">
        <f>H181+H182</f>
        <v>2141.9</v>
      </c>
    </row>
    <row r="181" spans="1:8" ht="93.75" x14ac:dyDescent="0.3">
      <c r="A181" s="789"/>
      <c r="B181" s="802" t="s">
        <v>102</v>
      </c>
      <c r="C181" s="463" t="s">
        <v>121</v>
      </c>
      <c r="D181" s="464" t="s">
        <v>98</v>
      </c>
      <c r="E181" s="464" t="s">
        <v>90</v>
      </c>
      <c r="F181" s="465" t="s">
        <v>153</v>
      </c>
      <c r="G181" s="466" t="s">
        <v>103</v>
      </c>
      <c r="H181" s="803">
        <f>'прил12(ведом 19)'!M545</f>
        <v>2114.5</v>
      </c>
    </row>
    <row r="182" spans="1:8" ht="37.5" x14ac:dyDescent="0.3">
      <c r="A182" s="789"/>
      <c r="B182" s="802" t="s">
        <v>108</v>
      </c>
      <c r="C182" s="463" t="s">
        <v>121</v>
      </c>
      <c r="D182" s="464" t="s">
        <v>98</v>
      </c>
      <c r="E182" s="464" t="s">
        <v>90</v>
      </c>
      <c r="F182" s="465" t="s">
        <v>153</v>
      </c>
      <c r="G182" s="466" t="s">
        <v>109</v>
      </c>
      <c r="H182" s="803">
        <f>'прил12(ведом 19)'!M546</f>
        <v>27.4</v>
      </c>
    </row>
    <row r="183" spans="1:8" ht="37.5" x14ac:dyDescent="0.3">
      <c r="A183" s="789"/>
      <c r="B183" s="802" t="s">
        <v>396</v>
      </c>
      <c r="C183" s="463" t="s">
        <v>121</v>
      </c>
      <c r="D183" s="464" t="s">
        <v>98</v>
      </c>
      <c r="E183" s="464" t="s">
        <v>90</v>
      </c>
      <c r="F183" s="465" t="s">
        <v>397</v>
      </c>
      <c r="G183" s="466"/>
      <c r="H183" s="803">
        <f>H184</f>
        <v>564.79999999999995</v>
      </c>
    </row>
    <row r="184" spans="1:8" ht="37.5" x14ac:dyDescent="0.3">
      <c r="A184" s="789"/>
      <c r="B184" s="802" t="s">
        <v>108</v>
      </c>
      <c r="C184" s="463" t="s">
        <v>121</v>
      </c>
      <c r="D184" s="464" t="s">
        <v>98</v>
      </c>
      <c r="E184" s="464" t="s">
        <v>90</v>
      </c>
      <c r="F184" s="465" t="s">
        <v>397</v>
      </c>
      <c r="G184" s="466" t="s">
        <v>109</v>
      </c>
      <c r="H184" s="803">
        <f>'прил12(ведом 19)'!M548</f>
        <v>564.79999999999995</v>
      </c>
    </row>
    <row r="185" spans="1:8" s="801" customFormat="1" ht="37.5" x14ac:dyDescent="0.3">
      <c r="A185" s="789"/>
      <c r="B185" s="802" t="s">
        <v>300</v>
      </c>
      <c r="C185" s="463" t="s">
        <v>121</v>
      </c>
      <c r="D185" s="464" t="s">
        <v>150</v>
      </c>
      <c r="E185" s="464" t="s">
        <v>96</v>
      </c>
      <c r="F185" s="465" t="s">
        <v>97</v>
      </c>
      <c r="G185" s="466"/>
      <c r="H185" s="803">
        <f>H186</f>
        <v>2873.5</v>
      </c>
    </row>
    <row r="186" spans="1:8" s="801" customFormat="1" ht="37.5" x14ac:dyDescent="0.3">
      <c r="A186" s="789"/>
      <c r="B186" s="802" t="s">
        <v>389</v>
      </c>
      <c r="C186" s="463" t="s">
        <v>121</v>
      </c>
      <c r="D186" s="464" t="s">
        <v>150</v>
      </c>
      <c r="E186" s="464" t="s">
        <v>90</v>
      </c>
      <c r="F186" s="465" t="s">
        <v>97</v>
      </c>
      <c r="G186" s="466"/>
      <c r="H186" s="803">
        <f>H187</f>
        <v>2873.5</v>
      </c>
    </row>
    <row r="187" spans="1:8" s="801" customFormat="1" ht="37.5" x14ac:dyDescent="0.3">
      <c r="A187" s="789"/>
      <c r="B187" s="802" t="s">
        <v>100</v>
      </c>
      <c r="C187" s="463" t="s">
        <v>121</v>
      </c>
      <c r="D187" s="464" t="s">
        <v>150</v>
      </c>
      <c r="E187" s="464" t="s">
        <v>90</v>
      </c>
      <c r="F187" s="465" t="s">
        <v>101</v>
      </c>
      <c r="G187" s="466"/>
      <c r="H187" s="803">
        <f>SUM(H188:H190)</f>
        <v>2873.5</v>
      </c>
    </row>
    <row r="188" spans="1:8" s="801" customFormat="1" ht="93.75" x14ac:dyDescent="0.3">
      <c r="A188" s="789"/>
      <c r="B188" s="802" t="s">
        <v>102</v>
      </c>
      <c r="C188" s="463" t="s">
        <v>121</v>
      </c>
      <c r="D188" s="464" t="s">
        <v>150</v>
      </c>
      <c r="E188" s="464" t="s">
        <v>90</v>
      </c>
      <c r="F188" s="465" t="s">
        <v>101</v>
      </c>
      <c r="G188" s="466" t="s">
        <v>103</v>
      </c>
      <c r="H188" s="803">
        <f>'прил12(ведом 19)'!M554</f>
        <v>2534.1</v>
      </c>
    </row>
    <row r="189" spans="1:8" ht="37.5" x14ac:dyDescent="0.3">
      <c r="A189" s="789"/>
      <c r="B189" s="802" t="s">
        <v>108</v>
      </c>
      <c r="C189" s="463" t="s">
        <v>121</v>
      </c>
      <c r="D189" s="464" t="s">
        <v>150</v>
      </c>
      <c r="E189" s="464" t="s">
        <v>90</v>
      </c>
      <c r="F189" s="465" t="s">
        <v>101</v>
      </c>
      <c r="G189" s="466" t="s">
        <v>109</v>
      </c>
      <c r="H189" s="803">
        <f>'прил12(ведом 19)'!M555</f>
        <v>335.8</v>
      </c>
    </row>
    <row r="190" spans="1:8" ht="18.75" x14ac:dyDescent="0.3">
      <c r="A190" s="789"/>
      <c r="B190" s="802" t="s">
        <v>110</v>
      </c>
      <c r="C190" s="463" t="s">
        <v>121</v>
      </c>
      <c r="D190" s="464" t="s">
        <v>150</v>
      </c>
      <c r="E190" s="464" t="s">
        <v>90</v>
      </c>
      <c r="F190" s="465" t="s">
        <v>101</v>
      </c>
      <c r="G190" s="466" t="s">
        <v>111</v>
      </c>
      <c r="H190" s="803">
        <f>'прил12(ведом 19)'!M556</f>
        <v>3.6</v>
      </c>
    </row>
    <row r="191" spans="1:8" ht="18.75" x14ac:dyDescent="0.3">
      <c r="A191" s="789"/>
      <c r="B191" s="806"/>
      <c r="C191" s="933"/>
      <c r="D191" s="933"/>
      <c r="E191" s="819"/>
      <c r="F191" s="820"/>
      <c r="G191" s="788"/>
      <c r="H191" s="803"/>
    </row>
    <row r="192" spans="1:8" s="801" customFormat="1" ht="56.25" x14ac:dyDescent="0.3">
      <c r="A192" s="807">
        <v>5</v>
      </c>
      <c r="B192" s="796" t="s">
        <v>140</v>
      </c>
      <c r="C192" s="808" t="s">
        <v>141</v>
      </c>
      <c r="D192" s="808" t="s">
        <v>95</v>
      </c>
      <c r="E192" s="808" t="s">
        <v>96</v>
      </c>
      <c r="F192" s="809" t="s">
        <v>97</v>
      </c>
      <c r="G192" s="799"/>
      <c r="H192" s="800">
        <f>H203+H193+H213</f>
        <v>11878.87068</v>
      </c>
    </row>
    <row r="193" spans="1:8" ht="56.25" x14ac:dyDescent="0.3">
      <c r="A193" s="789"/>
      <c r="B193" s="810" t="s">
        <v>142</v>
      </c>
      <c r="C193" s="463" t="s">
        <v>141</v>
      </c>
      <c r="D193" s="464" t="s">
        <v>98</v>
      </c>
      <c r="E193" s="464" t="s">
        <v>96</v>
      </c>
      <c r="F193" s="465" t="s">
        <v>97</v>
      </c>
      <c r="G193" s="788"/>
      <c r="H193" s="803">
        <f>H194</f>
        <v>4076.8166799999999</v>
      </c>
    </row>
    <row r="194" spans="1:8" ht="75" x14ac:dyDescent="0.3">
      <c r="A194" s="789"/>
      <c r="B194" s="802" t="s">
        <v>143</v>
      </c>
      <c r="C194" s="463" t="s">
        <v>141</v>
      </c>
      <c r="D194" s="464" t="s">
        <v>98</v>
      </c>
      <c r="E194" s="464" t="s">
        <v>90</v>
      </c>
      <c r="F194" s="465" t="s">
        <v>97</v>
      </c>
      <c r="G194" s="466"/>
      <c r="H194" s="803">
        <f>H195+H197+H199+H201</f>
        <v>4076.8166799999999</v>
      </c>
    </row>
    <row r="195" spans="1:8" ht="75" x14ac:dyDescent="0.3">
      <c r="A195" s="789"/>
      <c r="B195" s="810" t="s">
        <v>144</v>
      </c>
      <c r="C195" s="463" t="s">
        <v>141</v>
      </c>
      <c r="D195" s="464" t="s">
        <v>98</v>
      </c>
      <c r="E195" s="464" t="s">
        <v>90</v>
      </c>
      <c r="F195" s="465" t="s">
        <v>145</v>
      </c>
      <c r="G195" s="466"/>
      <c r="H195" s="803">
        <f>H196</f>
        <v>1352.01668</v>
      </c>
    </row>
    <row r="196" spans="1:8" ht="37.5" x14ac:dyDescent="0.3">
      <c r="A196" s="789"/>
      <c r="B196" s="802" t="s">
        <v>108</v>
      </c>
      <c r="C196" s="463" t="s">
        <v>141</v>
      </c>
      <c r="D196" s="464" t="s">
        <v>98</v>
      </c>
      <c r="E196" s="464" t="s">
        <v>90</v>
      </c>
      <c r="F196" s="465" t="s">
        <v>145</v>
      </c>
      <c r="G196" s="466" t="s">
        <v>109</v>
      </c>
      <c r="H196" s="803">
        <f>'прил12(ведом 19)'!M83</f>
        <v>1352.01668</v>
      </c>
    </row>
    <row r="197" spans="1:8" ht="56.25" x14ac:dyDescent="0.3">
      <c r="A197" s="789"/>
      <c r="B197" s="802" t="s">
        <v>146</v>
      </c>
      <c r="C197" s="463" t="s">
        <v>141</v>
      </c>
      <c r="D197" s="464" t="s">
        <v>98</v>
      </c>
      <c r="E197" s="464" t="s">
        <v>90</v>
      </c>
      <c r="F197" s="465" t="s">
        <v>147</v>
      </c>
      <c r="G197" s="466"/>
      <c r="H197" s="803">
        <f>H198</f>
        <v>63.9</v>
      </c>
    </row>
    <row r="198" spans="1:8" ht="37.5" x14ac:dyDescent="0.3">
      <c r="A198" s="789"/>
      <c r="B198" s="802" t="s">
        <v>108</v>
      </c>
      <c r="C198" s="463" t="s">
        <v>141</v>
      </c>
      <c r="D198" s="464" t="s">
        <v>98</v>
      </c>
      <c r="E198" s="464" t="s">
        <v>90</v>
      </c>
      <c r="F198" s="465" t="s">
        <v>147</v>
      </c>
      <c r="G198" s="466" t="s">
        <v>109</v>
      </c>
      <c r="H198" s="803">
        <f>'прил12(ведом 19)'!M85</f>
        <v>63.9</v>
      </c>
    </row>
    <row r="199" spans="1:8" ht="93.75" x14ac:dyDescent="0.3">
      <c r="A199" s="789"/>
      <c r="B199" s="802" t="s">
        <v>492</v>
      </c>
      <c r="C199" s="463" t="s">
        <v>141</v>
      </c>
      <c r="D199" s="464" t="s">
        <v>98</v>
      </c>
      <c r="E199" s="464" t="s">
        <v>90</v>
      </c>
      <c r="F199" s="465" t="s">
        <v>471</v>
      </c>
      <c r="G199" s="466"/>
      <c r="H199" s="803">
        <f>H200</f>
        <v>2643.1</v>
      </c>
    </row>
    <row r="200" spans="1:8" ht="18.75" x14ac:dyDescent="0.3">
      <c r="A200" s="789"/>
      <c r="B200" s="802" t="s">
        <v>186</v>
      </c>
      <c r="C200" s="463" t="s">
        <v>141</v>
      </c>
      <c r="D200" s="464" t="s">
        <v>98</v>
      </c>
      <c r="E200" s="464" t="s">
        <v>90</v>
      </c>
      <c r="F200" s="465" t="s">
        <v>471</v>
      </c>
      <c r="G200" s="466" t="s">
        <v>187</v>
      </c>
      <c r="H200" s="803">
        <f>'прил12(ведом 19)'!M87</f>
        <v>2643.1</v>
      </c>
    </row>
    <row r="201" spans="1:8" ht="112.5" x14ac:dyDescent="0.3">
      <c r="A201" s="789"/>
      <c r="B201" s="802" t="s">
        <v>495</v>
      </c>
      <c r="C201" s="463" t="s">
        <v>141</v>
      </c>
      <c r="D201" s="464" t="s">
        <v>98</v>
      </c>
      <c r="E201" s="464" t="s">
        <v>90</v>
      </c>
      <c r="F201" s="465" t="s">
        <v>472</v>
      </c>
      <c r="G201" s="466"/>
      <c r="H201" s="803">
        <f>H202</f>
        <v>17.800000000000004</v>
      </c>
    </row>
    <row r="202" spans="1:8" ht="18.75" x14ac:dyDescent="0.3">
      <c r="A202" s="789"/>
      <c r="B202" s="802" t="s">
        <v>186</v>
      </c>
      <c r="C202" s="463" t="s">
        <v>141</v>
      </c>
      <c r="D202" s="464" t="s">
        <v>98</v>
      </c>
      <c r="E202" s="464" t="s">
        <v>90</v>
      </c>
      <c r="F202" s="465" t="s">
        <v>472</v>
      </c>
      <c r="G202" s="466" t="s">
        <v>187</v>
      </c>
      <c r="H202" s="803">
        <f>'прил12(ведом 19)'!M89</f>
        <v>17.800000000000004</v>
      </c>
    </row>
    <row r="203" spans="1:8" ht="37.5" x14ac:dyDescent="0.3">
      <c r="A203" s="789"/>
      <c r="B203" s="824" t="s">
        <v>188</v>
      </c>
      <c r="C203" s="463" t="s">
        <v>141</v>
      </c>
      <c r="D203" s="464" t="s">
        <v>150</v>
      </c>
      <c r="E203" s="464" t="s">
        <v>96</v>
      </c>
      <c r="F203" s="465" t="s">
        <v>97</v>
      </c>
      <c r="G203" s="788"/>
      <c r="H203" s="803">
        <f>H204+H210</f>
        <v>515.6</v>
      </c>
    </row>
    <row r="204" spans="1:8" ht="37.5" x14ac:dyDescent="0.3">
      <c r="A204" s="789"/>
      <c r="B204" s="802" t="s">
        <v>377</v>
      </c>
      <c r="C204" s="463" t="s">
        <v>141</v>
      </c>
      <c r="D204" s="464" t="s">
        <v>150</v>
      </c>
      <c r="E204" s="464" t="s">
        <v>90</v>
      </c>
      <c r="F204" s="465" t="s">
        <v>97</v>
      </c>
      <c r="G204" s="466"/>
      <c r="H204" s="803">
        <f>H205+H208</f>
        <v>268.60000000000002</v>
      </c>
    </row>
    <row r="205" spans="1:8" ht="37.5" x14ac:dyDescent="0.3">
      <c r="A205" s="789"/>
      <c r="B205" s="802" t="s">
        <v>190</v>
      </c>
      <c r="C205" s="463" t="s">
        <v>141</v>
      </c>
      <c r="D205" s="464" t="s">
        <v>150</v>
      </c>
      <c r="E205" s="464" t="s">
        <v>90</v>
      </c>
      <c r="F205" s="465" t="s">
        <v>152</v>
      </c>
      <c r="G205" s="466"/>
      <c r="H205" s="803">
        <f>SUM(H206:H207)</f>
        <v>122.2</v>
      </c>
    </row>
    <row r="206" spans="1:8" ht="37.5" x14ac:dyDescent="0.3">
      <c r="A206" s="789"/>
      <c r="B206" s="802" t="s">
        <v>108</v>
      </c>
      <c r="C206" s="463" t="s">
        <v>141</v>
      </c>
      <c r="D206" s="464" t="s">
        <v>150</v>
      </c>
      <c r="E206" s="464" t="s">
        <v>90</v>
      </c>
      <c r="F206" s="465" t="s">
        <v>152</v>
      </c>
      <c r="G206" s="466" t="s">
        <v>109</v>
      </c>
      <c r="H206" s="803">
        <f>'прил12(ведом 19)'!M95+'прил12(ведом 19)'!M380</f>
        <v>53</v>
      </c>
    </row>
    <row r="207" spans="1:8" ht="56.25" x14ac:dyDescent="0.3">
      <c r="A207" s="789"/>
      <c r="B207" s="802" t="s">
        <v>135</v>
      </c>
      <c r="C207" s="463" t="s">
        <v>141</v>
      </c>
      <c r="D207" s="464" t="s">
        <v>150</v>
      </c>
      <c r="E207" s="464" t="s">
        <v>90</v>
      </c>
      <c r="F207" s="465" t="s">
        <v>152</v>
      </c>
      <c r="G207" s="466" t="s">
        <v>136</v>
      </c>
      <c r="H207" s="803">
        <f>'прил12(ведом 19)'!M381+'прил12(ведом 19)'!M334</f>
        <v>69.2</v>
      </c>
    </row>
    <row r="208" spans="1:8" ht="93.75" x14ac:dyDescent="0.3">
      <c r="A208" s="789"/>
      <c r="B208" s="824" t="s">
        <v>493</v>
      </c>
      <c r="C208" s="463" t="s">
        <v>141</v>
      </c>
      <c r="D208" s="464" t="s">
        <v>150</v>
      </c>
      <c r="E208" s="464" t="s">
        <v>90</v>
      </c>
      <c r="F208" s="465" t="s">
        <v>473</v>
      </c>
      <c r="G208" s="466"/>
      <c r="H208" s="803">
        <f>H209</f>
        <v>146.4</v>
      </c>
    </row>
    <row r="209" spans="1:8" ht="18.75" x14ac:dyDescent="0.3">
      <c r="A209" s="789"/>
      <c r="B209" s="824" t="s">
        <v>186</v>
      </c>
      <c r="C209" s="463" t="s">
        <v>141</v>
      </c>
      <c r="D209" s="464" t="s">
        <v>150</v>
      </c>
      <c r="E209" s="464" t="s">
        <v>90</v>
      </c>
      <c r="F209" s="465" t="s">
        <v>473</v>
      </c>
      <c r="G209" s="466" t="s">
        <v>187</v>
      </c>
      <c r="H209" s="803">
        <f>'прил12(ведом 19)'!M97</f>
        <v>146.4</v>
      </c>
    </row>
    <row r="210" spans="1:8" ht="56.25" x14ac:dyDescent="0.3">
      <c r="A210" s="789"/>
      <c r="B210" s="811" t="s">
        <v>189</v>
      </c>
      <c r="C210" s="463" t="s">
        <v>141</v>
      </c>
      <c r="D210" s="464" t="s">
        <v>150</v>
      </c>
      <c r="E210" s="464" t="s">
        <v>92</v>
      </c>
      <c r="F210" s="465" t="s">
        <v>97</v>
      </c>
      <c r="G210" s="466"/>
      <c r="H210" s="803">
        <f>H211</f>
        <v>247</v>
      </c>
    </row>
    <row r="211" spans="1:8" ht="37.5" x14ac:dyDescent="0.3">
      <c r="A211" s="789"/>
      <c r="B211" s="811" t="s">
        <v>190</v>
      </c>
      <c r="C211" s="463" t="s">
        <v>141</v>
      </c>
      <c r="D211" s="464" t="s">
        <v>150</v>
      </c>
      <c r="E211" s="464" t="s">
        <v>92</v>
      </c>
      <c r="F211" s="465" t="s">
        <v>152</v>
      </c>
      <c r="G211" s="466"/>
      <c r="H211" s="803">
        <f>H212</f>
        <v>247</v>
      </c>
    </row>
    <row r="212" spans="1:8" ht="37.5" x14ac:dyDescent="0.3">
      <c r="A212" s="789"/>
      <c r="B212" s="802" t="s">
        <v>108</v>
      </c>
      <c r="C212" s="463" t="s">
        <v>141</v>
      </c>
      <c r="D212" s="464" t="s">
        <v>150</v>
      </c>
      <c r="E212" s="464" t="s">
        <v>92</v>
      </c>
      <c r="F212" s="465" t="s">
        <v>152</v>
      </c>
      <c r="G212" s="466" t="s">
        <v>109</v>
      </c>
      <c r="H212" s="803">
        <f>'прил12(ведом 19)'!M100</f>
        <v>247</v>
      </c>
    </row>
    <row r="213" spans="1:8" ht="56.25" x14ac:dyDescent="0.3">
      <c r="A213" s="789"/>
      <c r="B213" s="825" t="s">
        <v>563</v>
      </c>
      <c r="C213" s="463" t="s">
        <v>141</v>
      </c>
      <c r="D213" s="464" t="s">
        <v>83</v>
      </c>
      <c r="E213" s="464" t="s">
        <v>96</v>
      </c>
      <c r="F213" s="465" t="s">
        <v>97</v>
      </c>
      <c r="G213" s="466"/>
      <c r="H213" s="803">
        <f>H214</f>
        <v>7286.4539999999997</v>
      </c>
    </row>
    <row r="214" spans="1:8" ht="75" x14ac:dyDescent="0.3">
      <c r="A214" s="789"/>
      <c r="B214" s="811" t="s">
        <v>464</v>
      </c>
      <c r="C214" s="463" t="s">
        <v>141</v>
      </c>
      <c r="D214" s="464" t="s">
        <v>83</v>
      </c>
      <c r="E214" s="464" t="s">
        <v>90</v>
      </c>
      <c r="F214" s="465" t="s">
        <v>97</v>
      </c>
      <c r="G214" s="466"/>
      <c r="H214" s="803">
        <f>H215</f>
        <v>7286.4539999999997</v>
      </c>
    </row>
    <row r="215" spans="1:8" ht="75" x14ac:dyDescent="0.3">
      <c r="A215" s="789"/>
      <c r="B215" s="811" t="s">
        <v>151</v>
      </c>
      <c r="C215" s="463" t="s">
        <v>141</v>
      </c>
      <c r="D215" s="464" t="s">
        <v>83</v>
      </c>
      <c r="E215" s="464" t="s">
        <v>90</v>
      </c>
      <c r="F215" s="465" t="s">
        <v>153</v>
      </c>
      <c r="G215" s="466"/>
      <c r="H215" s="803">
        <f>SUM(H216:H218)</f>
        <v>7286.4539999999997</v>
      </c>
    </row>
    <row r="216" spans="1:8" s="801" customFormat="1" ht="93.75" x14ac:dyDescent="0.3">
      <c r="A216" s="789"/>
      <c r="B216" s="802" t="s">
        <v>102</v>
      </c>
      <c r="C216" s="463" t="s">
        <v>141</v>
      </c>
      <c r="D216" s="464" t="s">
        <v>83</v>
      </c>
      <c r="E216" s="464" t="s">
        <v>90</v>
      </c>
      <c r="F216" s="465" t="s">
        <v>153</v>
      </c>
      <c r="G216" s="466" t="s">
        <v>103</v>
      </c>
      <c r="H216" s="803">
        <f>'прил12(ведом 19)'!M104</f>
        <v>6116.6</v>
      </c>
    </row>
    <row r="217" spans="1:8" ht="37.5" x14ac:dyDescent="0.3">
      <c r="A217" s="789"/>
      <c r="B217" s="802" t="s">
        <v>108</v>
      </c>
      <c r="C217" s="463" t="s">
        <v>141</v>
      </c>
      <c r="D217" s="464" t="s">
        <v>83</v>
      </c>
      <c r="E217" s="464" t="s">
        <v>90</v>
      </c>
      <c r="F217" s="465" t="s">
        <v>153</v>
      </c>
      <c r="G217" s="466" t="s">
        <v>109</v>
      </c>
      <c r="H217" s="803">
        <f>'прил12(ведом 19)'!M105</f>
        <v>1132.454</v>
      </c>
    </row>
    <row r="218" spans="1:8" s="801" customFormat="1" ht="18.75" x14ac:dyDescent="0.3">
      <c r="A218" s="789"/>
      <c r="B218" s="802" t="s">
        <v>110</v>
      </c>
      <c r="C218" s="463" t="s">
        <v>141</v>
      </c>
      <c r="D218" s="464" t="s">
        <v>83</v>
      </c>
      <c r="E218" s="464" t="s">
        <v>90</v>
      </c>
      <c r="F218" s="465" t="s">
        <v>153</v>
      </c>
      <c r="G218" s="466" t="s">
        <v>111</v>
      </c>
      <c r="H218" s="803">
        <f>'прил12(ведом 19)'!M106</f>
        <v>37.4</v>
      </c>
    </row>
    <row r="219" spans="1:8" ht="18.75" x14ac:dyDescent="0.3">
      <c r="A219" s="826"/>
      <c r="B219" s="804"/>
      <c r="C219" s="768"/>
      <c r="D219" s="933"/>
      <c r="E219" s="933"/>
      <c r="F219" s="934"/>
      <c r="G219" s="788"/>
      <c r="H219" s="803"/>
    </row>
    <row r="220" spans="1:8" s="801" customFormat="1" ht="56.25" x14ac:dyDescent="0.3">
      <c r="A220" s="807">
        <v>6</v>
      </c>
      <c r="B220" s="821" t="s">
        <v>303</v>
      </c>
      <c r="C220" s="797" t="s">
        <v>304</v>
      </c>
      <c r="D220" s="797" t="s">
        <v>95</v>
      </c>
      <c r="E220" s="797" t="s">
        <v>96</v>
      </c>
      <c r="F220" s="798" t="s">
        <v>97</v>
      </c>
      <c r="G220" s="799"/>
      <c r="H220" s="800">
        <f>H221</f>
        <v>30541.599999999999</v>
      </c>
    </row>
    <row r="221" spans="1:8" ht="37.5" x14ac:dyDescent="0.3">
      <c r="A221" s="789"/>
      <c r="B221" s="802" t="s">
        <v>491</v>
      </c>
      <c r="C221" s="764" t="s">
        <v>304</v>
      </c>
      <c r="D221" s="765" t="s">
        <v>98</v>
      </c>
      <c r="E221" s="464" t="s">
        <v>96</v>
      </c>
      <c r="F221" s="465" t="s">
        <v>97</v>
      </c>
      <c r="G221" s="466"/>
      <c r="H221" s="803">
        <f>H222+H227+H230+H233</f>
        <v>30541.599999999999</v>
      </c>
    </row>
    <row r="222" spans="1:8" ht="56.25" x14ac:dyDescent="0.3">
      <c r="A222" s="789"/>
      <c r="B222" s="802" t="s">
        <v>426</v>
      </c>
      <c r="C222" s="764" t="s">
        <v>304</v>
      </c>
      <c r="D222" s="765" t="s">
        <v>98</v>
      </c>
      <c r="E222" s="464" t="s">
        <v>90</v>
      </c>
      <c r="F222" s="465" t="s">
        <v>97</v>
      </c>
      <c r="G222" s="466"/>
      <c r="H222" s="803">
        <f>H223</f>
        <v>23422.399999999998</v>
      </c>
    </row>
    <row r="223" spans="1:8" ht="37.5" x14ac:dyDescent="0.3">
      <c r="A223" s="789"/>
      <c r="B223" s="802" t="s">
        <v>100</v>
      </c>
      <c r="C223" s="764" t="s">
        <v>304</v>
      </c>
      <c r="D223" s="765" t="s">
        <v>98</v>
      </c>
      <c r="E223" s="464" t="s">
        <v>90</v>
      </c>
      <c r="F223" s="465" t="s">
        <v>101</v>
      </c>
      <c r="G223" s="466"/>
      <c r="H223" s="803">
        <f>SUM(H224:H226)</f>
        <v>23422.399999999998</v>
      </c>
    </row>
    <row r="224" spans="1:8" ht="93.75" x14ac:dyDescent="0.3">
      <c r="A224" s="789"/>
      <c r="B224" s="802" t="s">
        <v>102</v>
      </c>
      <c r="C224" s="764" t="s">
        <v>304</v>
      </c>
      <c r="D224" s="765" t="s">
        <v>98</v>
      </c>
      <c r="E224" s="464" t="s">
        <v>90</v>
      </c>
      <c r="F224" s="465" t="s">
        <v>101</v>
      </c>
      <c r="G224" s="466" t="s">
        <v>103</v>
      </c>
      <c r="H224" s="803">
        <f>'прил12(ведом 19)'!M195</f>
        <v>22495.7</v>
      </c>
    </row>
    <row r="225" spans="1:8" ht="37.5" x14ac:dyDescent="0.3">
      <c r="A225" s="789"/>
      <c r="B225" s="802" t="s">
        <v>108</v>
      </c>
      <c r="C225" s="764" t="s">
        <v>304</v>
      </c>
      <c r="D225" s="765" t="s">
        <v>98</v>
      </c>
      <c r="E225" s="464" t="s">
        <v>90</v>
      </c>
      <c r="F225" s="465" t="s">
        <v>101</v>
      </c>
      <c r="G225" s="466" t="s">
        <v>109</v>
      </c>
      <c r="H225" s="803">
        <f>'прил12(ведом 19)'!M196</f>
        <v>921.6</v>
      </c>
    </row>
    <row r="226" spans="1:8" ht="18.75" x14ac:dyDescent="0.3">
      <c r="A226" s="789"/>
      <c r="B226" s="802" t="s">
        <v>110</v>
      </c>
      <c r="C226" s="764" t="s">
        <v>304</v>
      </c>
      <c r="D226" s="765" t="s">
        <v>98</v>
      </c>
      <c r="E226" s="464" t="s">
        <v>90</v>
      </c>
      <c r="F226" s="465" t="s">
        <v>101</v>
      </c>
      <c r="G226" s="466" t="s">
        <v>111</v>
      </c>
      <c r="H226" s="803">
        <f>'прил12(ведом 19)'!M197</f>
        <v>5.0999999999999996</v>
      </c>
    </row>
    <row r="227" spans="1:8" ht="37.5" x14ac:dyDescent="0.3">
      <c r="A227" s="789"/>
      <c r="B227" s="802" t="s">
        <v>427</v>
      </c>
      <c r="C227" s="764" t="s">
        <v>304</v>
      </c>
      <c r="D227" s="765" t="s">
        <v>98</v>
      </c>
      <c r="E227" s="464" t="s">
        <v>92</v>
      </c>
      <c r="F227" s="465" t="s">
        <v>97</v>
      </c>
      <c r="G227" s="466"/>
      <c r="H227" s="803">
        <f>H228</f>
        <v>5000</v>
      </c>
    </row>
    <row r="228" spans="1:8" ht="37.5" x14ac:dyDescent="0.3">
      <c r="A228" s="789"/>
      <c r="B228" s="763" t="s">
        <v>363</v>
      </c>
      <c r="C228" s="764" t="s">
        <v>304</v>
      </c>
      <c r="D228" s="765" t="s">
        <v>98</v>
      </c>
      <c r="E228" s="464" t="s">
        <v>92</v>
      </c>
      <c r="F228" s="465" t="s">
        <v>810</v>
      </c>
      <c r="G228" s="466"/>
      <c r="H228" s="803">
        <f>H229</f>
        <v>5000</v>
      </c>
    </row>
    <row r="229" spans="1:8" ht="18.75" x14ac:dyDescent="0.3">
      <c r="A229" s="789"/>
      <c r="B229" s="763" t="s">
        <v>186</v>
      </c>
      <c r="C229" s="764" t="s">
        <v>304</v>
      </c>
      <c r="D229" s="765" t="s">
        <v>98</v>
      </c>
      <c r="E229" s="464" t="s">
        <v>92</v>
      </c>
      <c r="F229" s="465" t="s">
        <v>810</v>
      </c>
      <c r="G229" s="466" t="s">
        <v>187</v>
      </c>
      <c r="H229" s="803">
        <f>'прил12(ведом 19)'!M213</f>
        <v>5000</v>
      </c>
    </row>
    <row r="230" spans="1:8" ht="37.5" x14ac:dyDescent="0.3">
      <c r="A230" s="789"/>
      <c r="B230" s="802" t="s">
        <v>521</v>
      </c>
      <c r="C230" s="764" t="s">
        <v>304</v>
      </c>
      <c r="D230" s="765" t="s">
        <v>98</v>
      </c>
      <c r="E230" s="464" t="s">
        <v>119</v>
      </c>
      <c r="F230" s="465" t="s">
        <v>97</v>
      </c>
      <c r="G230" s="466"/>
      <c r="H230" s="803">
        <f>H231</f>
        <v>1925.9</v>
      </c>
    </row>
    <row r="231" spans="1:8" ht="56.25" x14ac:dyDescent="0.3">
      <c r="A231" s="789"/>
      <c r="B231" s="802" t="s">
        <v>522</v>
      </c>
      <c r="C231" s="764" t="s">
        <v>304</v>
      </c>
      <c r="D231" s="765" t="s">
        <v>98</v>
      </c>
      <c r="E231" s="464" t="s">
        <v>119</v>
      </c>
      <c r="F231" s="465" t="s">
        <v>168</v>
      </c>
      <c r="G231" s="466"/>
      <c r="H231" s="803">
        <f>H232</f>
        <v>1925.9</v>
      </c>
    </row>
    <row r="232" spans="1:8" ht="37.5" x14ac:dyDescent="0.3">
      <c r="A232" s="789"/>
      <c r="B232" s="802" t="s">
        <v>108</v>
      </c>
      <c r="C232" s="764" t="s">
        <v>304</v>
      </c>
      <c r="D232" s="765" t="s">
        <v>98</v>
      </c>
      <c r="E232" s="464" t="s">
        <v>119</v>
      </c>
      <c r="F232" s="465" t="s">
        <v>168</v>
      </c>
      <c r="G232" s="466" t="s">
        <v>109</v>
      </c>
      <c r="H232" s="803">
        <f>'прил12(ведом 19)'!M206</f>
        <v>1925.9</v>
      </c>
    </row>
    <row r="233" spans="1:8" ht="56.25" x14ac:dyDescent="0.3">
      <c r="A233" s="789"/>
      <c r="B233" s="763" t="s">
        <v>465</v>
      </c>
      <c r="C233" s="764" t="s">
        <v>304</v>
      </c>
      <c r="D233" s="765" t="s">
        <v>98</v>
      </c>
      <c r="E233" s="464" t="s">
        <v>105</v>
      </c>
      <c r="F233" s="465" t="s">
        <v>97</v>
      </c>
      <c r="G233" s="466"/>
      <c r="H233" s="803">
        <f>H234</f>
        <v>193.3</v>
      </c>
    </row>
    <row r="234" spans="1:8" ht="37.5" x14ac:dyDescent="0.3">
      <c r="A234" s="789"/>
      <c r="B234" s="763" t="s">
        <v>576</v>
      </c>
      <c r="C234" s="764" t="s">
        <v>304</v>
      </c>
      <c r="D234" s="765" t="s">
        <v>98</v>
      </c>
      <c r="E234" s="464" t="s">
        <v>105</v>
      </c>
      <c r="F234" s="465" t="s">
        <v>575</v>
      </c>
      <c r="G234" s="466"/>
      <c r="H234" s="803">
        <f>H235</f>
        <v>193.3</v>
      </c>
    </row>
    <row r="235" spans="1:8" ht="37.5" x14ac:dyDescent="0.3">
      <c r="A235" s="789"/>
      <c r="B235" s="763" t="s">
        <v>108</v>
      </c>
      <c r="C235" s="764" t="s">
        <v>304</v>
      </c>
      <c r="D235" s="765" t="s">
        <v>98</v>
      </c>
      <c r="E235" s="464" t="s">
        <v>105</v>
      </c>
      <c r="F235" s="465" t="s">
        <v>575</v>
      </c>
      <c r="G235" s="466" t="s">
        <v>109</v>
      </c>
      <c r="H235" s="803">
        <f>'прил12(ведом 19)'!M200</f>
        <v>193.3</v>
      </c>
    </row>
    <row r="236" spans="1:8" ht="18.75" x14ac:dyDescent="0.3">
      <c r="A236" s="789"/>
      <c r="B236" s="802"/>
      <c r="C236" s="765"/>
      <c r="D236" s="765"/>
      <c r="E236" s="765"/>
      <c r="F236" s="827"/>
      <c r="G236" s="466"/>
      <c r="H236" s="803"/>
    </row>
    <row r="237" spans="1:8" s="801" customFormat="1" ht="56.25" x14ac:dyDescent="0.3">
      <c r="A237" s="795">
        <v>7</v>
      </c>
      <c r="B237" s="828" t="s">
        <v>305</v>
      </c>
      <c r="C237" s="829" t="s">
        <v>306</v>
      </c>
      <c r="D237" s="808" t="s">
        <v>95</v>
      </c>
      <c r="E237" s="808" t="s">
        <v>96</v>
      </c>
      <c r="F237" s="809" t="s">
        <v>97</v>
      </c>
      <c r="G237" s="830"/>
      <c r="H237" s="800">
        <f>H238+H247+H265</f>
        <v>32467.100000000006</v>
      </c>
    </row>
    <row r="238" spans="1:8" ht="37.5" x14ac:dyDescent="0.3">
      <c r="A238" s="826"/>
      <c r="B238" s="831" t="s">
        <v>307</v>
      </c>
      <c r="C238" s="832" t="s">
        <v>306</v>
      </c>
      <c r="D238" s="833" t="s">
        <v>98</v>
      </c>
      <c r="E238" s="833" t="s">
        <v>96</v>
      </c>
      <c r="F238" s="834" t="s">
        <v>97</v>
      </c>
      <c r="G238" s="835"/>
      <c r="H238" s="803">
        <f>H239+H244</f>
        <v>5213.2</v>
      </c>
    </row>
    <row r="239" spans="1:8" ht="93.75" x14ac:dyDescent="0.3">
      <c r="A239" s="826"/>
      <c r="B239" s="831" t="s">
        <v>418</v>
      </c>
      <c r="C239" s="767" t="s">
        <v>306</v>
      </c>
      <c r="D239" s="768" t="s">
        <v>98</v>
      </c>
      <c r="E239" s="768" t="s">
        <v>90</v>
      </c>
      <c r="F239" s="769" t="s">
        <v>97</v>
      </c>
      <c r="G239" s="770"/>
      <c r="H239" s="803">
        <f>H240+H242</f>
        <v>2771.5</v>
      </c>
    </row>
    <row r="240" spans="1:8" ht="56.25" x14ac:dyDescent="0.3">
      <c r="A240" s="826"/>
      <c r="B240" s="831" t="s">
        <v>308</v>
      </c>
      <c r="C240" s="767" t="s">
        <v>306</v>
      </c>
      <c r="D240" s="768" t="s">
        <v>98</v>
      </c>
      <c r="E240" s="768" t="s">
        <v>90</v>
      </c>
      <c r="F240" s="769" t="s">
        <v>419</v>
      </c>
      <c r="G240" s="770"/>
      <c r="H240" s="803">
        <f>H241</f>
        <v>334.2</v>
      </c>
    </row>
    <row r="241" spans="1:8" ht="37.5" x14ac:dyDescent="0.3">
      <c r="A241" s="826"/>
      <c r="B241" s="802" t="s">
        <v>108</v>
      </c>
      <c r="C241" s="767" t="s">
        <v>306</v>
      </c>
      <c r="D241" s="768" t="s">
        <v>98</v>
      </c>
      <c r="E241" s="768" t="s">
        <v>90</v>
      </c>
      <c r="F241" s="769" t="s">
        <v>419</v>
      </c>
      <c r="G241" s="770" t="s">
        <v>109</v>
      </c>
      <c r="H241" s="803">
        <f>'прил12(ведом 19)'!M239</f>
        <v>334.2</v>
      </c>
    </row>
    <row r="242" spans="1:8" ht="37.5" x14ac:dyDescent="0.3">
      <c r="A242" s="826"/>
      <c r="B242" s="766" t="s">
        <v>571</v>
      </c>
      <c r="C242" s="814" t="s">
        <v>306</v>
      </c>
      <c r="D242" s="768" t="s">
        <v>98</v>
      </c>
      <c r="E242" s="768" t="s">
        <v>90</v>
      </c>
      <c r="F242" s="769" t="s">
        <v>570</v>
      </c>
      <c r="G242" s="770"/>
      <c r="H242" s="803">
        <f>H243</f>
        <v>2437.3000000000002</v>
      </c>
    </row>
    <row r="243" spans="1:8" ht="37.5" x14ac:dyDescent="0.3">
      <c r="A243" s="826"/>
      <c r="B243" s="763" t="s">
        <v>108</v>
      </c>
      <c r="C243" s="814" t="s">
        <v>306</v>
      </c>
      <c r="D243" s="768" t="s">
        <v>98</v>
      </c>
      <c r="E243" s="768" t="s">
        <v>90</v>
      </c>
      <c r="F243" s="769" t="s">
        <v>570</v>
      </c>
      <c r="G243" s="770" t="s">
        <v>109</v>
      </c>
      <c r="H243" s="803">
        <f>'прил12(ведом 19)'!M278</f>
        <v>2437.3000000000002</v>
      </c>
    </row>
    <row r="244" spans="1:8" ht="37.5" x14ac:dyDescent="0.3">
      <c r="A244" s="826"/>
      <c r="B244" s="802" t="s">
        <v>490</v>
      </c>
      <c r="C244" s="767" t="s">
        <v>306</v>
      </c>
      <c r="D244" s="768" t="s">
        <v>98</v>
      </c>
      <c r="E244" s="768" t="s">
        <v>92</v>
      </c>
      <c r="F244" s="769" t="s">
        <v>97</v>
      </c>
      <c r="G244" s="770"/>
      <c r="H244" s="803">
        <f>H245</f>
        <v>2441.6999999999998</v>
      </c>
    </row>
    <row r="245" spans="1:8" ht="37.5" x14ac:dyDescent="0.3">
      <c r="A245" s="826"/>
      <c r="B245" s="802" t="s">
        <v>489</v>
      </c>
      <c r="C245" s="767" t="s">
        <v>306</v>
      </c>
      <c r="D245" s="768" t="s">
        <v>98</v>
      </c>
      <c r="E245" s="768" t="s">
        <v>92</v>
      </c>
      <c r="F245" s="769" t="s">
        <v>488</v>
      </c>
      <c r="G245" s="770"/>
      <c r="H245" s="803">
        <f>SUM(H246:H246)</f>
        <v>2441.6999999999998</v>
      </c>
    </row>
    <row r="246" spans="1:8" ht="37.5" x14ac:dyDescent="0.3">
      <c r="A246" s="826"/>
      <c r="B246" s="802" t="s">
        <v>108</v>
      </c>
      <c r="C246" s="767" t="s">
        <v>306</v>
      </c>
      <c r="D246" s="768" t="s">
        <v>98</v>
      </c>
      <c r="E246" s="768" t="s">
        <v>92</v>
      </c>
      <c r="F246" s="769" t="s">
        <v>488</v>
      </c>
      <c r="G246" s="770" t="s">
        <v>109</v>
      </c>
      <c r="H246" s="803">
        <f>'прил12(ведом 19)'!M242</f>
        <v>2441.6999999999998</v>
      </c>
    </row>
    <row r="247" spans="1:8" ht="37.5" x14ac:dyDescent="0.3">
      <c r="A247" s="826"/>
      <c r="B247" s="831" t="s">
        <v>309</v>
      </c>
      <c r="C247" s="814" t="s">
        <v>306</v>
      </c>
      <c r="D247" s="768" t="s">
        <v>150</v>
      </c>
      <c r="E247" s="768" t="s">
        <v>96</v>
      </c>
      <c r="F247" s="769" t="s">
        <v>97</v>
      </c>
      <c r="G247" s="770"/>
      <c r="H247" s="803">
        <f>H248+H259+H262</f>
        <v>16945.800000000003</v>
      </c>
    </row>
    <row r="248" spans="1:8" ht="75" x14ac:dyDescent="0.3">
      <c r="A248" s="826"/>
      <c r="B248" s="831" t="s">
        <v>424</v>
      </c>
      <c r="C248" s="814" t="s">
        <v>306</v>
      </c>
      <c r="D248" s="768" t="s">
        <v>150</v>
      </c>
      <c r="E248" s="768" t="s">
        <v>90</v>
      </c>
      <c r="F248" s="769" t="s">
        <v>97</v>
      </c>
      <c r="G248" s="770"/>
      <c r="H248" s="803">
        <f>H249+H253+H257</f>
        <v>16670.300000000003</v>
      </c>
    </row>
    <row r="249" spans="1:8" ht="37.5" x14ac:dyDescent="0.3">
      <c r="A249" s="826"/>
      <c r="B249" s="831" t="s">
        <v>100</v>
      </c>
      <c r="C249" s="836" t="s">
        <v>306</v>
      </c>
      <c r="D249" s="833" t="s">
        <v>150</v>
      </c>
      <c r="E249" s="833" t="s">
        <v>90</v>
      </c>
      <c r="F249" s="834" t="s">
        <v>101</v>
      </c>
      <c r="G249" s="770"/>
      <c r="H249" s="803">
        <f>SUM(H250:H252)</f>
        <v>12349.000000000002</v>
      </c>
    </row>
    <row r="250" spans="1:8" ht="93.75" x14ac:dyDescent="0.3">
      <c r="A250" s="826"/>
      <c r="B250" s="831" t="s">
        <v>102</v>
      </c>
      <c r="C250" s="814" t="s">
        <v>306</v>
      </c>
      <c r="D250" s="768" t="s">
        <v>150</v>
      </c>
      <c r="E250" s="768" t="s">
        <v>90</v>
      </c>
      <c r="F250" s="769" t="s">
        <v>101</v>
      </c>
      <c r="G250" s="770" t="s">
        <v>103</v>
      </c>
      <c r="H250" s="803">
        <f>'прил12(ведом 19)'!M246</f>
        <v>11789.1</v>
      </c>
    </row>
    <row r="251" spans="1:8" ht="37.5" x14ac:dyDescent="0.3">
      <c r="A251" s="826"/>
      <c r="B251" s="802" t="s">
        <v>108</v>
      </c>
      <c r="C251" s="814" t="s">
        <v>306</v>
      </c>
      <c r="D251" s="768" t="s">
        <v>150</v>
      </c>
      <c r="E251" s="768" t="s">
        <v>90</v>
      </c>
      <c r="F251" s="769" t="s">
        <v>101</v>
      </c>
      <c r="G251" s="770" t="s">
        <v>109</v>
      </c>
      <c r="H251" s="803">
        <f>'прил12(ведом 19)'!M247</f>
        <v>558.70000000000005</v>
      </c>
    </row>
    <row r="252" spans="1:8" ht="18.75" x14ac:dyDescent="0.3">
      <c r="A252" s="826"/>
      <c r="B252" s="831" t="s">
        <v>110</v>
      </c>
      <c r="C252" s="814" t="s">
        <v>306</v>
      </c>
      <c r="D252" s="768" t="s">
        <v>150</v>
      </c>
      <c r="E252" s="768" t="s">
        <v>90</v>
      </c>
      <c r="F252" s="769" t="s">
        <v>101</v>
      </c>
      <c r="G252" s="770" t="s">
        <v>111</v>
      </c>
      <c r="H252" s="803">
        <f>'прил12(ведом 19)'!M248</f>
        <v>1.2</v>
      </c>
    </row>
    <row r="253" spans="1:8" ht="75" x14ac:dyDescent="0.3">
      <c r="A253" s="826"/>
      <c r="B253" s="831" t="s">
        <v>151</v>
      </c>
      <c r="C253" s="814" t="s">
        <v>306</v>
      </c>
      <c r="D253" s="768" t="s">
        <v>150</v>
      </c>
      <c r="E253" s="768" t="s">
        <v>90</v>
      </c>
      <c r="F253" s="769" t="s">
        <v>153</v>
      </c>
      <c r="G253" s="770"/>
      <c r="H253" s="803">
        <f>SUM(H254:H256)</f>
        <v>4288.3999999999996</v>
      </c>
    </row>
    <row r="254" spans="1:8" ht="93.75" x14ac:dyDescent="0.3">
      <c r="A254" s="826"/>
      <c r="B254" s="831" t="s">
        <v>102</v>
      </c>
      <c r="C254" s="814" t="s">
        <v>306</v>
      </c>
      <c r="D254" s="768" t="s">
        <v>150</v>
      </c>
      <c r="E254" s="768" t="s">
        <v>90</v>
      </c>
      <c r="F254" s="769" t="s">
        <v>153</v>
      </c>
      <c r="G254" s="770" t="s">
        <v>103</v>
      </c>
      <c r="H254" s="803">
        <f>'прил12(ведом 19)'!M250</f>
        <v>4014.3</v>
      </c>
    </row>
    <row r="255" spans="1:8" ht="37.5" x14ac:dyDescent="0.3">
      <c r="A255" s="826"/>
      <c r="B255" s="802" t="s">
        <v>108</v>
      </c>
      <c r="C255" s="836" t="s">
        <v>306</v>
      </c>
      <c r="D255" s="833" t="s">
        <v>150</v>
      </c>
      <c r="E255" s="833" t="s">
        <v>90</v>
      </c>
      <c r="F255" s="834" t="s">
        <v>153</v>
      </c>
      <c r="G255" s="770" t="s">
        <v>109</v>
      </c>
      <c r="H255" s="803">
        <f>'прил12(ведом 19)'!M251</f>
        <v>246.7</v>
      </c>
    </row>
    <row r="256" spans="1:8" ht="18.75" x14ac:dyDescent="0.3">
      <c r="A256" s="826"/>
      <c r="B256" s="831" t="s">
        <v>110</v>
      </c>
      <c r="C256" s="814" t="s">
        <v>306</v>
      </c>
      <c r="D256" s="768" t="s">
        <v>150</v>
      </c>
      <c r="E256" s="768" t="s">
        <v>90</v>
      </c>
      <c r="F256" s="769" t="s">
        <v>153</v>
      </c>
      <c r="G256" s="770" t="s">
        <v>111</v>
      </c>
      <c r="H256" s="803">
        <f>'прил12(ведом 19)'!M252</f>
        <v>27.4</v>
      </c>
    </row>
    <row r="257" spans="1:8" ht="56.25" x14ac:dyDescent="0.3">
      <c r="A257" s="826"/>
      <c r="B257" s="763" t="s">
        <v>524</v>
      </c>
      <c r="C257" s="814" t="s">
        <v>306</v>
      </c>
      <c r="D257" s="768" t="s">
        <v>150</v>
      </c>
      <c r="E257" s="768" t="s">
        <v>90</v>
      </c>
      <c r="F257" s="769" t="s">
        <v>523</v>
      </c>
      <c r="G257" s="770"/>
      <c r="H257" s="803">
        <f>H258</f>
        <v>32.9</v>
      </c>
    </row>
    <row r="258" spans="1:8" ht="37.5" x14ac:dyDescent="0.3">
      <c r="A258" s="826"/>
      <c r="B258" s="763" t="s">
        <v>108</v>
      </c>
      <c r="C258" s="814" t="s">
        <v>306</v>
      </c>
      <c r="D258" s="768" t="s">
        <v>150</v>
      </c>
      <c r="E258" s="768" t="s">
        <v>90</v>
      </c>
      <c r="F258" s="837" t="s">
        <v>523</v>
      </c>
      <c r="G258" s="770" t="s">
        <v>109</v>
      </c>
      <c r="H258" s="803">
        <f>'прил12(ведом 19)'!M254</f>
        <v>32.9</v>
      </c>
    </row>
    <row r="259" spans="1:8" ht="37.5" x14ac:dyDescent="0.3">
      <c r="A259" s="826"/>
      <c r="B259" s="838" t="s">
        <v>521</v>
      </c>
      <c r="C259" s="839" t="s">
        <v>306</v>
      </c>
      <c r="D259" s="840" t="s">
        <v>150</v>
      </c>
      <c r="E259" s="840" t="s">
        <v>92</v>
      </c>
      <c r="F259" s="775" t="s">
        <v>97</v>
      </c>
      <c r="G259" s="773"/>
      <c r="H259" s="803">
        <f>H260</f>
        <v>207</v>
      </c>
    </row>
    <row r="260" spans="1:8" ht="56.25" x14ac:dyDescent="0.3">
      <c r="A260" s="826"/>
      <c r="B260" s="841" t="s">
        <v>522</v>
      </c>
      <c r="C260" s="839" t="s">
        <v>306</v>
      </c>
      <c r="D260" s="840" t="s">
        <v>150</v>
      </c>
      <c r="E260" s="840" t="s">
        <v>92</v>
      </c>
      <c r="F260" s="775" t="s">
        <v>168</v>
      </c>
      <c r="G260" s="776"/>
      <c r="H260" s="803">
        <f>H261</f>
        <v>207</v>
      </c>
    </row>
    <row r="261" spans="1:8" ht="37.5" x14ac:dyDescent="0.3">
      <c r="A261" s="826"/>
      <c r="B261" s="842" t="s">
        <v>108</v>
      </c>
      <c r="C261" s="843" t="s">
        <v>306</v>
      </c>
      <c r="D261" s="840" t="s">
        <v>150</v>
      </c>
      <c r="E261" s="840" t="s">
        <v>92</v>
      </c>
      <c r="F261" s="775" t="s">
        <v>168</v>
      </c>
      <c r="G261" s="776" t="s">
        <v>109</v>
      </c>
      <c r="H261" s="803">
        <f>'прил12(ведом 19)'!M257</f>
        <v>207</v>
      </c>
    </row>
    <row r="262" spans="1:8" ht="37.5" x14ac:dyDescent="0.3">
      <c r="A262" s="826"/>
      <c r="B262" s="831" t="s">
        <v>581</v>
      </c>
      <c r="C262" s="844" t="s">
        <v>306</v>
      </c>
      <c r="D262" s="845" t="s">
        <v>150</v>
      </c>
      <c r="E262" s="822" t="s">
        <v>119</v>
      </c>
      <c r="F262" s="846" t="s">
        <v>97</v>
      </c>
      <c r="G262" s="823"/>
      <c r="H262" s="803">
        <f>H263</f>
        <v>68.5</v>
      </c>
    </row>
    <row r="263" spans="1:8" ht="37.5" x14ac:dyDescent="0.3">
      <c r="A263" s="826"/>
      <c r="B263" s="831" t="s">
        <v>489</v>
      </c>
      <c r="C263" s="844" t="s">
        <v>306</v>
      </c>
      <c r="D263" s="845" t="s">
        <v>150</v>
      </c>
      <c r="E263" s="847" t="s">
        <v>119</v>
      </c>
      <c r="F263" s="848" t="s">
        <v>488</v>
      </c>
      <c r="G263" s="823"/>
      <c r="H263" s="803">
        <f>H264</f>
        <v>68.5</v>
      </c>
    </row>
    <row r="264" spans="1:8" ht="18.75" x14ac:dyDescent="0.3">
      <c r="A264" s="826"/>
      <c r="B264" s="766" t="s">
        <v>110</v>
      </c>
      <c r="C264" s="814" t="s">
        <v>306</v>
      </c>
      <c r="D264" s="822" t="s">
        <v>150</v>
      </c>
      <c r="E264" s="822" t="s">
        <v>119</v>
      </c>
      <c r="F264" s="846" t="s">
        <v>488</v>
      </c>
      <c r="G264" s="823" t="s">
        <v>111</v>
      </c>
      <c r="H264" s="803">
        <f>'прил12(ведом 19)'!M260</f>
        <v>68.5</v>
      </c>
    </row>
    <row r="265" spans="1:8" ht="37.5" x14ac:dyDescent="0.3">
      <c r="A265" s="826"/>
      <c r="B265" s="849" t="s">
        <v>491</v>
      </c>
      <c r="C265" s="814" t="s">
        <v>306</v>
      </c>
      <c r="D265" s="822" t="s">
        <v>83</v>
      </c>
      <c r="E265" s="822" t="s">
        <v>96</v>
      </c>
      <c r="F265" s="846" t="s">
        <v>97</v>
      </c>
      <c r="G265" s="823"/>
      <c r="H265" s="803">
        <f>H266+H269</f>
        <v>10308.1</v>
      </c>
    </row>
    <row r="266" spans="1:8" ht="56.25" x14ac:dyDescent="0.3">
      <c r="A266" s="826"/>
      <c r="B266" s="766" t="s">
        <v>811</v>
      </c>
      <c r="C266" s="767" t="s">
        <v>306</v>
      </c>
      <c r="D266" s="768" t="s">
        <v>83</v>
      </c>
      <c r="E266" s="768" t="s">
        <v>121</v>
      </c>
      <c r="F266" s="769" t="s">
        <v>97</v>
      </c>
      <c r="G266" s="770"/>
      <c r="H266" s="803">
        <f>H267</f>
        <v>8508.1</v>
      </c>
    </row>
    <row r="267" spans="1:8" ht="168.75" x14ac:dyDescent="0.3">
      <c r="A267" s="826"/>
      <c r="B267" s="771" t="s">
        <v>539</v>
      </c>
      <c r="C267" s="767" t="s">
        <v>306</v>
      </c>
      <c r="D267" s="768" t="s">
        <v>83</v>
      </c>
      <c r="E267" s="768" t="s">
        <v>121</v>
      </c>
      <c r="F267" s="772" t="s">
        <v>540</v>
      </c>
      <c r="G267" s="773"/>
      <c r="H267" s="803">
        <f>H268</f>
        <v>8508.1</v>
      </c>
    </row>
    <row r="268" spans="1:8" ht="37.5" x14ac:dyDescent="0.3">
      <c r="A268" s="826"/>
      <c r="B268" s="774" t="s">
        <v>282</v>
      </c>
      <c r="C268" s="767" t="s">
        <v>306</v>
      </c>
      <c r="D268" s="768" t="s">
        <v>83</v>
      </c>
      <c r="E268" s="768" t="s">
        <v>121</v>
      </c>
      <c r="F268" s="775" t="s">
        <v>540</v>
      </c>
      <c r="G268" s="776" t="s">
        <v>283</v>
      </c>
      <c r="H268" s="803">
        <f>'прил12(ведом 19)'!M299</f>
        <v>8508.1</v>
      </c>
    </row>
    <row r="269" spans="1:8" ht="37.5" x14ac:dyDescent="0.3">
      <c r="A269" s="826"/>
      <c r="B269" s="849" t="s">
        <v>829</v>
      </c>
      <c r="C269" s="767" t="s">
        <v>306</v>
      </c>
      <c r="D269" s="768" t="s">
        <v>83</v>
      </c>
      <c r="E269" s="768" t="s">
        <v>141</v>
      </c>
      <c r="F269" s="772" t="s">
        <v>97</v>
      </c>
      <c r="G269" s="773"/>
      <c r="H269" s="803">
        <f>H270</f>
        <v>1800</v>
      </c>
    </row>
    <row r="270" spans="1:8" ht="56.25" x14ac:dyDescent="0.3">
      <c r="A270" s="826"/>
      <c r="B270" s="849" t="s">
        <v>830</v>
      </c>
      <c r="C270" s="767" t="s">
        <v>306</v>
      </c>
      <c r="D270" s="768" t="s">
        <v>83</v>
      </c>
      <c r="E270" s="768" t="s">
        <v>141</v>
      </c>
      <c r="F270" s="772" t="s">
        <v>828</v>
      </c>
      <c r="G270" s="773"/>
      <c r="H270" s="803">
        <f>H271</f>
        <v>1800</v>
      </c>
    </row>
    <row r="271" spans="1:8" ht="37.5" x14ac:dyDescent="0.3">
      <c r="A271" s="826"/>
      <c r="B271" s="940" t="s">
        <v>108</v>
      </c>
      <c r="C271" s="767" t="s">
        <v>306</v>
      </c>
      <c r="D271" s="768" t="s">
        <v>83</v>
      </c>
      <c r="E271" s="768" t="s">
        <v>141</v>
      </c>
      <c r="F271" s="772" t="s">
        <v>828</v>
      </c>
      <c r="G271" s="773" t="s">
        <v>109</v>
      </c>
      <c r="H271" s="803">
        <f>'прил12(ведом 19)'!M264</f>
        <v>1800</v>
      </c>
    </row>
    <row r="272" spans="1:8" ht="18.75" x14ac:dyDescent="0.3">
      <c r="A272" s="826"/>
      <c r="B272" s="806"/>
      <c r="C272" s="768"/>
      <c r="D272" s="933"/>
      <c r="E272" s="933"/>
      <c r="F272" s="934"/>
      <c r="G272" s="788"/>
      <c r="H272" s="803"/>
    </row>
    <row r="273" spans="1:8" s="801" customFormat="1" ht="56.25" x14ac:dyDescent="0.3">
      <c r="A273" s="807">
        <v>8</v>
      </c>
      <c r="B273" s="828" t="s">
        <v>407</v>
      </c>
      <c r="C273" s="808" t="s">
        <v>139</v>
      </c>
      <c r="D273" s="808" t="s">
        <v>95</v>
      </c>
      <c r="E273" s="808" t="s">
        <v>96</v>
      </c>
      <c r="F273" s="809" t="s">
        <v>97</v>
      </c>
      <c r="G273" s="799"/>
      <c r="H273" s="800">
        <f>H274</f>
        <v>111127.8</v>
      </c>
    </row>
    <row r="274" spans="1:8" ht="37.5" x14ac:dyDescent="0.3">
      <c r="A274" s="789"/>
      <c r="B274" s="802" t="s">
        <v>491</v>
      </c>
      <c r="C274" s="767" t="s">
        <v>139</v>
      </c>
      <c r="D274" s="768" t="s">
        <v>98</v>
      </c>
      <c r="E274" s="768" t="s">
        <v>96</v>
      </c>
      <c r="F274" s="850" t="s">
        <v>97</v>
      </c>
      <c r="G274" s="788"/>
      <c r="H274" s="803">
        <f>H275+H290+H299+H309+H312</f>
        <v>111127.8</v>
      </c>
    </row>
    <row r="275" spans="1:8" ht="37.5" x14ac:dyDescent="0.3">
      <c r="A275" s="789"/>
      <c r="B275" s="802" t="s">
        <v>392</v>
      </c>
      <c r="C275" s="463" t="s">
        <v>139</v>
      </c>
      <c r="D275" s="464" t="s">
        <v>98</v>
      </c>
      <c r="E275" s="464" t="s">
        <v>90</v>
      </c>
      <c r="F275" s="465" t="s">
        <v>97</v>
      </c>
      <c r="G275" s="788"/>
      <c r="H275" s="803">
        <f>H276+H279+H282+H285+H288</f>
        <v>60150.8</v>
      </c>
    </row>
    <row r="276" spans="1:8" ht="131.25" x14ac:dyDescent="0.3">
      <c r="A276" s="789"/>
      <c r="B276" s="851" t="s">
        <v>535</v>
      </c>
      <c r="C276" s="463" t="s">
        <v>139</v>
      </c>
      <c r="D276" s="464" t="s">
        <v>98</v>
      </c>
      <c r="E276" s="464" t="s">
        <v>90</v>
      </c>
      <c r="F276" s="465" t="s">
        <v>409</v>
      </c>
      <c r="G276" s="466"/>
      <c r="H276" s="803">
        <f>SUM(H277:H278)</f>
        <v>33015.800000000003</v>
      </c>
    </row>
    <row r="277" spans="1:8" ht="37.5" x14ac:dyDescent="0.3">
      <c r="A277" s="789"/>
      <c r="B277" s="852" t="s">
        <v>108</v>
      </c>
      <c r="C277" s="463" t="s">
        <v>139</v>
      </c>
      <c r="D277" s="464" t="s">
        <v>98</v>
      </c>
      <c r="E277" s="464" t="s">
        <v>90</v>
      </c>
      <c r="F277" s="465" t="s">
        <v>409</v>
      </c>
      <c r="G277" s="466" t="s">
        <v>109</v>
      </c>
      <c r="H277" s="803">
        <f>'прил12(ведом 19)'!M572</f>
        <v>164.3</v>
      </c>
    </row>
    <row r="278" spans="1:8" ht="37.5" x14ac:dyDescent="0.3">
      <c r="A278" s="789"/>
      <c r="B278" s="802" t="s">
        <v>183</v>
      </c>
      <c r="C278" s="463" t="s">
        <v>139</v>
      </c>
      <c r="D278" s="464" t="s">
        <v>98</v>
      </c>
      <c r="E278" s="464" t="s">
        <v>90</v>
      </c>
      <c r="F278" s="465" t="s">
        <v>409</v>
      </c>
      <c r="G278" s="466" t="s">
        <v>184</v>
      </c>
      <c r="H278" s="803">
        <f>'прил12(ведом 19)'!M573</f>
        <v>32851.5</v>
      </c>
    </row>
    <row r="279" spans="1:8" ht="93.75" x14ac:dyDescent="0.3">
      <c r="A279" s="789"/>
      <c r="B279" s="802" t="s">
        <v>536</v>
      </c>
      <c r="C279" s="463" t="s">
        <v>139</v>
      </c>
      <c r="D279" s="464" t="s">
        <v>98</v>
      </c>
      <c r="E279" s="464" t="s">
        <v>90</v>
      </c>
      <c r="F279" s="465" t="s">
        <v>410</v>
      </c>
      <c r="G279" s="466"/>
      <c r="H279" s="803">
        <f>SUM(H280:H281)</f>
        <v>26177</v>
      </c>
    </row>
    <row r="280" spans="1:8" ht="37.5" x14ac:dyDescent="0.3">
      <c r="A280" s="789"/>
      <c r="B280" s="852" t="s">
        <v>108</v>
      </c>
      <c r="C280" s="463" t="s">
        <v>139</v>
      </c>
      <c r="D280" s="464" t="s">
        <v>98</v>
      </c>
      <c r="E280" s="464" t="s">
        <v>90</v>
      </c>
      <c r="F280" s="465" t="s">
        <v>410</v>
      </c>
      <c r="G280" s="466" t="s">
        <v>109</v>
      </c>
      <c r="H280" s="803">
        <f>'прил12(ведом 19)'!M575</f>
        <v>130.19999999999999</v>
      </c>
    </row>
    <row r="281" spans="1:8" ht="37.5" x14ac:dyDescent="0.3">
      <c r="A281" s="789"/>
      <c r="B281" s="802" t="s">
        <v>183</v>
      </c>
      <c r="C281" s="463" t="s">
        <v>139</v>
      </c>
      <c r="D281" s="464" t="s">
        <v>98</v>
      </c>
      <c r="E281" s="464" t="s">
        <v>90</v>
      </c>
      <c r="F281" s="465" t="s">
        <v>410</v>
      </c>
      <c r="G281" s="466" t="s">
        <v>184</v>
      </c>
      <c r="H281" s="803">
        <f>'прил12(ведом 19)'!M576</f>
        <v>26046.799999999999</v>
      </c>
    </row>
    <row r="282" spans="1:8" ht="93.75" x14ac:dyDescent="0.3">
      <c r="A282" s="789"/>
      <c r="B282" s="802" t="s">
        <v>537</v>
      </c>
      <c r="C282" s="463" t="s">
        <v>139</v>
      </c>
      <c r="D282" s="464" t="s">
        <v>98</v>
      </c>
      <c r="E282" s="464" t="s">
        <v>90</v>
      </c>
      <c r="F282" s="465" t="s">
        <v>411</v>
      </c>
      <c r="G282" s="466"/>
      <c r="H282" s="803">
        <f>SUM(H283:H284)</f>
        <v>449.4</v>
      </c>
    </row>
    <row r="283" spans="1:8" ht="37.5" x14ac:dyDescent="0.3">
      <c r="A283" s="789"/>
      <c r="B283" s="802" t="s">
        <v>108</v>
      </c>
      <c r="C283" s="463" t="s">
        <v>139</v>
      </c>
      <c r="D283" s="464" t="s">
        <v>98</v>
      </c>
      <c r="E283" s="464" t="s">
        <v>90</v>
      </c>
      <c r="F283" s="465" t="s">
        <v>411</v>
      </c>
      <c r="G283" s="466" t="s">
        <v>109</v>
      </c>
      <c r="H283" s="803">
        <f>'прил12(ведом 19)'!M578</f>
        <v>2.2000000000000002</v>
      </c>
    </row>
    <row r="284" spans="1:8" ht="37.5" x14ac:dyDescent="0.3">
      <c r="A284" s="789"/>
      <c r="B284" s="802" t="s">
        <v>183</v>
      </c>
      <c r="C284" s="463" t="s">
        <v>139</v>
      </c>
      <c r="D284" s="464" t="s">
        <v>98</v>
      </c>
      <c r="E284" s="464" t="s">
        <v>90</v>
      </c>
      <c r="F284" s="465" t="s">
        <v>411</v>
      </c>
      <c r="G284" s="466" t="s">
        <v>184</v>
      </c>
      <c r="H284" s="803">
        <f>'прил12(ведом 19)'!M579</f>
        <v>447.2</v>
      </c>
    </row>
    <row r="285" spans="1:8" ht="112.5" x14ac:dyDescent="0.3">
      <c r="A285" s="789"/>
      <c r="B285" s="802" t="s">
        <v>555</v>
      </c>
      <c r="C285" s="463" t="s">
        <v>139</v>
      </c>
      <c r="D285" s="464" t="s">
        <v>98</v>
      </c>
      <c r="E285" s="464" t="s">
        <v>90</v>
      </c>
      <c r="F285" s="465" t="s">
        <v>412</v>
      </c>
      <c r="G285" s="466"/>
      <c r="H285" s="803">
        <f>SUM(H286:H287)</f>
        <v>493</v>
      </c>
    </row>
    <row r="286" spans="1:8" ht="37.5" x14ac:dyDescent="0.3">
      <c r="A286" s="789"/>
      <c r="B286" s="802" t="s">
        <v>108</v>
      </c>
      <c r="C286" s="463" t="s">
        <v>139</v>
      </c>
      <c r="D286" s="464" t="s">
        <v>98</v>
      </c>
      <c r="E286" s="464" t="s">
        <v>90</v>
      </c>
      <c r="F286" s="465" t="s">
        <v>412</v>
      </c>
      <c r="G286" s="466" t="s">
        <v>109</v>
      </c>
      <c r="H286" s="803">
        <f>'прил12(ведом 19)'!M581</f>
        <v>2.5</v>
      </c>
    </row>
    <row r="287" spans="1:8" ht="37.5" x14ac:dyDescent="0.3">
      <c r="A287" s="789"/>
      <c r="B287" s="802" t="s">
        <v>183</v>
      </c>
      <c r="C287" s="463" t="s">
        <v>139</v>
      </c>
      <c r="D287" s="464" t="s">
        <v>98</v>
      </c>
      <c r="E287" s="464" t="s">
        <v>90</v>
      </c>
      <c r="F287" s="465" t="s">
        <v>412</v>
      </c>
      <c r="G287" s="466" t="s">
        <v>184</v>
      </c>
      <c r="H287" s="803">
        <f>'прил12(ведом 19)'!M582</f>
        <v>490.5</v>
      </c>
    </row>
    <row r="288" spans="1:8" ht="150" x14ac:dyDescent="0.3">
      <c r="A288" s="789"/>
      <c r="B288" s="853" t="s">
        <v>534</v>
      </c>
      <c r="C288" s="463" t="s">
        <v>139</v>
      </c>
      <c r="D288" s="464" t="s">
        <v>98</v>
      </c>
      <c r="E288" s="464" t="s">
        <v>90</v>
      </c>
      <c r="F288" s="465" t="s">
        <v>408</v>
      </c>
      <c r="G288" s="466"/>
      <c r="H288" s="803">
        <f>H289</f>
        <v>15.6</v>
      </c>
    </row>
    <row r="289" spans="1:8" ht="37.5" x14ac:dyDescent="0.3">
      <c r="A289" s="789"/>
      <c r="B289" s="802" t="s">
        <v>183</v>
      </c>
      <c r="C289" s="463" t="s">
        <v>139</v>
      </c>
      <c r="D289" s="464" t="s">
        <v>98</v>
      </c>
      <c r="E289" s="464" t="s">
        <v>90</v>
      </c>
      <c r="F289" s="465" t="s">
        <v>408</v>
      </c>
      <c r="G289" s="466" t="s">
        <v>184</v>
      </c>
      <c r="H289" s="803">
        <f>'прил12(ведом 19)'!M565</f>
        <v>15.6</v>
      </c>
    </row>
    <row r="290" spans="1:8" ht="75" x14ac:dyDescent="0.3">
      <c r="A290" s="789"/>
      <c r="B290" s="831" t="s">
        <v>421</v>
      </c>
      <c r="C290" s="767" t="s">
        <v>139</v>
      </c>
      <c r="D290" s="768" t="s">
        <v>98</v>
      </c>
      <c r="E290" s="768" t="s">
        <v>92</v>
      </c>
      <c r="F290" s="850" t="s">
        <v>97</v>
      </c>
      <c r="G290" s="770"/>
      <c r="H290" s="803">
        <f>H291+H293+H295+H297</f>
        <v>42952.200000000004</v>
      </c>
    </row>
    <row r="291" spans="1:8" ht="187.5" x14ac:dyDescent="0.3">
      <c r="A291" s="789"/>
      <c r="B291" s="851" t="s">
        <v>543</v>
      </c>
      <c r="C291" s="464" t="s">
        <v>139</v>
      </c>
      <c r="D291" s="464" t="s">
        <v>98</v>
      </c>
      <c r="E291" s="464" t="s">
        <v>92</v>
      </c>
      <c r="F291" s="465" t="s">
        <v>544</v>
      </c>
      <c r="G291" s="466"/>
      <c r="H291" s="803">
        <f>H292</f>
        <v>5.2</v>
      </c>
    </row>
    <row r="292" spans="1:8" ht="37.5" x14ac:dyDescent="0.3">
      <c r="A292" s="789"/>
      <c r="B292" s="802" t="s">
        <v>183</v>
      </c>
      <c r="C292" s="464" t="s">
        <v>139</v>
      </c>
      <c r="D292" s="464" t="s">
        <v>98</v>
      </c>
      <c r="E292" s="464" t="s">
        <v>92</v>
      </c>
      <c r="F292" s="465" t="s">
        <v>544</v>
      </c>
      <c r="G292" s="466" t="s">
        <v>184</v>
      </c>
      <c r="H292" s="803">
        <f>'прил12(ведом 19)'!M585</f>
        <v>5.2</v>
      </c>
    </row>
    <row r="293" spans="1:8" ht="281.25" x14ac:dyDescent="0.3">
      <c r="A293" s="789"/>
      <c r="B293" s="851" t="s">
        <v>554</v>
      </c>
      <c r="C293" s="464" t="s">
        <v>139</v>
      </c>
      <c r="D293" s="464" t="s">
        <v>98</v>
      </c>
      <c r="E293" s="464" t="s">
        <v>92</v>
      </c>
      <c r="F293" s="465" t="s">
        <v>545</v>
      </c>
      <c r="G293" s="466"/>
      <c r="H293" s="803">
        <f>H294</f>
        <v>231</v>
      </c>
    </row>
    <row r="294" spans="1:8" ht="37.5" x14ac:dyDescent="0.3">
      <c r="A294" s="789"/>
      <c r="B294" s="802" t="s">
        <v>183</v>
      </c>
      <c r="C294" s="464" t="s">
        <v>139</v>
      </c>
      <c r="D294" s="464" t="s">
        <v>98</v>
      </c>
      <c r="E294" s="464" t="s">
        <v>92</v>
      </c>
      <c r="F294" s="465" t="s">
        <v>545</v>
      </c>
      <c r="G294" s="466" t="s">
        <v>184</v>
      </c>
      <c r="H294" s="803">
        <f>'прил12(ведом 19)'!M587</f>
        <v>231</v>
      </c>
    </row>
    <row r="295" spans="1:8" ht="112.5" x14ac:dyDescent="0.3">
      <c r="A295" s="789"/>
      <c r="B295" s="766" t="s">
        <v>422</v>
      </c>
      <c r="C295" s="767" t="s">
        <v>139</v>
      </c>
      <c r="D295" s="822" t="s">
        <v>98</v>
      </c>
      <c r="E295" s="822" t="s">
        <v>92</v>
      </c>
      <c r="F295" s="850" t="s">
        <v>423</v>
      </c>
      <c r="G295" s="770"/>
      <c r="H295" s="803">
        <f>H296</f>
        <v>7759.1</v>
      </c>
    </row>
    <row r="296" spans="1:8" ht="37.5" x14ac:dyDescent="0.3">
      <c r="A296" s="789"/>
      <c r="B296" s="766" t="s">
        <v>282</v>
      </c>
      <c r="C296" s="767" t="s">
        <v>139</v>
      </c>
      <c r="D296" s="822" t="s">
        <v>98</v>
      </c>
      <c r="E296" s="822" t="s">
        <v>92</v>
      </c>
      <c r="F296" s="850" t="s">
        <v>423</v>
      </c>
      <c r="G296" s="941" t="s">
        <v>283</v>
      </c>
      <c r="H296" s="803">
        <f>'прил12(ведом 19)'!M308</f>
        <v>7759.1</v>
      </c>
    </row>
    <row r="297" spans="1:8" ht="112.5" x14ac:dyDescent="0.3">
      <c r="A297" s="789"/>
      <c r="B297" s="766" t="s">
        <v>422</v>
      </c>
      <c r="C297" s="767" t="s">
        <v>139</v>
      </c>
      <c r="D297" s="822" t="s">
        <v>98</v>
      </c>
      <c r="E297" s="822" t="s">
        <v>92</v>
      </c>
      <c r="F297" s="850" t="s">
        <v>824</v>
      </c>
      <c r="G297" s="770"/>
      <c r="H297" s="803">
        <f>H298</f>
        <v>34956.9</v>
      </c>
    </row>
    <row r="298" spans="1:8" ht="37.5" x14ac:dyDescent="0.3">
      <c r="A298" s="789"/>
      <c r="B298" s="766" t="s">
        <v>282</v>
      </c>
      <c r="C298" s="767" t="s">
        <v>139</v>
      </c>
      <c r="D298" s="822" t="s">
        <v>98</v>
      </c>
      <c r="E298" s="822" t="s">
        <v>92</v>
      </c>
      <c r="F298" s="850" t="s">
        <v>824</v>
      </c>
      <c r="G298" s="941" t="s">
        <v>283</v>
      </c>
      <c r="H298" s="803">
        <f>'прил12(ведом 19)'!M310</f>
        <v>34956.9</v>
      </c>
    </row>
    <row r="299" spans="1:8" ht="37.5" x14ac:dyDescent="0.3">
      <c r="A299" s="789"/>
      <c r="B299" s="802" t="s">
        <v>309</v>
      </c>
      <c r="C299" s="463" t="s">
        <v>139</v>
      </c>
      <c r="D299" s="464" t="s">
        <v>98</v>
      </c>
      <c r="E299" s="464" t="s">
        <v>119</v>
      </c>
      <c r="F299" s="465" t="s">
        <v>97</v>
      </c>
      <c r="G299" s="466"/>
      <c r="H299" s="803">
        <f>H300+H303+H306</f>
        <v>6248.8</v>
      </c>
    </row>
    <row r="300" spans="1:8" ht="75" x14ac:dyDescent="0.3">
      <c r="A300" s="789"/>
      <c r="B300" s="802" t="s">
        <v>311</v>
      </c>
      <c r="C300" s="463" t="s">
        <v>139</v>
      </c>
      <c r="D300" s="464" t="s">
        <v>98</v>
      </c>
      <c r="E300" s="464" t="s">
        <v>119</v>
      </c>
      <c r="F300" s="465" t="s">
        <v>414</v>
      </c>
      <c r="G300" s="466"/>
      <c r="H300" s="803">
        <f>SUM(H301:H302)</f>
        <v>4784.5</v>
      </c>
    </row>
    <row r="301" spans="1:8" ht="93.75" x14ac:dyDescent="0.3">
      <c r="A301" s="789"/>
      <c r="B301" s="802" t="s">
        <v>102</v>
      </c>
      <c r="C301" s="463" t="s">
        <v>139</v>
      </c>
      <c r="D301" s="464" t="s">
        <v>98</v>
      </c>
      <c r="E301" s="464" t="s">
        <v>119</v>
      </c>
      <c r="F301" s="465" t="s">
        <v>414</v>
      </c>
      <c r="G301" s="466" t="s">
        <v>103</v>
      </c>
      <c r="H301" s="803">
        <f>'прил12(ведом 19)'!M593</f>
        <v>4434.5</v>
      </c>
    </row>
    <row r="302" spans="1:8" ht="37.5" x14ac:dyDescent="0.3">
      <c r="A302" s="789"/>
      <c r="B302" s="802" t="s">
        <v>108</v>
      </c>
      <c r="C302" s="854" t="s">
        <v>139</v>
      </c>
      <c r="D302" s="855" t="s">
        <v>98</v>
      </c>
      <c r="E302" s="855" t="s">
        <v>119</v>
      </c>
      <c r="F302" s="856" t="s">
        <v>414</v>
      </c>
      <c r="G302" s="466" t="s">
        <v>109</v>
      </c>
      <c r="H302" s="803">
        <f>'прил12(ведом 19)'!M594</f>
        <v>350</v>
      </c>
    </row>
    <row r="303" spans="1:8" ht="56.25" x14ac:dyDescent="0.3">
      <c r="A303" s="789"/>
      <c r="B303" s="763" t="s">
        <v>601</v>
      </c>
      <c r="C303" s="463" t="s">
        <v>139</v>
      </c>
      <c r="D303" s="464" t="s">
        <v>98</v>
      </c>
      <c r="E303" s="464" t="s">
        <v>119</v>
      </c>
      <c r="F303" s="465" t="s">
        <v>415</v>
      </c>
      <c r="G303" s="466"/>
      <c r="H303" s="803">
        <f>SUM(H304:H305)</f>
        <v>617.29999999999995</v>
      </c>
    </row>
    <row r="304" spans="1:8" ht="93.75" x14ac:dyDescent="0.3">
      <c r="A304" s="789"/>
      <c r="B304" s="802" t="s">
        <v>102</v>
      </c>
      <c r="C304" s="463" t="s">
        <v>139</v>
      </c>
      <c r="D304" s="464" t="s">
        <v>98</v>
      </c>
      <c r="E304" s="464" t="s">
        <v>119</v>
      </c>
      <c r="F304" s="465" t="s">
        <v>415</v>
      </c>
      <c r="G304" s="466" t="s">
        <v>103</v>
      </c>
      <c r="H304" s="803">
        <f>'прил12(ведом 19)'!M596</f>
        <v>567.29999999999995</v>
      </c>
    </row>
    <row r="305" spans="1:8" ht="37.5" x14ac:dyDescent="0.3">
      <c r="A305" s="789"/>
      <c r="B305" s="802" t="s">
        <v>108</v>
      </c>
      <c r="C305" s="463" t="s">
        <v>139</v>
      </c>
      <c r="D305" s="464" t="s">
        <v>98</v>
      </c>
      <c r="E305" s="464" t="s">
        <v>119</v>
      </c>
      <c r="F305" s="465" t="s">
        <v>415</v>
      </c>
      <c r="G305" s="466" t="s">
        <v>109</v>
      </c>
      <c r="H305" s="803">
        <f>'прил12(ведом 19)'!M597</f>
        <v>50</v>
      </c>
    </row>
    <row r="306" spans="1:8" ht="262.5" x14ac:dyDescent="0.3">
      <c r="A306" s="789"/>
      <c r="B306" s="802" t="s">
        <v>312</v>
      </c>
      <c r="C306" s="463" t="s">
        <v>139</v>
      </c>
      <c r="D306" s="464" t="s">
        <v>98</v>
      </c>
      <c r="E306" s="464" t="s">
        <v>119</v>
      </c>
      <c r="F306" s="465" t="s">
        <v>416</v>
      </c>
      <c r="G306" s="466"/>
      <c r="H306" s="803">
        <f>H307+H308</f>
        <v>847</v>
      </c>
    </row>
    <row r="307" spans="1:8" ht="93.75" x14ac:dyDescent="0.3">
      <c r="A307" s="789"/>
      <c r="B307" s="802" t="s">
        <v>102</v>
      </c>
      <c r="C307" s="463" t="s">
        <v>139</v>
      </c>
      <c r="D307" s="464" t="s">
        <v>98</v>
      </c>
      <c r="E307" s="464" t="s">
        <v>119</v>
      </c>
      <c r="F307" s="465" t="s">
        <v>416</v>
      </c>
      <c r="G307" s="466" t="s">
        <v>103</v>
      </c>
      <c r="H307" s="803">
        <f>'прил12(ведом 19)'!M599</f>
        <v>767</v>
      </c>
    </row>
    <row r="308" spans="1:8" ht="37.5" x14ac:dyDescent="0.3">
      <c r="A308" s="789"/>
      <c r="B308" s="802" t="s">
        <v>108</v>
      </c>
      <c r="C308" s="463" t="s">
        <v>139</v>
      </c>
      <c r="D308" s="464" t="s">
        <v>98</v>
      </c>
      <c r="E308" s="464" t="s">
        <v>119</v>
      </c>
      <c r="F308" s="465" t="s">
        <v>416</v>
      </c>
      <c r="G308" s="466" t="s">
        <v>109</v>
      </c>
      <c r="H308" s="803">
        <f>'прил12(ведом 19)'!M600</f>
        <v>80</v>
      </c>
    </row>
    <row r="309" spans="1:8" ht="93.75" x14ac:dyDescent="0.3">
      <c r="A309" s="826"/>
      <c r="B309" s="811" t="s">
        <v>542</v>
      </c>
      <c r="C309" s="463" t="s">
        <v>139</v>
      </c>
      <c r="D309" s="464" t="s">
        <v>98</v>
      </c>
      <c r="E309" s="464" t="s">
        <v>105</v>
      </c>
      <c r="F309" s="465" t="s">
        <v>97</v>
      </c>
      <c r="G309" s="466"/>
      <c r="H309" s="803">
        <f>H310</f>
        <v>276</v>
      </c>
    </row>
    <row r="310" spans="1:8" ht="75" x14ac:dyDescent="0.3">
      <c r="A310" s="826"/>
      <c r="B310" s="811" t="s">
        <v>527</v>
      </c>
      <c r="C310" s="463" t="s">
        <v>139</v>
      </c>
      <c r="D310" s="464" t="s">
        <v>98</v>
      </c>
      <c r="E310" s="464" t="s">
        <v>105</v>
      </c>
      <c r="F310" s="465" t="s">
        <v>526</v>
      </c>
      <c r="G310" s="466"/>
      <c r="H310" s="803">
        <f>H311</f>
        <v>276</v>
      </c>
    </row>
    <row r="311" spans="1:8" ht="37.5" x14ac:dyDescent="0.3">
      <c r="A311" s="826"/>
      <c r="B311" s="804" t="s">
        <v>183</v>
      </c>
      <c r="C311" s="463" t="s">
        <v>139</v>
      </c>
      <c r="D311" s="464" t="s">
        <v>98</v>
      </c>
      <c r="E311" s="464" t="s">
        <v>105</v>
      </c>
      <c r="F311" s="465" t="s">
        <v>526</v>
      </c>
      <c r="G311" s="466" t="s">
        <v>184</v>
      </c>
      <c r="H311" s="803">
        <f>'прил12(ведом 19)'!M168</f>
        <v>276</v>
      </c>
    </row>
    <row r="312" spans="1:8" ht="37.5" x14ac:dyDescent="0.3">
      <c r="A312" s="826"/>
      <c r="B312" s="857" t="s">
        <v>815</v>
      </c>
      <c r="C312" s="463" t="s">
        <v>139</v>
      </c>
      <c r="D312" s="464" t="s">
        <v>98</v>
      </c>
      <c r="E312" s="464" t="s">
        <v>121</v>
      </c>
      <c r="F312" s="465" t="s">
        <v>97</v>
      </c>
      <c r="G312" s="466"/>
      <c r="H312" s="803">
        <f>H313</f>
        <v>1500</v>
      </c>
    </row>
    <row r="313" spans="1:8" ht="56.25" x14ac:dyDescent="0.3">
      <c r="A313" s="826"/>
      <c r="B313" s="857" t="s">
        <v>817</v>
      </c>
      <c r="C313" s="463" t="s">
        <v>139</v>
      </c>
      <c r="D313" s="464" t="s">
        <v>98</v>
      </c>
      <c r="E313" s="464" t="s">
        <v>121</v>
      </c>
      <c r="F313" s="465" t="s">
        <v>818</v>
      </c>
      <c r="G313" s="466"/>
      <c r="H313" s="803">
        <f>H314</f>
        <v>1500</v>
      </c>
    </row>
    <row r="314" spans="1:8" ht="56.25" x14ac:dyDescent="0.3">
      <c r="A314" s="826"/>
      <c r="B314" s="858" t="s">
        <v>816</v>
      </c>
      <c r="C314" s="463" t="s">
        <v>139</v>
      </c>
      <c r="D314" s="464" t="s">
        <v>98</v>
      </c>
      <c r="E314" s="464" t="s">
        <v>121</v>
      </c>
      <c r="F314" s="465" t="s">
        <v>818</v>
      </c>
      <c r="G314" s="466" t="s">
        <v>184</v>
      </c>
      <c r="H314" s="803">
        <f>'прил12(ведом 19)'!M174</f>
        <v>1500</v>
      </c>
    </row>
    <row r="315" spans="1:8" ht="18.75" x14ac:dyDescent="0.3">
      <c r="A315" s="789"/>
      <c r="B315" s="802"/>
      <c r="C315" s="464"/>
      <c r="D315" s="464"/>
      <c r="E315" s="464"/>
      <c r="F315" s="465"/>
      <c r="G315" s="466"/>
      <c r="H315" s="803"/>
    </row>
    <row r="316" spans="1:8" ht="75" x14ac:dyDescent="0.3">
      <c r="A316" s="807">
        <v>9</v>
      </c>
      <c r="B316" s="821" t="s">
        <v>482</v>
      </c>
      <c r="C316" s="808" t="s">
        <v>167</v>
      </c>
      <c r="D316" s="808" t="s">
        <v>95</v>
      </c>
      <c r="E316" s="808" t="s">
        <v>96</v>
      </c>
      <c r="F316" s="809" t="s">
        <v>97</v>
      </c>
      <c r="G316" s="859"/>
      <c r="H316" s="800">
        <f>H321+H317</f>
        <v>2671.5</v>
      </c>
    </row>
    <row r="317" spans="1:8" ht="37.5" x14ac:dyDescent="0.3">
      <c r="A317" s="807"/>
      <c r="B317" s="802" t="s">
        <v>484</v>
      </c>
      <c r="C317" s="463" t="s">
        <v>167</v>
      </c>
      <c r="D317" s="464" t="s">
        <v>98</v>
      </c>
      <c r="E317" s="464" t="s">
        <v>96</v>
      </c>
      <c r="F317" s="465" t="s">
        <v>97</v>
      </c>
      <c r="G317" s="466"/>
      <c r="H317" s="803">
        <f>H318</f>
        <v>2635.8</v>
      </c>
    </row>
    <row r="318" spans="1:8" ht="56.25" x14ac:dyDescent="0.3">
      <c r="A318" s="807"/>
      <c r="B318" s="763" t="s">
        <v>572</v>
      </c>
      <c r="C318" s="463" t="s">
        <v>167</v>
      </c>
      <c r="D318" s="464" t="s">
        <v>98</v>
      </c>
      <c r="E318" s="464" t="s">
        <v>90</v>
      </c>
      <c r="F318" s="465" t="s">
        <v>97</v>
      </c>
      <c r="G318" s="466"/>
      <c r="H318" s="803">
        <f>H319</f>
        <v>2635.8</v>
      </c>
    </row>
    <row r="319" spans="1:8" ht="56.25" x14ac:dyDescent="0.3">
      <c r="A319" s="807"/>
      <c r="B319" s="802" t="s">
        <v>485</v>
      </c>
      <c r="C319" s="463" t="s">
        <v>167</v>
      </c>
      <c r="D319" s="464" t="s">
        <v>98</v>
      </c>
      <c r="E319" s="464" t="s">
        <v>90</v>
      </c>
      <c r="F319" s="465" t="s">
        <v>486</v>
      </c>
      <c r="G319" s="466"/>
      <c r="H319" s="803">
        <f>SUM(H320:H320)</f>
        <v>2635.8</v>
      </c>
    </row>
    <row r="320" spans="1:8" ht="37.5" x14ac:dyDescent="0.3">
      <c r="A320" s="807"/>
      <c r="B320" s="802" t="s">
        <v>282</v>
      </c>
      <c r="C320" s="463" t="s">
        <v>167</v>
      </c>
      <c r="D320" s="464" t="s">
        <v>98</v>
      </c>
      <c r="E320" s="464" t="s">
        <v>90</v>
      </c>
      <c r="F320" s="465" t="s">
        <v>486</v>
      </c>
      <c r="G320" s="466" t="s">
        <v>283</v>
      </c>
      <c r="H320" s="803">
        <f>'прил12(ведом 19)'!M285+'прил12(ведом 19)'!M155</f>
        <v>2635.8</v>
      </c>
    </row>
    <row r="321" spans="1:8" ht="37.5" x14ac:dyDescent="0.3">
      <c r="A321" s="826"/>
      <c r="B321" s="802" t="s">
        <v>491</v>
      </c>
      <c r="C321" s="463" t="s">
        <v>167</v>
      </c>
      <c r="D321" s="464" t="s">
        <v>83</v>
      </c>
      <c r="E321" s="464" t="s">
        <v>96</v>
      </c>
      <c r="F321" s="465" t="s">
        <v>97</v>
      </c>
      <c r="G321" s="466"/>
      <c r="H321" s="803">
        <f>H322</f>
        <v>35.700000000000003</v>
      </c>
    </row>
    <row r="322" spans="1:8" ht="56.25" x14ac:dyDescent="0.3">
      <c r="A322" s="826"/>
      <c r="B322" s="802" t="s">
        <v>477</v>
      </c>
      <c r="C322" s="463" t="s">
        <v>167</v>
      </c>
      <c r="D322" s="464" t="s">
        <v>83</v>
      </c>
      <c r="E322" s="464" t="s">
        <v>139</v>
      </c>
      <c r="F322" s="465" t="s">
        <v>97</v>
      </c>
      <c r="G322" s="466"/>
      <c r="H322" s="803">
        <f>H323</f>
        <v>35.700000000000003</v>
      </c>
    </row>
    <row r="323" spans="1:8" ht="206.25" x14ac:dyDescent="0.3">
      <c r="A323" s="826"/>
      <c r="B323" s="802" t="s">
        <v>494</v>
      </c>
      <c r="C323" s="463" t="s">
        <v>167</v>
      </c>
      <c r="D323" s="464" t="s">
        <v>83</v>
      </c>
      <c r="E323" s="464" t="s">
        <v>139</v>
      </c>
      <c r="F323" s="465" t="s">
        <v>478</v>
      </c>
      <c r="G323" s="466"/>
      <c r="H323" s="803">
        <f>H324</f>
        <v>35.700000000000003</v>
      </c>
    </row>
    <row r="324" spans="1:8" ht="18.75" x14ac:dyDescent="0.3">
      <c r="A324" s="826"/>
      <c r="B324" s="802" t="s">
        <v>186</v>
      </c>
      <c r="C324" s="463" t="s">
        <v>167</v>
      </c>
      <c r="D324" s="464" t="s">
        <v>83</v>
      </c>
      <c r="E324" s="464" t="s">
        <v>139</v>
      </c>
      <c r="F324" s="465" t="s">
        <v>478</v>
      </c>
      <c r="G324" s="466" t="s">
        <v>187</v>
      </c>
      <c r="H324" s="803">
        <f>'прил12(ведом 19)'!M161</f>
        <v>35.700000000000003</v>
      </c>
    </row>
    <row r="325" spans="1:8" ht="18.75" x14ac:dyDescent="0.3">
      <c r="A325" s="826"/>
      <c r="B325" s="804"/>
      <c r="C325" s="768"/>
      <c r="D325" s="933"/>
      <c r="E325" s="933"/>
      <c r="F325" s="934"/>
      <c r="G325" s="788"/>
      <c r="H325" s="803"/>
    </row>
    <row r="326" spans="1:8" s="801" customFormat="1" ht="56.25" x14ac:dyDescent="0.3">
      <c r="A326" s="807">
        <v>10</v>
      </c>
      <c r="B326" s="821" t="s">
        <v>156</v>
      </c>
      <c r="C326" s="808" t="s">
        <v>123</v>
      </c>
      <c r="D326" s="808" t="s">
        <v>95</v>
      </c>
      <c r="E326" s="808" t="s">
        <v>96</v>
      </c>
      <c r="F326" s="809" t="s">
        <v>97</v>
      </c>
      <c r="G326" s="859"/>
      <c r="H326" s="800">
        <f>H327</f>
        <v>11958.5</v>
      </c>
    </row>
    <row r="327" spans="1:8" ht="37.5" x14ac:dyDescent="0.3">
      <c r="A327" s="789"/>
      <c r="B327" s="802" t="s">
        <v>491</v>
      </c>
      <c r="C327" s="463" t="s">
        <v>123</v>
      </c>
      <c r="D327" s="464" t="s">
        <v>98</v>
      </c>
      <c r="E327" s="464" t="s">
        <v>96</v>
      </c>
      <c r="F327" s="465" t="s">
        <v>97</v>
      </c>
      <c r="G327" s="817"/>
      <c r="H327" s="803">
        <f>H328+H331</f>
        <v>11958.5</v>
      </c>
    </row>
    <row r="328" spans="1:8" ht="37.5" x14ac:dyDescent="0.3">
      <c r="A328" s="789"/>
      <c r="B328" s="802" t="s">
        <v>157</v>
      </c>
      <c r="C328" s="463" t="s">
        <v>123</v>
      </c>
      <c r="D328" s="464" t="s">
        <v>98</v>
      </c>
      <c r="E328" s="464" t="s">
        <v>90</v>
      </c>
      <c r="F328" s="465" t="s">
        <v>97</v>
      </c>
      <c r="G328" s="817"/>
      <c r="H328" s="803">
        <f>H329</f>
        <v>11860</v>
      </c>
    </row>
    <row r="329" spans="1:8" ht="168.75" x14ac:dyDescent="0.3">
      <c r="A329" s="789"/>
      <c r="B329" s="763" t="s">
        <v>587</v>
      </c>
      <c r="C329" s="463" t="s">
        <v>123</v>
      </c>
      <c r="D329" s="464" t="s">
        <v>98</v>
      </c>
      <c r="E329" s="464" t="s">
        <v>90</v>
      </c>
      <c r="F329" s="465" t="s">
        <v>158</v>
      </c>
      <c r="G329" s="466"/>
      <c r="H329" s="803">
        <f>H330</f>
        <v>11860</v>
      </c>
    </row>
    <row r="330" spans="1:8" ht="18.75" x14ac:dyDescent="0.3">
      <c r="A330" s="789"/>
      <c r="B330" s="802" t="s">
        <v>110</v>
      </c>
      <c r="C330" s="463" t="s">
        <v>123</v>
      </c>
      <c r="D330" s="464" t="s">
        <v>98</v>
      </c>
      <c r="E330" s="464" t="s">
        <v>90</v>
      </c>
      <c r="F330" s="465" t="s">
        <v>158</v>
      </c>
      <c r="G330" s="466" t="s">
        <v>111</v>
      </c>
      <c r="H330" s="803">
        <f>'прил12(ведом 19)'!M113</f>
        <v>11860</v>
      </c>
    </row>
    <row r="331" spans="1:8" ht="56.25" x14ac:dyDescent="0.3">
      <c r="A331" s="789"/>
      <c r="B331" s="802" t="s">
        <v>159</v>
      </c>
      <c r="C331" s="463" t="s">
        <v>123</v>
      </c>
      <c r="D331" s="464" t="s">
        <v>98</v>
      </c>
      <c r="E331" s="464" t="s">
        <v>92</v>
      </c>
      <c r="F331" s="465" t="s">
        <v>97</v>
      </c>
      <c r="G331" s="466"/>
      <c r="H331" s="803">
        <f>H332</f>
        <v>98.5</v>
      </c>
    </row>
    <row r="332" spans="1:8" ht="168.75" x14ac:dyDescent="0.3">
      <c r="A332" s="789"/>
      <c r="B332" s="763" t="s">
        <v>602</v>
      </c>
      <c r="C332" s="463" t="s">
        <v>123</v>
      </c>
      <c r="D332" s="464" t="s">
        <v>98</v>
      </c>
      <c r="E332" s="464" t="s">
        <v>92</v>
      </c>
      <c r="F332" s="465" t="s">
        <v>160</v>
      </c>
      <c r="G332" s="466"/>
      <c r="H332" s="803">
        <f>H333</f>
        <v>98.5</v>
      </c>
    </row>
    <row r="333" spans="1:8" ht="37.5" x14ac:dyDescent="0.3">
      <c r="A333" s="789"/>
      <c r="B333" s="802" t="s">
        <v>108</v>
      </c>
      <c r="C333" s="463" t="s">
        <v>123</v>
      </c>
      <c r="D333" s="464" t="s">
        <v>98</v>
      </c>
      <c r="E333" s="464" t="s">
        <v>92</v>
      </c>
      <c r="F333" s="465" t="s">
        <v>160</v>
      </c>
      <c r="G333" s="466" t="s">
        <v>109</v>
      </c>
      <c r="H333" s="803">
        <f>'прил12(ведом 19)'!M116</f>
        <v>98.5</v>
      </c>
    </row>
    <row r="334" spans="1:8" ht="18.75" x14ac:dyDescent="0.3">
      <c r="A334" s="789"/>
      <c r="B334" s="806"/>
      <c r="C334" s="933"/>
      <c r="D334" s="933"/>
      <c r="E334" s="933"/>
      <c r="F334" s="934"/>
      <c r="G334" s="788"/>
      <c r="H334" s="803"/>
    </row>
    <row r="335" spans="1:8" s="801" customFormat="1" ht="56.25" x14ac:dyDescent="0.3">
      <c r="A335" s="807">
        <v>11</v>
      </c>
      <c r="B335" s="821" t="s">
        <v>162</v>
      </c>
      <c r="C335" s="808" t="s">
        <v>163</v>
      </c>
      <c r="D335" s="808" t="s">
        <v>95</v>
      </c>
      <c r="E335" s="808" t="s">
        <v>96</v>
      </c>
      <c r="F335" s="809" t="s">
        <v>97</v>
      </c>
      <c r="G335" s="799"/>
      <c r="H335" s="800">
        <f>H336</f>
        <v>5673.0294000000004</v>
      </c>
    </row>
    <row r="336" spans="1:8" s="801" customFormat="1" ht="37.5" x14ac:dyDescent="0.3">
      <c r="A336" s="789"/>
      <c r="B336" s="802" t="s">
        <v>491</v>
      </c>
      <c r="C336" s="463" t="s">
        <v>163</v>
      </c>
      <c r="D336" s="464" t="s">
        <v>98</v>
      </c>
      <c r="E336" s="464" t="s">
        <v>96</v>
      </c>
      <c r="F336" s="465" t="s">
        <v>97</v>
      </c>
      <c r="G336" s="466"/>
      <c r="H336" s="803">
        <f>H337</f>
        <v>5673.0294000000004</v>
      </c>
    </row>
    <row r="337" spans="1:8" s="801" customFormat="1" ht="75" x14ac:dyDescent="0.3">
      <c r="A337" s="789"/>
      <c r="B337" s="802" t="s">
        <v>164</v>
      </c>
      <c r="C337" s="463" t="s">
        <v>163</v>
      </c>
      <c r="D337" s="464" t="s">
        <v>98</v>
      </c>
      <c r="E337" s="464" t="s">
        <v>90</v>
      </c>
      <c r="F337" s="465" t="s">
        <v>97</v>
      </c>
      <c r="G337" s="466"/>
      <c r="H337" s="803">
        <f>H338</f>
        <v>5673.0294000000004</v>
      </c>
    </row>
    <row r="338" spans="1:8" s="801" customFormat="1" ht="75" x14ac:dyDescent="0.3">
      <c r="A338" s="789"/>
      <c r="B338" s="810" t="s">
        <v>165</v>
      </c>
      <c r="C338" s="463" t="s">
        <v>163</v>
      </c>
      <c r="D338" s="464" t="s">
        <v>98</v>
      </c>
      <c r="E338" s="464" t="s">
        <v>90</v>
      </c>
      <c r="F338" s="465" t="s">
        <v>166</v>
      </c>
      <c r="G338" s="466"/>
      <c r="H338" s="803">
        <f>H339</f>
        <v>5673.0294000000004</v>
      </c>
    </row>
    <row r="339" spans="1:8" ht="37.5" x14ac:dyDescent="0.3">
      <c r="A339" s="789"/>
      <c r="B339" s="802" t="s">
        <v>108</v>
      </c>
      <c r="C339" s="463" t="s">
        <v>163</v>
      </c>
      <c r="D339" s="464" t="s">
        <v>98</v>
      </c>
      <c r="E339" s="464" t="s">
        <v>90</v>
      </c>
      <c r="F339" s="465" t="s">
        <v>166</v>
      </c>
      <c r="G339" s="466" t="s">
        <v>109</v>
      </c>
      <c r="H339" s="803">
        <f>'прил12(ведом 19)'!M122</f>
        <v>5673.0294000000004</v>
      </c>
    </row>
    <row r="340" spans="1:8" ht="18.75" x14ac:dyDescent="0.3">
      <c r="A340" s="789"/>
      <c r="B340" s="806"/>
      <c r="C340" s="933"/>
      <c r="D340" s="933"/>
      <c r="E340" s="933"/>
      <c r="F340" s="934"/>
      <c r="G340" s="788"/>
      <c r="H340" s="803"/>
    </row>
    <row r="341" spans="1:8" s="801" customFormat="1" ht="75" x14ac:dyDescent="0.3">
      <c r="A341" s="807">
        <v>12</v>
      </c>
      <c r="B341" s="821" t="s">
        <v>170</v>
      </c>
      <c r="C341" s="808" t="s">
        <v>130</v>
      </c>
      <c r="D341" s="808" t="s">
        <v>95</v>
      </c>
      <c r="E341" s="808" t="s">
        <v>96</v>
      </c>
      <c r="F341" s="809" t="s">
        <v>97</v>
      </c>
      <c r="G341" s="799"/>
      <c r="H341" s="800">
        <f>H342+H346</f>
        <v>1157.8</v>
      </c>
    </row>
    <row r="342" spans="1:8" s="801" customFormat="1" ht="37.5" x14ac:dyDescent="0.3">
      <c r="A342" s="789"/>
      <c r="B342" s="824" t="s">
        <v>171</v>
      </c>
      <c r="C342" s="463" t="s">
        <v>130</v>
      </c>
      <c r="D342" s="464" t="s">
        <v>98</v>
      </c>
      <c r="E342" s="464" t="s">
        <v>96</v>
      </c>
      <c r="F342" s="465" t="s">
        <v>97</v>
      </c>
      <c r="G342" s="466"/>
      <c r="H342" s="803">
        <f>H343</f>
        <v>184.7</v>
      </c>
    </row>
    <row r="343" spans="1:8" s="801" customFormat="1" ht="37.5" x14ac:dyDescent="0.3">
      <c r="A343" s="789"/>
      <c r="B343" s="802" t="s">
        <v>172</v>
      </c>
      <c r="C343" s="463" t="s">
        <v>130</v>
      </c>
      <c r="D343" s="464" t="s">
        <v>98</v>
      </c>
      <c r="E343" s="464" t="s">
        <v>90</v>
      </c>
      <c r="F343" s="465" t="s">
        <v>97</v>
      </c>
      <c r="G343" s="466"/>
      <c r="H343" s="803">
        <f>H344</f>
        <v>184.7</v>
      </c>
    </row>
    <row r="344" spans="1:8" s="801" customFormat="1" ht="37.5" x14ac:dyDescent="0.3">
      <c r="A344" s="789"/>
      <c r="B344" s="824" t="s">
        <v>173</v>
      </c>
      <c r="C344" s="463" t="s">
        <v>130</v>
      </c>
      <c r="D344" s="464" t="s">
        <v>98</v>
      </c>
      <c r="E344" s="464" t="s">
        <v>90</v>
      </c>
      <c r="F344" s="465" t="s">
        <v>174</v>
      </c>
      <c r="G344" s="466"/>
      <c r="H344" s="803">
        <f>SUM(H345:H345)</f>
        <v>184.7</v>
      </c>
    </row>
    <row r="345" spans="1:8" s="801" customFormat="1" ht="37.5" x14ac:dyDescent="0.3">
      <c r="A345" s="789"/>
      <c r="B345" s="802" t="s">
        <v>108</v>
      </c>
      <c r="C345" s="463" t="s">
        <v>130</v>
      </c>
      <c r="D345" s="464" t="s">
        <v>98</v>
      </c>
      <c r="E345" s="464" t="s">
        <v>90</v>
      </c>
      <c r="F345" s="465" t="s">
        <v>174</v>
      </c>
      <c r="G345" s="466" t="s">
        <v>109</v>
      </c>
      <c r="H345" s="803">
        <f>'прил12(ведом 19)'!M128</f>
        <v>184.7</v>
      </c>
    </row>
    <row r="346" spans="1:8" s="801" customFormat="1" ht="37.5" x14ac:dyDescent="0.3">
      <c r="A346" s="789"/>
      <c r="B346" s="824" t="s">
        <v>175</v>
      </c>
      <c r="C346" s="463" t="s">
        <v>130</v>
      </c>
      <c r="D346" s="464" t="s">
        <v>150</v>
      </c>
      <c r="E346" s="464" t="s">
        <v>96</v>
      </c>
      <c r="F346" s="465" t="s">
        <v>97</v>
      </c>
      <c r="G346" s="466"/>
      <c r="H346" s="803">
        <f>H347</f>
        <v>973.1</v>
      </c>
    </row>
    <row r="347" spans="1:8" s="801" customFormat="1" ht="37.5" x14ac:dyDescent="0.3">
      <c r="A347" s="789"/>
      <c r="B347" s="824" t="s">
        <v>176</v>
      </c>
      <c r="C347" s="463" t="s">
        <v>130</v>
      </c>
      <c r="D347" s="464" t="s">
        <v>150</v>
      </c>
      <c r="E347" s="464" t="s">
        <v>90</v>
      </c>
      <c r="F347" s="465" t="s">
        <v>97</v>
      </c>
      <c r="G347" s="466"/>
      <c r="H347" s="803">
        <f>H348</f>
        <v>973.1</v>
      </c>
    </row>
    <row r="348" spans="1:8" s="801" customFormat="1" ht="75" x14ac:dyDescent="0.3">
      <c r="A348" s="789"/>
      <c r="B348" s="824" t="s">
        <v>177</v>
      </c>
      <c r="C348" s="463" t="s">
        <v>130</v>
      </c>
      <c r="D348" s="464" t="s">
        <v>150</v>
      </c>
      <c r="E348" s="464" t="s">
        <v>90</v>
      </c>
      <c r="F348" s="465" t="s">
        <v>178</v>
      </c>
      <c r="G348" s="466"/>
      <c r="H348" s="803">
        <f>H349</f>
        <v>973.1</v>
      </c>
    </row>
    <row r="349" spans="1:8" ht="37.5" x14ac:dyDescent="0.3">
      <c r="A349" s="789"/>
      <c r="B349" s="802" t="s">
        <v>108</v>
      </c>
      <c r="C349" s="463" t="s">
        <v>130</v>
      </c>
      <c r="D349" s="464" t="s">
        <v>150</v>
      </c>
      <c r="E349" s="464" t="s">
        <v>90</v>
      </c>
      <c r="F349" s="465" t="s">
        <v>178</v>
      </c>
      <c r="G349" s="466" t="s">
        <v>109</v>
      </c>
      <c r="H349" s="803">
        <f>'прил12(ведом 19)'!M132</f>
        <v>973.1</v>
      </c>
    </row>
    <row r="350" spans="1:8" ht="18.75" x14ac:dyDescent="0.3">
      <c r="A350" s="789"/>
      <c r="B350" s="806"/>
      <c r="C350" s="933"/>
      <c r="D350" s="933"/>
      <c r="E350" s="933"/>
      <c r="F350" s="934"/>
      <c r="G350" s="788"/>
      <c r="H350" s="803"/>
    </row>
    <row r="351" spans="1:8" s="801" customFormat="1" ht="75" x14ac:dyDescent="0.3">
      <c r="A351" s="807">
        <v>13</v>
      </c>
      <c r="B351" s="821" t="s">
        <v>179</v>
      </c>
      <c r="C351" s="808" t="s">
        <v>149</v>
      </c>
      <c r="D351" s="808" t="s">
        <v>95</v>
      </c>
      <c r="E351" s="808" t="s">
        <v>96</v>
      </c>
      <c r="F351" s="809" t="s">
        <v>97</v>
      </c>
      <c r="G351" s="799"/>
      <c r="H351" s="800">
        <f>H352</f>
        <v>886.9</v>
      </c>
    </row>
    <row r="352" spans="1:8" s="801" customFormat="1" ht="37.5" x14ac:dyDescent="0.3">
      <c r="A352" s="789"/>
      <c r="B352" s="802" t="s">
        <v>491</v>
      </c>
      <c r="C352" s="463" t="s">
        <v>149</v>
      </c>
      <c r="D352" s="464" t="s">
        <v>98</v>
      </c>
      <c r="E352" s="464" t="s">
        <v>96</v>
      </c>
      <c r="F352" s="465" t="s">
        <v>97</v>
      </c>
      <c r="G352" s="466"/>
      <c r="H352" s="803">
        <f>H353</f>
        <v>886.9</v>
      </c>
    </row>
    <row r="353" spans="1:8" s="801" customFormat="1" ht="56.25" x14ac:dyDescent="0.3">
      <c r="A353" s="789"/>
      <c r="B353" s="824" t="s">
        <v>431</v>
      </c>
      <c r="C353" s="463" t="s">
        <v>149</v>
      </c>
      <c r="D353" s="464" t="s">
        <v>98</v>
      </c>
      <c r="E353" s="464" t="s">
        <v>90</v>
      </c>
      <c r="F353" s="465" t="s">
        <v>97</v>
      </c>
      <c r="G353" s="466"/>
      <c r="H353" s="803">
        <f>H354+H356</f>
        <v>886.9</v>
      </c>
    </row>
    <row r="354" spans="1:8" s="801" customFormat="1" ht="56.25" x14ac:dyDescent="0.3">
      <c r="A354" s="789"/>
      <c r="B354" s="824" t="s">
        <v>180</v>
      </c>
      <c r="C354" s="463" t="s">
        <v>149</v>
      </c>
      <c r="D354" s="464" t="s">
        <v>98</v>
      </c>
      <c r="E354" s="464" t="s">
        <v>90</v>
      </c>
      <c r="F354" s="465" t="s">
        <v>181</v>
      </c>
      <c r="G354" s="466"/>
      <c r="H354" s="803">
        <f>H355</f>
        <v>107.9</v>
      </c>
    </row>
    <row r="355" spans="1:8" ht="37.5" x14ac:dyDescent="0.3">
      <c r="A355" s="789"/>
      <c r="B355" s="802" t="s">
        <v>108</v>
      </c>
      <c r="C355" s="463" t="s">
        <v>149</v>
      </c>
      <c r="D355" s="464" t="s">
        <v>98</v>
      </c>
      <c r="E355" s="464" t="s">
        <v>90</v>
      </c>
      <c r="F355" s="465" t="s">
        <v>181</v>
      </c>
      <c r="G355" s="466" t="s">
        <v>109</v>
      </c>
      <c r="H355" s="803">
        <f>'прил12(ведом 19)'!M137</f>
        <v>107.9</v>
      </c>
    </row>
    <row r="356" spans="1:8" ht="56.25" x14ac:dyDescent="0.3">
      <c r="A356" s="789"/>
      <c r="B356" s="763" t="s">
        <v>647</v>
      </c>
      <c r="C356" s="463" t="s">
        <v>149</v>
      </c>
      <c r="D356" s="464" t="s">
        <v>98</v>
      </c>
      <c r="E356" s="464" t="s">
        <v>90</v>
      </c>
      <c r="F356" s="465" t="s">
        <v>646</v>
      </c>
      <c r="G356" s="466"/>
      <c r="H356" s="803">
        <f>H357</f>
        <v>779</v>
      </c>
    </row>
    <row r="357" spans="1:8" ht="37.5" x14ac:dyDescent="0.3">
      <c r="A357" s="789"/>
      <c r="B357" s="763" t="s">
        <v>108</v>
      </c>
      <c r="C357" s="463" t="s">
        <v>149</v>
      </c>
      <c r="D357" s="464" t="s">
        <v>98</v>
      </c>
      <c r="E357" s="464" t="s">
        <v>90</v>
      </c>
      <c r="F357" s="465" t="s">
        <v>646</v>
      </c>
      <c r="G357" s="466" t="s">
        <v>109</v>
      </c>
      <c r="H357" s="803">
        <f>'прил12(ведом 19)'!M139</f>
        <v>779</v>
      </c>
    </row>
    <row r="358" spans="1:8" s="801" customFormat="1" ht="18.75" x14ac:dyDescent="0.3">
      <c r="A358" s="789"/>
      <c r="B358" s="804"/>
      <c r="C358" s="933"/>
      <c r="D358" s="933"/>
      <c r="E358" s="933"/>
      <c r="F358" s="934"/>
      <c r="G358" s="788"/>
      <c r="H358" s="803"/>
    </row>
    <row r="359" spans="1:8" s="801" customFormat="1" ht="75" x14ac:dyDescent="0.3">
      <c r="A359" s="807">
        <v>14</v>
      </c>
      <c r="B359" s="821" t="s">
        <v>131</v>
      </c>
      <c r="C359" s="808" t="s">
        <v>132</v>
      </c>
      <c r="D359" s="808" t="s">
        <v>95</v>
      </c>
      <c r="E359" s="808" t="s">
        <v>96</v>
      </c>
      <c r="F359" s="809" t="s">
        <v>97</v>
      </c>
      <c r="G359" s="799"/>
      <c r="H359" s="800">
        <f>H360</f>
        <v>928.40000000000009</v>
      </c>
    </row>
    <row r="360" spans="1:8" ht="37.5" x14ac:dyDescent="0.3">
      <c r="A360" s="789"/>
      <c r="B360" s="802" t="s">
        <v>491</v>
      </c>
      <c r="C360" s="463" t="s">
        <v>132</v>
      </c>
      <c r="D360" s="464" t="s">
        <v>98</v>
      </c>
      <c r="E360" s="464" t="s">
        <v>96</v>
      </c>
      <c r="F360" s="465" t="s">
        <v>97</v>
      </c>
      <c r="G360" s="466"/>
      <c r="H360" s="803">
        <f>H361</f>
        <v>928.40000000000009</v>
      </c>
    </row>
    <row r="361" spans="1:8" ht="37.5" x14ac:dyDescent="0.3">
      <c r="A361" s="789"/>
      <c r="B361" s="811" t="s">
        <v>371</v>
      </c>
      <c r="C361" s="463" t="s">
        <v>132</v>
      </c>
      <c r="D361" s="464" t="s">
        <v>98</v>
      </c>
      <c r="E361" s="464" t="s">
        <v>90</v>
      </c>
      <c r="F361" s="465" t="s">
        <v>97</v>
      </c>
      <c r="G361" s="466"/>
      <c r="H361" s="803">
        <f>H362</f>
        <v>928.40000000000009</v>
      </c>
    </row>
    <row r="362" spans="1:8" ht="37.5" x14ac:dyDescent="0.3">
      <c r="A362" s="789"/>
      <c r="B362" s="811" t="s">
        <v>133</v>
      </c>
      <c r="C362" s="463" t="s">
        <v>132</v>
      </c>
      <c r="D362" s="464" t="s">
        <v>98</v>
      </c>
      <c r="E362" s="464" t="s">
        <v>90</v>
      </c>
      <c r="F362" s="465" t="s">
        <v>134</v>
      </c>
      <c r="G362" s="466"/>
      <c r="H362" s="803">
        <f>H363</f>
        <v>928.40000000000009</v>
      </c>
    </row>
    <row r="363" spans="1:8" ht="56.25" x14ac:dyDescent="0.3">
      <c r="A363" s="789"/>
      <c r="B363" s="804" t="s">
        <v>135</v>
      </c>
      <c r="C363" s="463" t="s">
        <v>132</v>
      </c>
      <c r="D363" s="464" t="s">
        <v>98</v>
      </c>
      <c r="E363" s="464" t="s">
        <v>90</v>
      </c>
      <c r="F363" s="465" t="s">
        <v>134</v>
      </c>
      <c r="G363" s="466" t="s">
        <v>136</v>
      </c>
      <c r="H363" s="803">
        <f>'прил12(ведом 19)'!M63+'прил12(ведом 19)'!M179</f>
        <v>928.40000000000009</v>
      </c>
    </row>
    <row r="364" spans="1:8" ht="18.75" x14ac:dyDescent="0.3">
      <c r="A364" s="789"/>
      <c r="B364" s="804"/>
      <c r="C364" s="933"/>
      <c r="D364" s="933"/>
      <c r="E364" s="933"/>
      <c r="F364" s="934"/>
      <c r="G364" s="788"/>
      <c r="H364" s="803"/>
    </row>
    <row r="365" spans="1:8" s="801" customFormat="1" ht="56.25" x14ac:dyDescent="0.3">
      <c r="A365" s="807">
        <v>15</v>
      </c>
      <c r="B365" s="821" t="s">
        <v>93</v>
      </c>
      <c r="C365" s="808" t="s">
        <v>94</v>
      </c>
      <c r="D365" s="808" t="s">
        <v>95</v>
      </c>
      <c r="E365" s="808" t="s">
        <v>96</v>
      </c>
      <c r="F365" s="809" t="s">
        <v>97</v>
      </c>
      <c r="G365" s="799"/>
      <c r="H365" s="800">
        <f>H366</f>
        <v>81092.548999999999</v>
      </c>
    </row>
    <row r="366" spans="1:8" s="801" customFormat="1" ht="37.5" x14ac:dyDescent="0.3">
      <c r="A366" s="789"/>
      <c r="B366" s="802" t="s">
        <v>491</v>
      </c>
      <c r="C366" s="463" t="s">
        <v>94</v>
      </c>
      <c r="D366" s="464" t="s">
        <v>98</v>
      </c>
      <c r="E366" s="464" t="s">
        <v>96</v>
      </c>
      <c r="F366" s="465" t="s">
        <v>97</v>
      </c>
      <c r="G366" s="466"/>
      <c r="H366" s="803">
        <f>H367+H370+H390+H395+H400+H408+H405</f>
        <v>81092.548999999999</v>
      </c>
    </row>
    <row r="367" spans="1:8" s="801" customFormat="1" ht="37.5" x14ac:dyDescent="0.3">
      <c r="A367" s="789"/>
      <c r="B367" s="802" t="s">
        <v>99</v>
      </c>
      <c r="C367" s="463" t="s">
        <v>94</v>
      </c>
      <c r="D367" s="464" t="s">
        <v>98</v>
      </c>
      <c r="E367" s="464" t="s">
        <v>90</v>
      </c>
      <c r="F367" s="465" t="s">
        <v>97</v>
      </c>
      <c r="G367" s="466"/>
      <c r="H367" s="803">
        <f>H368</f>
        <v>1971.5</v>
      </c>
    </row>
    <row r="368" spans="1:8" s="801" customFormat="1" ht="37.5" x14ac:dyDescent="0.3">
      <c r="A368" s="789"/>
      <c r="B368" s="802" t="s">
        <v>100</v>
      </c>
      <c r="C368" s="463" t="s">
        <v>94</v>
      </c>
      <c r="D368" s="464" t="s">
        <v>98</v>
      </c>
      <c r="E368" s="464" t="s">
        <v>90</v>
      </c>
      <c r="F368" s="465" t="s">
        <v>101</v>
      </c>
      <c r="G368" s="466"/>
      <c r="H368" s="803">
        <f>H369</f>
        <v>1971.5</v>
      </c>
    </row>
    <row r="369" spans="1:8" s="801" customFormat="1" ht="93.75" x14ac:dyDescent="0.3">
      <c r="A369" s="789"/>
      <c r="B369" s="802" t="s">
        <v>102</v>
      </c>
      <c r="C369" s="463" t="s">
        <v>94</v>
      </c>
      <c r="D369" s="464" t="s">
        <v>98</v>
      </c>
      <c r="E369" s="464" t="s">
        <v>90</v>
      </c>
      <c r="F369" s="465" t="s">
        <v>101</v>
      </c>
      <c r="G369" s="466" t="s">
        <v>103</v>
      </c>
      <c r="H369" s="803">
        <f>'прил12(ведом 19)'!M23</f>
        <v>1971.5</v>
      </c>
    </row>
    <row r="370" spans="1:8" s="801" customFormat="1" ht="37.5" x14ac:dyDescent="0.3">
      <c r="A370" s="789"/>
      <c r="B370" s="802" t="s">
        <v>107</v>
      </c>
      <c r="C370" s="463" t="s">
        <v>94</v>
      </c>
      <c r="D370" s="464" t="s">
        <v>98</v>
      </c>
      <c r="E370" s="464" t="s">
        <v>92</v>
      </c>
      <c r="F370" s="465" t="s">
        <v>97</v>
      </c>
      <c r="G370" s="466"/>
      <c r="H370" s="803">
        <f>H371+H379+H381+H383+H386+H388+H377+H375</f>
        <v>65550.149000000005</v>
      </c>
    </row>
    <row r="371" spans="1:8" s="801" customFormat="1" ht="37.5" x14ac:dyDescent="0.3">
      <c r="A371" s="789"/>
      <c r="B371" s="802" t="s">
        <v>100</v>
      </c>
      <c r="C371" s="463" t="s">
        <v>94</v>
      </c>
      <c r="D371" s="464" t="s">
        <v>98</v>
      </c>
      <c r="E371" s="464" t="s">
        <v>92</v>
      </c>
      <c r="F371" s="465" t="s">
        <v>101</v>
      </c>
      <c r="G371" s="466"/>
      <c r="H371" s="803">
        <f>SUM(H372:H374)</f>
        <v>61570.749000000003</v>
      </c>
    </row>
    <row r="372" spans="1:8" s="801" customFormat="1" ht="93.75" x14ac:dyDescent="0.3">
      <c r="A372" s="789"/>
      <c r="B372" s="802" t="s">
        <v>102</v>
      </c>
      <c r="C372" s="463" t="s">
        <v>94</v>
      </c>
      <c r="D372" s="464" t="s">
        <v>98</v>
      </c>
      <c r="E372" s="464" t="s">
        <v>92</v>
      </c>
      <c r="F372" s="465" t="s">
        <v>101</v>
      </c>
      <c r="G372" s="466" t="s">
        <v>103</v>
      </c>
      <c r="H372" s="803">
        <f>'прил12(ведом 19)'!M29</f>
        <v>55633.4</v>
      </c>
    </row>
    <row r="373" spans="1:8" ht="37.5" x14ac:dyDescent="0.3">
      <c r="A373" s="789"/>
      <c r="B373" s="802" t="s">
        <v>108</v>
      </c>
      <c r="C373" s="463" t="s">
        <v>94</v>
      </c>
      <c r="D373" s="464" t="s">
        <v>98</v>
      </c>
      <c r="E373" s="464" t="s">
        <v>92</v>
      </c>
      <c r="F373" s="465" t="s">
        <v>101</v>
      </c>
      <c r="G373" s="466" t="s">
        <v>109</v>
      </c>
      <c r="H373" s="803">
        <f>'прил12(ведом 19)'!M30</f>
        <v>5696.9490000000005</v>
      </c>
    </row>
    <row r="374" spans="1:8" s="801" customFormat="1" ht="18.75" x14ac:dyDescent="0.3">
      <c r="A374" s="789"/>
      <c r="B374" s="802" t="s">
        <v>110</v>
      </c>
      <c r="C374" s="463" t="s">
        <v>94</v>
      </c>
      <c r="D374" s="464" t="s">
        <v>98</v>
      </c>
      <c r="E374" s="464" t="s">
        <v>92</v>
      </c>
      <c r="F374" s="465" t="s">
        <v>101</v>
      </c>
      <c r="G374" s="466" t="s">
        <v>111</v>
      </c>
      <c r="H374" s="803">
        <f>'прил12(ведом 19)'!M31</f>
        <v>240.4</v>
      </c>
    </row>
    <row r="375" spans="1:8" s="801" customFormat="1" ht="18.75" x14ac:dyDescent="0.3">
      <c r="A375" s="789"/>
      <c r="B375" s="763" t="s">
        <v>823</v>
      </c>
      <c r="C375" s="463" t="s">
        <v>94</v>
      </c>
      <c r="D375" s="464" t="s">
        <v>98</v>
      </c>
      <c r="E375" s="464" t="s">
        <v>92</v>
      </c>
      <c r="F375" s="465" t="s">
        <v>822</v>
      </c>
      <c r="G375" s="466"/>
      <c r="H375" s="803">
        <f>H376</f>
        <v>103.9</v>
      </c>
    </row>
    <row r="376" spans="1:8" s="801" customFormat="1" ht="37.5" x14ac:dyDescent="0.3">
      <c r="A376" s="789"/>
      <c r="B376" s="802" t="s">
        <v>108</v>
      </c>
      <c r="C376" s="463" t="s">
        <v>94</v>
      </c>
      <c r="D376" s="464" t="s">
        <v>98</v>
      </c>
      <c r="E376" s="464" t="s">
        <v>92</v>
      </c>
      <c r="F376" s="465" t="s">
        <v>822</v>
      </c>
      <c r="G376" s="466" t="s">
        <v>109</v>
      </c>
      <c r="H376" s="803">
        <f>'прил12(ведом 19)'!M68</f>
        <v>103.9</v>
      </c>
    </row>
    <row r="377" spans="1:8" s="801" customFormat="1" ht="75" x14ac:dyDescent="0.3">
      <c r="A377" s="789"/>
      <c r="B377" s="763" t="s">
        <v>636</v>
      </c>
      <c r="C377" s="463" t="s">
        <v>94</v>
      </c>
      <c r="D377" s="464" t="s">
        <v>98</v>
      </c>
      <c r="E377" s="464" t="s">
        <v>92</v>
      </c>
      <c r="F377" s="465" t="s">
        <v>635</v>
      </c>
      <c r="G377" s="466"/>
      <c r="H377" s="803">
        <f>H378</f>
        <v>10.4</v>
      </c>
    </row>
    <row r="378" spans="1:8" s="801" customFormat="1" ht="37.5" x14ac:dyDescent="0.3">
      <c r="A378" s="789"/>
      <c r="B378" s="763" t="s">
        <v>108</v>
      </c>
      <c r="C378" s="463" t="s">
        <v>94</v>
      </c>
      <c r="D378" s="464" t="s">
        <v>98</v>
      </c>
      <c r="E378" s="464" t="s">
        <v>92</v>
      </c>
      <c r="F378" s="465" t="s">
        <v>635</v>
      </c>
      <c r="G378" s="466" t="s">
        <v>109</v>
      </c>
      <c r="H378" s="803">
        <f>'прил12(ведом 19)'!M51</f>
        <v>10.4</v>
      </c>
    </row>
    <row r="379" spans="1:8" ht="93.75" x14ac:dyDescent="0.3">
      <c r="A379" s="789"/>
      <c r="B379" s="802" t="s">
        <v>117</v>
      </c>
      <c r="C379" s="463" t="s">
        <v>94</v>
      </c>
      <c r="D379" s="464" t="s">
        <v>98</v>
      </c>
      <c r="E379" s="464" t="s">
        <v>92</v>
      </c>
      <c r="F379" s="465" t="s">
        <v>370</v>
      </c>
      <c r="G379" s="466"/>
      <c r="H379" s="803">
        <f>H380</f>
        <v>66</v>
      </c>
    </row>
    <row r="380" spans="1:8" ht="37.5" x14ac:dyDescent="0.3">
      <c r="A380" s="789"/>
      <c r="B380" s="802" t="s">
        <v>108</v>
      </c>
      <c r="C380" s="463" t="s">
        <v>94</v>
      </c>
      <c r="D380" s="464" t="s">
        <v>98</v>
      </c>
      <c r="E380" s="464" t="s">
        <v>92</v>
      </c>
      <c r="F380" s="465" t="s">
        <v>370</v>
      </c>
      <c r="G380" s="466" t="s">
        <v>109</v>
      </c>
      <c r="H380" s="803">
        <f>'прил12(ведом 19)'!M33</f>
        <v>66</v>
      </c>
    </row>
    <row r="381" spans="1:8" ht="187.5" x14ac:dyDescent="0.3">
      <c r="A381" s="789"/>
      <c r="B381" s="763" t="s">
        <v>812</v>
      </c>
      <c r="C381" s="463" t="s">
        <v>94</v>
      </c>
      <c r="D381" s="464" t="s">
        <v>98</v>
      </c>
      <c r="E381" s="464" t="s">
        <v>92</v>
      </c>
      <c r="F381" s="465" t="s">
        <v>112</v>
      </c>
      <c r="G381" s="466"/>
      <c r="H381" s="803">
        <f>H382</f>
        <v>617.1</v>
      </c>
    </row>
    <row r="382" spans="1:8" ht="93.75" x14ac:dyDescent="0.3">
      <c r="A382" s="789"/>
      <c r="B382" s="802" t="s">
        <v>102</v>
      </c>
      <c r="C382" s="463" t="s">
        <v>94</v>
      </c>
      <c r="D382" s="464" t="s">
        <v>98</v>
      </c>
      <c r="E382" s="464" t="s">
        <v>92</v>
      </c>
      <c r="F382" s="465" t="s">
        <v>112</v>
      </c>
      <c r="G382" s="466" t="s">
        <v>103</v>
      </c>
      <c r="H382" s="803">
        <f>'прил12(ведом 19)'!M35</f>
        <v>617.1</v>
      </c>
    </row>
    <row r="383" spans="1:8" ht="75" x14ac:dyDescent="0.3">
      <c r="A383" s="789"/>
      <c r="B383" s="802" t="s">
        <v>113</v>
      </c>
      <c r="C383" s="463" t="s">
        <v>94</v>
      </c>
      <c r="D383" s="464" t="s">
        <v>98</v>
      </c>
      <c r="E383" s="464" t="s">
        <v>92</v>
      </c>
      <c r="F383" s="465" t="s">
        <v>114</v>
      </c>
      <c r="G383" s="466"/>
      <c r="H383" s="803">
        <f>SUM(H384:H385)</f>
        <v>2498.7000000000003</v>
      </c>
    </row>
    <row r="384" spans="1:8" ht="93.75" x14ac:dyDescent="0.3">
      <c r="A384" s="789"/>
      <c r="B384" s="802" t="s">
        <v>102</v>
      </c>
      <c r="C384" s="463" t="s">
        <v>94</v>
      </c>
      <c r="D384" s="464" t="s">
        <v>98</v>
      </c>
      <c r="E384" s="464" t="s">
        <v>92</v>
      </c>
      <c r="F384" s="465" t="s">
        <v>114</v>
      </c>
      <c r="G384" s="466" t="s">
        <v>103</v>
      </c>
      <c r="H384" s="803">
        <f>'прил12(ведом 19)'!M37</f>
        <v>2399.8000000000002</v>
      </c>
    </row>
    <row r="385" spans="1:8" ht="37.5" x14ac:dyDescent="0.3">
      <c r="A385" s="789"/>
      <c r="B385" s="763" t="s">
        <v>108</v>
      </c>
      <c r="C385" s="463" t="s">
        <v>94</v>
      </c>
      <c r="D385" s="464" t="s">
        <v>98</v>
      </c>
      <c r="E385" s="464" t="s">
        <v>92</v>
      </c>
      <c r="F385" s="465" t="s">
        <v>114</v>
      </c>
      <c r="G385" s="466" t="s">
        <v>109</v>
      </c>
      <c r="H385" s="803">
        <f>'прил12(ведом 19)'!M38</f>
        <v>98.9</v>
      </c>
    </row>
    <row r="386" spans="1:8" ht="56.25" x14ac:dyDescent="0.3">
      <c r="A386" s="789"/>
      <c r="B386" s="802" t="s">
        <v>115</v>
      </c>
      <c r="C386" s="463" t="s">
        <v>94</v>
      </c>
      <c r="D386" s="464" t="s">
        <v>98</v>
      </c>
      <c r="E386" s="464" t="s">
        <v>92</v>
      </c>
      <c r="F386" s="465" t="s">
        <v>116</v>
      </c>
      <c r="G386" s="466"/>
      <c r="H386" s="803">
        <f>H387</f>
        <v>617.29999999999995</v>
      </c>
    </row>
    <row r="387" spans="1:8" ht="93.75" x14ac:dyDescent="0.3">
      <c r="A387" s="789"/>
      <c r="B387" s="802" t="s">
        <v>102</v>
      </c>
      <c r="C387" s="463" t="s">
        <v>94</v>
      </c>
      <c r="D387" s="464" t="s">
        <v>98</v>
      </c>
      <c r="E387" s="464" t="s">
        <v>92</v>
      </c>
      <c r="F387" s="465" t="s">
        <v>116</v>
      </c>
      <c r="G387" s="466" t="s">
        <v>103</v>
      </c>
      <c r="H387" s="803">
        <f>'прил12(ведом 19)'!M40</f>
        <v>617.29999999999995</v>
      </c>
    </row>
    <row r="388" spans="1:8" ht="168.75" x14ac:dyDescent="0.3">
      <c r="A388" s="789"/>
      <c r="B388" s="763" t="s">
        <v>584</v>
      </c>
      <c r="C388" s="463" t="s">
        <v>94</v>
      </c>
      <c r="D388" s="464" t="s">
        <v>98</v>
      </c>
      <c r="E388" s="464" t="s">
        <v>92</v>
      </c>
      <c r="F388" s="465" t="s">
        <v>583</v>
      </c>
      <c r="G388" s="466"/>
      <c r="H388" s="803">
        <f>H389</f>
        <v>66</v>
      </c>
    </row>
    <row r="389" spans="1:8" ht="37.5" x14ac:dyDescent="0.3">
      <c r="A389" s="789"/>
      <c r="B389" s="763" t="s">
        <v>108</v>
      </c>
      <c r="C389" s="463" t="s">
        <v>94</v>
      </c>
      <c r="D389" s="464" t="s">
        <v>98</v>
      </c>
      <c r="E389" s="464" t="s">
        <v>92</v>
      </c>
      <c r="F389" s="465" t="s">
        <v>583</v>
      </c>
      <c r="G389" s="466" t="s">
        <v>109</v>
      </c>
      <c r="H389" s="803">
        <f>'прил12(ведом 19)'!M42</f>
        <v>66</v>
      </c>
    </row>
    <row r="390" spans="1:8" ht="18.75" x14ac:dyDescent="0.3">
      <c r="A390" s="789"/>
      <c r="B390" s="802" t="s">
        <v>118</v>
      </c>
      <c r="C390" s="463" t="s">
        <v>94</v>
      </c>
      <c r="D390" s="464" t="s">
        <v>98</v>
      </c>
      <c r="E390" s="464" t="s">
        <v>119</v>
      </c>
      <c r="F390" s="465" t="s">
        <v>97</v>
      </c>
      <c r="G390" s="466"/>
      <c r="H390" s="803">
        <f>H391+H393</f>
        <v>842.80000000000007</v>
      </c>
    </row>
    <row r="391" spans="1:8" ht="37.5" x14ac:dyDescent="0.3">
      <c r="A391" s="789"/>
      <c r="B391" s="802" t="s">
        <v>100</v>
      </c>
      <c r="C391" s="463" t="s">
        <v>94</v>
      </c>
      <c r="D391" s="464" t="s">
        <v>98</v>
      </c>
      <c r="E391" s="464" t="s">
        <v>119</v>
      </c>
      <c r="F391" s="465" t="s">
        <v>101</v>
      </c>
      <c r="G391" s="466"/>
      <c r="H391" s="803">
        <f>H392</f>
        <v>41.6</v>
      </c>
    </row>
    <row r="392" spans="1:8" ht="37.5" x14ac:dyDescent="0.3">
      <c r="A392" s="789"/>
      <c r="B392" s="802" t="s">
        <v>108</v>
      </c>
      <c r="C392" s="463" t="s">
        <v>94</v>
      </c>
      <c r="D392" s="464" t="s">
        <v>98</v>
      </c>
      <c r="E392" s="464" t="s">
        <v>119</v>
      </c>
      <c r="F392" s="465" t="s">
        <v>101</v>
      </c>
      <c r="G392" s="466" t="s">
        <v>109</v>
      </c>
      <c r="H392" s="803">
        <f>'прил12(ведом 19)'!M45</f>
        <v>41.6</v>
      </c>
    </row>
    <row r="393" spans="1:8" ht="56.25" x14ac:dyDescent="0.3">
      <c r="A393" s="789"/>
      <c r="B393" s="763" t="s">
        <v>616</v>
      </c>
      <c r="C393" s="463" t="s">
        <v>94</v>
      </c>
      <c r="D393" s="464" t="s">
        <v>98</v>
      </c>
      <c r="E393" s="464" t="s">
        <v>119</v>
      </c>
      <c r="F393" s="465" t="s">
        <v>615</v>
      </c>
      <c r="G393" s="466"/>
      <c r="H393" s="803">
        <f>H394</f>
        <v>801.2</v>
      </c>
    </row>
    <row r="394" spans="1:8" ht="37.5" x14ac:dyDescent="0.3">
      <c r="A394" s="789"/>
      <c r="B394" s="763" t="s">
        <v>108</v>
      </c>
      <c r="C394" s="463" t="s">
        <v>94</v>
      </c>
      <c r="D394" s="464" t="s">
        <v>98</v>
      </c>
      <c r="E394" s="464" t="s">
        <v>119</v>
      </c>
      <c r="F394" s="465" t="s">
        <v>615</v>
      </c>
      <c r="G394" s="466" t="s">
        <v>109</v>
      </c>
      <c r="H394" s="803">
        <f>'прил12(ведом 19)'!M71</f>
        <v>801.2</v>
      </c>
    </row>
    <row r="395" spans="1:8" ht="18.75" x14ac:dyDescent="0.3">
      <c r="A395" s="789"/>
      <c r="B395" s="802" t="s">
        <v>120</v>
      </c>
      <c r="C395" s="463" t="s">
        <v>94</v>
      </c>
      <c r="D395" s="464" t="s">
        <v>98</v>
      </c>
      <c r="E395" s="464" t="s">
        <v>105</v>
      </c>
      <c r="F395" s="465" t="s">
        <v>97</v>
      </c>
      <c r="G395" s="466"/>
      <c r="H395" s="803">
        <f>H396+H398</f>
        <v>2102.9</v>
      </c>
    </row>
    <row r="396" spans="1:8" ht="56.25" x14ac:dyDescent="0.3">
      <c r="A396" s="789"/>
      <c r="B396" s="824" t="s">
        <v>522</v>
      </c>
      <c r="C396" s="463" t="s">
        <v>94</v>
      </c>
      <c r="D396" s="464" t="s">
        <v>98</v>
      </c>
      <c r="E396" s="464" t="s">
        <v>105</v>
      </c>
      <c r="F396" s="465" t="s">
        <v>168</v>
      </c>
      <c r="G396" s="466"/>
      <c r="H396" s="803">
        <f>H397</f>
        <v>185.3</v>
      </c>
    </row>
    <row r="397" spans="1:8" ht="37.5" x14ac:dyDescent="0.3">
      <c r="A397" s="789"/>
      <c r="B397" s="802" t="s">
        <v>108</v>
      </c>
      <c r="C397" s="463" t="s">
        <v>94</v>
      </c>
      <c r="D397" s="464" t="s">
        <v>98</v>
      </c>
      <c r="E397" s="464" t="s">
        <v>105</v>
      </c>
      <c r="F397" s="465" t="s">
        <v>168</v>
      </c>
      <c r="G397" s="466" t="s">
        <v>109</v>
      </c>
      <c r="H397" s="803">
        <f>'прил12(ведом 19)'!M74</f>
        <v>185.3</v>
      </c>
    </row>
    <row r="398" spans="1:8" ht="56.25" x14ac:dyDescent="0.3">
      <c r="A398" s="789"/>
      <c r="B398" s="802" t="s">
        <v>524</v>
      </c>
      <c r="C398" s="463" t="s">
        <v>94</v>
      </c>
      <c r="D398" s="464" t="s">
        <v>98</v>
      </c>
      <c r="E398" s="464" t="s">
        <v>105</v>
      </c>
      <c r="F398" s="465" t="s">
        <v>523</v>
      </c>
      <c r="G398" s="466"/>
      <c r="H398" s="803">
        <f>H399</f>
        <v>1917.6</v>
      </c>
    </row>
    <row r="399" spans="1:8" ht="37.5" x14ac:dyDescent="0.3">
      <c r="A399" s="789"/>
      <c r="B399" s="802" t="s">
        <v>108</v>
      </c>
      <c r="C399" s="463" t="s">
        <v>94</v>
      </c>
      <c r="D399" s="464" t="s">
        <v>98</v>
      </c>
      <c r="E399" s="464" t="s">
        <v>105</v>
      </c>
      <c r="F399" s="465" t="s">
        <v>523</v>
      </c>
      <c r="G399" s="466" t="s">
        <v>109</v>
      </c>
      <c r="H399" s="803">
        <f>'прил12(ведом 19)'!M76</f>
        <v>1917.6</v>
      </c>
    </row>
    <row r="400" spans="1:8" ht="75" x14ac:dyDescent="0.3">
      <c r="A400" s="826"/>
      <c r="B400" s="831" t="s">
        <v>420</v>
      </c>
      <c r="C400" s="814" t="s">
        <v>94</v>
      </c>
      <c r="D400" s="768" t="s">
        <v>98</v>
      </c>
      <c r="E400" s="768" t="s">
        <v>141</v>
      </c>
      <c r="F400" s="769" t="s">
        <v>97</v>
      </c>
      <c r="G400" s="770"/>
      <c r="H400" s="803">
        <f>H401</f>
        <v>5636.5</v>
      </c>
    </row>
    <row r="401" spans="1:8" ht="75" x14ac:dyDescent="0.3">
      <c r="A401" s="826"/>
      <c r="B401" s="831" t="s">
        <v>151</v>
      </c>
      <c r="C401" s="814" t="s">
        <v>94</v>
      </c>
      <c r="D401" s="768" t="s">
        <v>98</v>
      </c>
      <c r="E401" s="768" t="s">
        <v>141</v>
      </c>
      <c r="F401" s="769" t="s">
        <v>153</v>
      </c>
      <c r="G401" s="770"/>
      <c r="H401" s="803">
        <f>SUM(H402:H404)</f>
        <v>5636.5</v>
      </c>
    </row>
    <row r="402" spans="1:8" ht="93.75" x14ac:dyDescent="0.3">
      <c r="A402" s="826"/>
      <c r="B402" s="831" t="s">
        <v>102</v>
      </c>
      <c r="C402" s="814" t="s">
        <v>94</v>
      </c>
      <c r="D402" s="768" t="s">
        <v>98</v>
      </c>
      <c r="E402" s="768" t="s">
        <v>141</v>
      </c>
      <c r="F402" s="769" t="s">
        <v>153</v>
      </c>
      <c r="G402" s="770" t="s">
        <v>103</v>
      </c>
      <c r="H402" s="803">
        <f>'прил12(ведом 19)'!M269</f>
        <v>5038.7</v>
      </c>
    </row>
    <row r="403" spans="1:8" ht="37.5" x14ac:dyDescent="0.3">
      <c r="A403" s="826"/>
      <c r="B403" s="802" t="s">
        <v>108</v>
      </c>
      <c r="C403" s="814" t="s">
        <v>94</v>
      </c>
      <c r="D403" s="768" t="s">
        <v>98</v>
      </c>
      <c r="E403" s="768" t="s">
        <v>141</v>
      </c>
      <c r="F403" s="769" t="s">
        <v>153</v>
      </c>
      <c r="G403" s="770" t="s">
        <v>109</v>
      </c>
      <c r="H403" s="803">
        <f>'прил12(ведом 19)'!M270</f>
        <v>597.69999999999993</v>
      </c>
    </row>
    <row r="404" spans="1:8" ht="18.75" x14ac:dyDescent="0.3">
      <c r="A404" s="826"/>
      <c r="B404" s="766" t="s">
        <v>110</v>
      </c>
      <c r="C404" s="814" t="s">
        <v>94</v>
      </c>
      <c r="D404" s="768" t="s">
        <v>98</v>
      </c>
      <c r="E404" s="768" t="s">
        <v>141</v>
      </c>
      <c r="F404" s="769" t="s">
        <v>153</v>
      </c>
      <c r="G404" s="770" t="s">
        <v>111</v>
      </c>
      <c r="H404" s="803">
        <f>'прил12(ведом 19)'!M271</f>
        <v>0.1</v>
      </c>
    </row>
    <row r="405" spans="1:8" ht="56.25" x14ac:dyDescent="0.3">
      <c r="A405" s="826"/>
      <c r="B405" s="858" t="s">
        <v>610</v>
      </c>
      <c r="C405" s="463" t="s">
        <v>94</v>
      </c>
      <c r="D405" s="464" t="s">
        <v>98</v>
      </c>
      <c r="E405" s="464" t="s">
        <v>139</v>
      </c>
      <c r="F405" s="465" t="s">
        <v>97</v>
      </c>
      <c r="G405" s="466"/>
      <c r="H405" s="803">
        <f>H406</f>
        <v>6</v>
      </c>
    </row>
    <row r="406" spans="1:8" ht="18.75" x14ac:dyDescent="0.3">
      <c r="A406" s="826"/>
      <c r="B406" s="858" t="s">
        <v>611</v>
      </c>
      <c r="C406" s="463" t="s">
        <v>94</v>
      </c>
      <c r="D406" s="464" t="s">
        <v>98</v>
      </c>
      <c r="E406" s="464" t="s">
        <v>139</v>
      </c>
      <c r="F406" s="465" t="s">
        <v>612</v>
      </c>
      <c r="G406" s="466"/>
      <c r="H406" s="803">
        <f>H407</f>
        <v>6</v>
      </c>
    </row>
    <row r="407" spans="1:8" ht="37.5" x14ac:dyDescent="0.3">
      <c r="A407" s="826"/>
      <c r="B407" s="858" t="s">
        <v>613</v>
      </c>
      <c r="C407" s="463" t="s">
        <v>94</v>
      </c>
      <c r="D407" s="464" t="s">
        <v>98</v>
      </c>
      <c r="E407" s="464" t="s">
        <v>139</v>
      </c>
      <c r="F407" s="465" t="s">
        <v>612</v>
      </c>
      <c r="G407" s="466" t="s">
        <v>614</v>
      </c>
      <c r="H407" s="803">
        <f>'прил12(ведом 19)'!M186</f>
        <v>6</v>
      </c>
    </row>
    <row r="408" spans="1:8" ht="37.5" x14ac:dyDescent="0.3">
      <c r="A408" s="826"/>
      <c r="B408" s="763" t="s">
        <v>474</v>
      </c>
      <c r="C408" s="463" t="s">
        <v>94</v>
      </c>
      <c r="D408" s="464" t="s">
        <v>98</v>
      </c>
      <c r="E408" s="464" t="s">
        <v>149</v>
      </c>
      <c r="F408" s="465" t="s">
        <v>97</v>
      </c>
      <c r="G408" s="770"/>
      <c r="H408" s="803">
        <f>H413+H409</f>
        <v>4982.7000000000007</v>
      </c>
    </row>
    <row r="409" spans="1:8" ht="75" x14ac:dyDescent="0.3">
      <c r="A409" s="826"/>
      <c r="B409" s="857" t="s">
        <v>151</v>
      </c>
      <c r="C409" s="463" t="s">
        <v>94</v>
      </c>
      <c r="D409" s="464" t="s">
        <v>98</v>
      </c>
      <c r="E409" s="464" t="s">
        <v>149</v>
      </c>
      <c r="F409" s="465" t="s">
        <v>153</v>
      </c>
      <c r="G409" s="466"/>
      <c r="H409" s="803">
        <f>SUM(H410:H412)</f>
        <v>4507.1000000000004</v>
      </c>
    </row>
    <row r="410" spans="1:8" ht="93.75" x14ac:dyDescent="0.3">
      <c r="A410" s="826"/>
      <c r="B410" s="763" t="s">
        <v>102</v>
      </c>
      <c r="C410" s="463" t="s">
        <v>94</v>
      </c>
      <c r="D410" s="464" t="s">
        <v>98</v>
      </c>
      <c r="E410" s="464" t="s">
        <v>149</v>
      </c>
      <c r="F410" s="465" t="s">
        <v>153</v>
      </c>
      <c r="G410" s="466" t="s">
        <v>103</v>
      </c>
      <c r="H410" s="803">
        <f>'прил12(ведом 19)'!M144</f>
        <v>4158.7</v>
      </c>
    </row>
    <row r="411" spans="1:8" ht="37.5" x14ac:dyDescent="0.3">
      <c r="A411" s="826"/>
      <c r="B411" s="763" t="s">
        <v>108</v>
      </c>
      <c r="C411" s="463" t="s">
        <v>94</v>
      </c>
      <c r="D411" s="464" t="s">
        <v>98</v>
      </c>
      <c r="E411" s="464" t="s">
        <v>149</v>
      </c>
      <c r="F411" s="465" t="s">
        <v>153</v>
      </c>
      <c r="G411" s="466" t="s">
        <v>109</v>
      </c>
      <c r="H411" s="803">
        <f>'прил12(ведом 19)'!M145</f>
        <v>299.8</v>
      </c>
    </row>
    <row r="412" spans="1:8" ht="18.75" x14ac:dyDescent="0.3">
      <c r="A412" s="826"/>
      <c r="B412" s="763" t="s">
        <v>110</v>
      </c>
      <c r="C412" s="463" t="s">
        <v>94</v>
      </c>
      <c r="D412" s="464" t="s">
        <v>98</v>
      </c>
      <c r="E412" s="464" t="s">
        <v>149</v>
      </c>
      <c r="F412" s="465" t="s">
        <v>153</v>
      </c>
      <c r="G412" s="466" t="s">
        <v>111</v>
      </c>
      <c r="H412" s="803">
        <f>'прил12(ведом 19)'!M146</f>
        <v>48.6</v>
      </c>
    </row>
    <row r="413" spans="1:8" ht="56.25" x14ac:dyDescent="0.3">
      <c r="A413" s="826"/>
      <c r="B413" s="763" t="s">
        <v>617</v>
      </c>
      <c r="C413" s="463" t="s">
        <v>94</v>
      </c>
      <c r="D413" s="464" t="s">
        <v>98</v>
      </c>
      <c r="E413" s="464" t="s">
        <v>149</v>
      </c>
      <c r="F413" s="465" t="s">
        <v>475</v>
      </c>
      <c r="G413" s="466"/>
      <c r="H413" s="803">
        <f>H414</f>
        <v>475.59999999999997</v>
      </c>
    </row>
    <row r="414" spans="1:8" ht="18.75" x14ac:dyDescent="0.3">
      <c r="A414" s="826"/>
      <c r="B414" s="802" t="s">
        <v>186</v>
      </c>
      <c r="C414" s="463" t="s">
        <v>94</v>
      </c>
      <c r="D414" s="464" t="s">
        <v>98</v>
      </c>
      <c r="E414" s="464" t="s">
        <v>149</v>
      </c>
      <c r="F414" s="465" t="s">
        <v>475</v>
      </c>
      <c r="G414" s="466" t="s">
        <v>187</v>
      </c>
      <c r="H414" s="803">
        <f>'прил12(ведом 19)'!M148</f>
        <v>475.59999999999997</v>
      </c>
    </row>
    <row r="415" spans="1:8" ht="18.75" x14ac:dyDescent="0.3">
      <c r="A415" s="826"/>
      <c r="B415" s="802"/>
      <c r="C415" s="464"/>
      <c r="D415" s="464"/>
      <c r="E415" s="464"/>
      <c r="F415" s="465"/>
      <c r="G415" s="466"/>
      <c r="H415" s="803"/>
    </row>
    <row r="416" spans="1:8" ht="56.25" x14ac:dyDescent="0.3">
      <c r="A416" s="807">
        <v>16</v>
      </c>
      <c r="B416" s="828" t="s">
        <v>313</v>
      </c>
      <c r="C416" s="808" t="s">
        <v>314</v>
      </c>
      <c r="D416" s="808" t="s">
        <v>95</v>
      </c>
      <c r="E416" s="808" t="s">
        <v>96</v>
      </c>
      <c r="F416" s="809" t="s">
        <v>97</v>
      </c>
      <c r="G416" s="799"/>
      <c r="H416" s="800">
        <f>H417</f>
        <v>52.6</v>
      </c>
    </row>
    <row r="417" spans="1:8" ht="37.5" x14ac:dyDescent="0.3">
      <c r="A417" s="789"/>
      <c r="B417" s="802" t="s">
        <v>491</v>
      </c>
      <c r="C417" s="463" t="s">
        <v>314</v>
      </c>
      <c r="D417" s="464" t="s">
        <v>98</v>
      </c>
      <c r="E417" s="464" t="s">
        <v>96</v>
      </c>
      <c r="F417" s="465" t="s">
        <v>97</v>
      </c>
      <c r="G417" s="466"/>
      <c r="H417" s="803">
        <f>H418</f>
        <v>52.6</v>
      </c>
    </row>
    <row r="418" spans="1:8" ht="56.25" x14ac:dyDescent="0.3">
      <c r="A418" s="789"/>
      <c r="B418" s="802" t="s">
        <v>393</v>
      </c>
      <c r="C418" s="463" t="s">
        <v>314</v>
      </c>
      <c r="D418" s="464" t="s">
        <v>98</v>
      </c>
      <c r="E418" s="464" t="s">
        <v>90</v>
      </c>
      <c r="F418" s="465" t="s">
        <v>97</v>
      </c>
      <c r="G418" s="466"/>
      <c r="H418" s="803">
        <f>H419</f>
        <v>52.6</v>
      </c>
    </row>
    <row r="419" spans="1:8" ht="37.5" x14ac:dyDescent="0.3">
      <c r="A419" s="789"/>
      <c r="B419" s="802" t="s">
        <v>315</v>
      </c>
      <c r="C419" s="463" t="s">
        <v>314</v>
      </c>
      <c r="D419" s="464" t="s">
        <v>98</v>
      </c>
      <c r="E419" s="464" t="s">
        <v>90</v>
      </c>
      <c r="F419" s="465" t="s">
        <v>387</v>
      </c>
      <c r="G419" s="466"/>
      <c r="H419" s="803">
        <f>H420</f>
        <v>52.6</v>
      </c>
    </row>
    <row r="420" spans="1:8" ht="56.25" x14ac:dyDescent="0.3">
      <c r="A420" s="789"/>
      <c r="B420" s="802" t="s">
        <v>135</v>
      </c>
      <c r="C420" s="463" t="s">
        <v>314</v>
      </c>
      <c r="D420" s="464" t="s">
        <v>98</v>
      </c>
      <c r="E420" s="464" t="s">
        <v>90</v>
      </c>
      <c r="F420" s="465" t="s">
        <v>387</v>
      </c>
      <c r="G420" s="466" t="s">
        <v>136</v>
      </c>
      <c r="H420" s="803">
        <f>'прил12(ведом 19)'!M339</f>
        <v>52.6</v>
      </c>
    </row>
    <row r="421" spans="1:8" ht="18.75" x14ac:dyDescent="0.3">
      <c r="A421" s="826"/>
      <c r="B421" s="802"/>
      <c r="C421" s="464"/>
      <c r="D421" s="464"/>
      <c r="E421" s="464"/>
      <c r="F421" s="464"/>
      <c r="G421" s="466"/>
      <c r="H421" s="803"/>
    </row>
    <row r="422" spans="1:8" ht="37.5" x14ac:dyDescent="0.3">
      <c r="A422" s="807">
        <v>17</v>
      </c>
      <c r="B422" s="860" t="s">
        <v>199</v>
      </c>
      <c r="C422" s="808" t="s">
        <v>200</v>
      </c>
      <c r="D422" s="808" t="s">
        <v>95</v>
      </c>
      <c r="E422" s="808" t="s">
        <v>96</v>
      </c>
      <c r="F422" s="808" t="s">
        <v>97</v>
      </c>
      <c r="G422" s="799"/>
      <c r="H422" s="800">
        <f>H423</f>
        <v>3999.2000000000003</v>
      </c>
    </row>
    <row r="423" spans="1:8" ht="56.25" x14ac:dyDescent="0.3">
      <c r="A423" s="789"/>
      <c r="B423" s="811" t="s">
        <v>202</v>
      </c>
      <c r="C423" s="463" t="s">
        <v>200</v>
      </c>
      <c r="D423" s="464" t="s">
        <v>98</v>
      </c>
      <c r="E423" s="464" t="s">
        <v>96</v>
      </c>
      <c r="F423" s="465" t="s">
        <v>97</v>
      </c>
      <c r="G423" s="466"/>
      <c r="H423" s="803">
        <f>H424+H427+H432</f>
        <v>3999.2000000000003</v>
      </c>
    </row>
    <row r="424" spans="1:8" ht="37.5" x14ac:dyDescent="0.3">
      <c r="A424" s="789"/>
      <c r="B424" s="802" t="s">
        <v>201</v>
      </c>
      <c r="C424" s="463" t="s">
        <v>200</v>
      </c>
      <c r="D424" s="464" t="s">
        <v>98</v>
      </c>
      <c r="E424" s="464" t="s">
        <v>90</v>
      </c>
      <c r="F424" s="465" t="s">
        <v>97</v>
      </c>
      <c r="G424" s="466"/>
      <c r="H424" s="803">
        <f>H425</f>
        <v>1182.7</v>
      </c>
    </row>
    <row r="425" spans="1:8" ht="37.5" x14ac:dyDescent="0.3">
      <c r="A425" s="789"/>
      <c r="B425" s="802" t="s">
        <v>100</v>
      </c>
      <c r="C425" s="463" t="s">
        <v>200</v>
      </c>
      <c r="D425" s="464" t="s">
        <v>98</v>
      </c>
      <c r="E425" s="464" t="s">
        <v>90</v>
      </c>
      <c r="F425" s="465" t="s">
        <v>101</v>
      </c>
      <c r="G425" s="466"/>
      <c r="H425" s="803">
        <f>H426</f>
        <v>1182.7</v>
      </c>
    </row>
    <row r="426" spans="1:8" ht="93.75" x14ac:dyDescent="0.3">
      <c r="A426" s="789"/>
      <c r="B426" s="811" t="s">
        <v>102</v>
      </c>
      <c r="C426" s="463" t="s">
        <v>200</v>
      </c>
      <c r="D426" s="464" t="s">
        <v>98</v>
      </c>
      <c r="E426" s="464" t="s">
        <v>90</v>
      </c>
      <c r="F426" s="465" t="s">
        <v>101</v>
      </c>
      <c r="G426" s="466" t="s">
        <v>103</v>
      </c>
      <c r="H426" s="803">
        <f>'прил12(ведом 19)'!M222</f>
        <v>1182.7</v>
      </c>
    </row>
    <row r="427" spans="1:8" ht="37.5" x14ac:dyDescent="0.3">
      <c r="A427" s="789"/>
      <c r="B427" s="802" t="s">
        <v>203</v>
      </c>
      <c r="C427" s="463" t="s">
        <v>200</v>
      </c>
      <c r="D427" s="464" t="s">
        <v>98</v>
      </c>
      <c r="E427" s="464" t="s">
        <v>92</v>
      </c>
      <c r="F427" s="465" t="s">
        <v>97</v>
      </c>
      <c r="G427" s="466"/>
      <c r="H427" s="803">
        <f>H428</f>
        <v>1952.9</v>
      </c>
    </row>
    <row r="428" spans="1:8" ht="37.5" x14ac:dyDescent="0.3">
      <c r="A428" s="789"/>
      <c r="B428" s="802" t="s">
        <v>100</v>
      </c>
      <c r="C428" s="463" t="s">
        <v>200</v>
      </c>
      <c r="D428" s="464" t="s">
        <v>98</v>
      </c>
      <c r="E428" s="464" t="s">
        <v>92</v>
      </c>
      <c r="F428" s="465" t="s">
        <v>101</v>
      </c>
      <c r="G428" s="466"/>
      <c r="H428" s="803">
        <f>SUM(H429:H431)</f>
        <v>1952.9</v>
      </c>
    </row>
    <row r="429" spans="1:8" ht="93.75" x14ac:dyDescent="0.3">
      <c r="A429" s="789"/>
      <c r="B429" s="802" t="s">
        <v>102</v>
      </c>
      <c r="C429" s="463" t="s">
        <v>200</v>
      </c>
      <c r="D429" s="464" t="s">
        <v>98</v>
      </c>
      <c r="E429" s="464" t="s">
        <v>92</v>
      </c>
      <c r="F429" s="465" t="s">
        <v>101</v>
      </c>
      <c r="G429" s="466" t="s">
        <v>103</v>
      </c>
      <c r="H429" s="803">
        <f>'прил12(ведом 19)'!M225</f>
        <v>1752.9</v>
      </c>
    </row>
    <row r="430" spans="1:8" ht="37.5" x14ac:dyDescent="0.3">
      <c r="A430" s="789"/>
      <c r="B430" s="802" t="s">
        <v>108</v>
      </c>
      <c r="C430" s="463" t="s">
        <v>200</v>
      </c>
      <c r="D430" s="464" t="s">
        <v>98</v>
      </c>
      <c r="E430" s="464" t="s">
        <v>92</v>
      </c>
      <c r="F430" s="465" t="s">
        <v>101</v>
      </c>
      <c r="G430" s="466" t="s">
        <v>109</v>
      </c>
      <c r="H430" s="803">
        <f>'прил12(ведом 19)'!M226</f>
        <v>190</v>
      </c>
    </row>
    <row r="431" spans="1:8" ht="18.75" x14ac:dyDescent="0.3">
      <c r="A431" s="789"/>
      <c r="B431" s="802" t="s">
        <v>110</v>
      </c>
      <c r="C431" s="463" t="s">
        <v>200</v>
      </c>
      <c r="D431" s="464" t="s">
        <v>98</v>
      </c>
      <c r="E431" s="464" t="s">
        <v>92</v>
      </c>
      <c r="F431" s="465" t="s">
        <v>101</v>
      </c>
      <c r="G431" s="466" t="s">
        <v>111</v>
      </c>
      <c r="H431" s="803">
        <f>'прил12(ведом 19)'!M227</f>
        <v>10</v>
      </c>
    </row>
    <row r="432" spans="1:8" ht="56.25" x14ac:dyDescent="0.3">
      <c r="A432" s="789"/>
      <c r="B432" s="802" t="s">
        <v>465</v>
      </c>
      <c r="C432" s="463" t="s">
        <v>200</v>
      </c>
      <c r="D432" s="464" t="s">
        <v>98</v>
      </c>
      <c r="E432" s="464" t="s">
        <v>119</v>
      </c>
      <c r="F432" s="465" t="s">
        <v>97</v>
      </c>
      <c r="G432" s="466"/>
      <c r="H432" s="803">
        <f>H433</f>
        <v>863.6</v>
      </c>
    </row>
    <row r="433" spans="1:8" ht="37.5" x14ac:dyDescent="0.3">
      <c r="A433" s="789"/>
      <c r="B433" s="802" t="s">
        <v>316</v>
      </c>
      <c r="C433" s="463" t="s">
        <v>200</v>
      </c>
      <c r="D433" s="464" t="s">
        <v>98</v>
      </c>
      <c r="E433" s="464" t="s">
        <v>119</v>
      </c>
      <c r="F433" s="465" t="s">
        <v>204</v>
      </c>
      <c r="G433" s="466"/>
      <c r="H433" s="803">
        <f>SUM(H434:H434)</f>
        <v>863.6</v>
      </c>
    </row>
    <row r="434" spans="1:8" ht="93.75" x14ac:dyDescent="0.3">
      <c r="A434" s="789"/>
      <c r="B434" s="802" t="s">
        <v>102</v>
      </c>
      <c r="C434" s="463" t="s">
        <v>200</v>
      </c>
      <c r="D434" s="464" t="s">
        <v>98</v>
      </c>
      <c r="E434" s="464" t="s">
        <v>119</v>
      </c>
      <c r="F434" s="465" t="s">
        <v>204</v>
      </c>
      <c r="G434" s="466" t="s">
        <v>103</v>
      </c>
      <c r="H434" s="803">
        <f>'прил12(ведом 19)'!M230</f>
        <v>863.6</v>
      </c>
    </row>
    <row r="435" spans="1:8" ht="18.75" x14ac:dyDescent="0.3">
      <c r="A435" s="789"/>
      <c r="B435" s="806"/>
      <c r="C435" s="933"/>
      <c r="D435" s="933"/>
      <c r="E435" s="933"/>
      <c r="F435" s="933"/>
      <c r="G435" s="788"/>
      <c r="H435" s="803"/>
    </row>
    <row r="436" spans="1:8" s="801" customFormat="1" ht="37.5" x14ac:dyDescent="0.3">
      <c r="A436" s="807">
        <v>18</v>
      </c>
      <c r="B436" s="860" t="s">
        <v>124</v>
      </c>
      <c r="C436" s="808" t="s">
        <v>125</v>
      </c>
      <c r="D436" s="808" t="s">
        <v>95</v>
      </c>
      <c r="E436" s="808" t="s">
        <v>96</v>
      </c>
      <c r="F436" s="808" t="s">
        <v>97</v>
      </c>
      <c r="G436" s="799"/>
      <c r="H436" s="800">
        <f>H437</f>
        <v>3000</v>
      </c>
    </row>
    <row r="437" spans="1:8" ht="37.5" x14ac:dyDescent="0.3">
      <c r="A437" s="789"/>
      <c r="B437" s="811" t="s">
        <v>126</v>
      </c>
      <c r="C437" s="463" t="s">
        <v>125</v>
      </c>
      <c r="D437" s="464" t="s">
        <v>98</v>
      </c>
      <c r="E437" s="464" t="s">
        <v>96</v>
      </c>
      <c r="F437" s="465" t="s">
        <v>97</v>
      </c>
      <c r="G437" s="466"/>
      <c r="H437" s="803">
        <f>H438</f>
        <v>3000</v>
      </c>
    </row>
    <row r="438" spans="1:8" ht="18.75" x14ac:dyDescent="0.3">
      <c r="A438" s="789"/>
      <c r="B438" s="802" t="s">
        <v>122</v>
      </c>
      <c r="C438" s="463" t="s">
        <v>125</v>
      </c>
      <c r="D438" s="464" t="s">
        <v>98</v>
      </c>
      <c r="E438" s="464" t="s">
        <v>90</v>
      </c>
      <c r="F438" s="465" t="s">
        <v>97</v>
      </c>
      <c r="G438" s="466"/>
      <c r="H438" s="803">
        <f>H439</f>
        <v>3000</v>
      </c>
    </row>
    <row r="439" spans="1:8" ht="18.75" x14ac:dyDescent="0.3">
      <c r="A439" s="789"/>
      <c r="B439" s="802" t="s">
        <v>127</v>
      </c>
      <c r="C439" s="463" t="s">
        <v>125</v>
      </c>
      <c r="D439" s="464" t="s">
        <v>98</v>
      </c>
      <c r="E439" s="464" t="s">
        <v>90</v>
      </c>
      <c r="F439" s="465" t="s">
        <v>128</v>
      </c>
      <c r="G439" s="466"/>
      <c r="H439" s="803">
        <f>H440</f>
        <v>3000</v>
      </c>
    </row>
    <row r="440" spans="1:8" ht="18.75" x14ac:dyDescent="0.3">
      <c r="A440" s="789"/>
      <c r="B440" s="802" t="s">
        <v>110</v>
      </c>
      <c r="C440" s="463" t="s">
        <v>125</v>
      </c>
      <c r="D440" s="464" t="s">
        <v>98</v>
      </c>
      <c r="E440" s="464" t="s">
        <v>90</v>
      </c>
      <c r="F440" s="465" t="s">
        <v>128</v>
      </c>
      <c r="G440" s="466" t="s">
        <v>111</v>
      </c>
      <c r="H440" s="803">
        <f>'прил12(ведом 19)'!M57</f>
        <v>3000</v>
      </c>
    </row>
    <row r="441" spans="1:8" ht="18.75" x14ac:dyDescent="0.3">
      <c r="A441" s="861"/>
      <c r="B441" s="862"/>
      <c r="C441" s="863"/>
      <c r="D441" s="863"/>
      <c r="E441" s="863"/>
      <c r="F441" s="863"/>
      <c r="G441" s="863"/>
      <c r="H441" s="864"/>
    </row>
    <row r="442" spans="1:8" ht="18.75" x14ac:dyDescent="0.3">
      <c r="A442" s="861"/>
      <c r="B442" s="862"/>
      <c r="C442" s="863"/>
      <c r="D442" s="863"/>
      <c r="E442" s="863"/>
      <c r="F442" s="863"/>
      <c r="G442" s="863"/>
      <c r="H442" s="864"/>
    </row>
    <row r="443" spans="1:8" ht="18.75" x14ac:dyDescent="0.3">
      <c r="A443" s="782"/>
      <c r="B443" s="694"/>
      <c r="C443" s="477"/>
      <c r="D443" s="477"/>
      <c r="E443" s="477"/>
      <c r="F443" s="477"/>
      <c r="G443" s="697"/>
    </row>
    <row r="444" spans="1:8" ht="18.75" x14ac:dyDescent="0.3">
      <c r="A444" s="696" t="s">
        <v>588</v>
      </c>
      <c r="B444" s="694"/>
      <c r="C444" s="477"/>
      <c r="D444" s="477"/>
      <c r="E444" s="477"/>
      <c r="F444" s="477"/>
      <c r="G444" s="697"/>
    </row>
    <row r="445" spans="1:8" ht="18.75" x14ac:dyDescent="0.3">
      <c r="A445" s="696" t="s">
        <v>589</v>
      </c>
      <c r="B445" s="694"/>
      <c r="C445" s="477"/>
      <c r="D445" s="477"/>
      <c r="E445" s="477"/>
      <c r="F445" s="477"/>
      <c r="G445" s="697"/>
    </row>
    <row r="446" spans="1:8" ht="18.75" x14ac:dyDescent="0.3">
      <c r="A446" s="700" t="s">
        <v>590</v>
      </c>
      <c r="B446" s="694"/>
      <c r="C446" s="699"/>
      <c r="D446" s="477"/>
      <c r="E446" s="477"/>
      <c r="F446" s="477"/>
      <c r="G446" s="699"/>
      <c r="H446" s="701" t="s">
        <v>643</v>
      </c>
    </row>
    <row r="447" spans="1:8" x14ac:dyDescent="0.25">
      <c r="A447" s="782"/>
      <c r="B447" s="694"/>
      <c r="C447" s="477"/>
      <c r="D447" s="477"/>
      <c r="E447" s="477"/>
      <c r="F447" s="477"/>
    </row>
    <row r="448" spans="1:8" x14ac:dyDescent="0.25">
      <c r="A448" s="782"/>
      <c r="B448" s="694"/>
      <c r="C448" s="477"/>
      <c r="D448" s="477"/>
      <c r="E448" s="477"/>
      <c r="F448" s="477"/>
    </row>
    <row r="449" spans="1:8" x14ac:dyDescent="0.25">
      <c r="A449" s="782"/>
      <c r="B449" s="694"/>
      <c r="C449" s="477"/>
      <c r="D449" s="477"/>
      <c r="E449" s="477"/>
      <c r="F449" s="477"/>
    </row>
    <row r="450" spans="1:8" ht="18.75" x14ac:dyDescent="0.3">
      <c r="A450" s="782"/>
      <c r="B450" s="694"/>
      <c r="C450" s="477"/>
      <c r="D450" s="477"/>
      <c r="E450" s="477"/>
      <c r="F450" s="477"/>
      <c r="G450" s="697"/>
    </row>
    <row r="451" spans="1:8" x14ac:dyDescent="0.25">
      <c r="B451" s="778" t="s">
        <v>317</v>
      </c>
      <c r="H451" s="781">
        <f>H14+H109+H150+H177+H192+H220+H237+H273+H326+H335+H341+H351+H359+H365+H316+H416</f>
        <v>1308948.0008500004</v>
      </c>
    </row>
    <row r="453" spans="1:8" x14ac:dyDescent="0.25">
      <c r="H453" s="781">
        <f>(H451/H13)*100</f>
        <v>99.468124557316656</v>
      </c>
    </row>
    <row r="455" spans="1:8" x14ac:dyDescent="0.25">
      <c r="B455" s="778" t="s">
        <v>318</v>
      </c>
      <c r="H455" s="781">
        <f>H422+H436</f>
        <v>6999.2000000000007</v>
      </c>
    </row>
    <row r="456" spans="1:8" x14ac:dyDescent="0.25">
      <c r="H456" s="781">
        <f>(H455/H457)*100</f>
        <v>0.53187544268334297</v>
      </c>
    </row>
    <row r="457" spans="1:8" x14ac:dyDescent="0.25">
      <c r="H457" s="781">
        <f>H451+H455</f>
        <v>1315947.2008500004</v>
      </c>
    </row>
  </sheetData>
  <autoFilter ref="A4:H460"/>
  <mergeCells count="3">
    <mergeCell ref="A8:H8"/>
    <mergeCell ref="C11:F11"/>
    <mergeCell ref="C12:F12"/>
  </mergeCells>
  <printOptions horizontalCentered="1"/>
  <pageMargins left="1.1811023622047245" right="0.39370078740157483" top="0.78740157480314965" bottom="0.78740157480314965" header="0" footer="0"/>
  <pageSetup paperSize="9" scale="81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2"/>
  <sheetViews>
    <sheetView zoomScale="80" zoomScaleNormal="80" zoomScaleSheetLayoutView="70" workbookViewId="0">
      <pane ySplit="5" topLeftCell="A6" activePane="bottomLeft" state="frozen"/>
      <selection activeCell="M15" sqref="M15"/>
      <selection pane="bottomLeft" activeCell="I2" sqref="I2"/>
    </sheetView>
  </sheetViews>
  <sheetFormatPr defaultColWidth="9.140625" defaultRowHeight="15.75" x14ac:dyDescent="0.25"/>
  <cols>
    <col min="1" max="1" width="4.5703125" style="39" customWidth="1"/>
    <col min="2" max="2" width="62.42578125" style="40" customWidth="1"/>
    <col min="3" max="3" width="3.140625" style="43" customWidth="1"/>
    <col min="4" max="4" width="2.28515625" style="43" customWidth="1"/>
    <col min="5" max="5" width="3" style="43" customWidth="1"/>
    <col min="6" max="6" width="7.5703125" style="43" customWidth="1"/>
    <col min="7" max="7" width="5.5703125" style="41" customWidth="1"/>
    <col min="8" max="8" width="14" style="45" customWidth="1"/>
    <col min="9" max="9" width="13.28515625" style="42" customWidth="1"/>
    <col min="10" max="10" width="17.7109375" style="42" customWidth="1"/>
    <col min="11" max="11" width="17.28515625" style="42" customWidth="1"/>
    <col min="12" max="16384" width="9.140625" style="42"/>
  </cols>
  <sheetData>
    <row r="1" spans="1:12" s="536" customFormat="1" ht="18.75" x14ac:dyDescent="0.3">
      <c r="I1" s="605" t="s">
        <v>592</v>
      </c>
    </row>
    <row r="2" spans="1:12" s="536" customFormat="1" ht="18.75" x14ac:dyDescent="0.3">
      <c r="I2" s="605" t="s">
        <v>0</v>
      </c>
    </row>
    <row r="3" spans="1:12" s="536" customFormat="1" ht="18.75" x14ac:dyDescent="0.3">
      <c r="H3" s="605"/>
    </row>
    <row r="4" spans="1:12" ht="18.75" x14ac:dyDescent="0.3">
      <c r="I4" s="1" t="s">
        <v>753</v>
      </c>
    </row>
    <row r="5" spans="1:12" ht="18.75" x14ac:dyDescent="0.3">
      <c r="I5" s="1" t="s">
        <v>821</v>
      </c>
    </row>
    <row r="8" spans="1:12" ht="72" customHeight="1" x14ac:dyDescent="0.3">
      <c r="A8" s="993" t="s">
        <v>754</v>
      </c>
      <c r="B8" s="993"/>
      <c r="C8" s="993"/>
      <c r="D8" s="993"/>
      <c r="E8" s="993"/>
      <c r="F8" s="993"/>
      <c r="G8" s="993"/>
      <c r="H8" s="993"/>
      <c r="I8" s="993"/>
    </row>
    <row r="9" spans="1:12" x14ac:dyDescent="0.25">
      <c r="A9" s="42"/>
      <c r="B9" s="42"/>
      <c r="C9" s="39"/>
      <c r="D9" s="39"/>
      <c r="E9" s="39"/>
      <c r="F9" s="39"/>
      <c r="G9" s="44"/>
    </row>
    <row r="10" spans="1:12" ht="18.75" x14ac:dyDescent="0.3">
      <c r="A10" s="46"/>
      <c r="B10" s="47"/>
      <c r="C10" s="48"/>
      <c r="D10" s="48"/>
      <c r="E10" s="48"/>
      <c r="F10" s="49"/>
      <c r="G10" s="42"/>
      <c r="I10" s="209" t="s">
        <v>75</v>
      </c>
    </row>
    <row r="11" spans="1:12" ht="18.75" x14ac:dyDescent="0.3">
      <c r="A11" s="998" t="s">
        <v>76</v>
      </c>
      <c r="B11" s="999" t="s">
        <v>77</v>
      </c>
      <c r="C11" s="999" t="s">
        <v>81</v>
      </c>
      <c r="D11" s="999"/>
      <c r="E11" s="999"/>
      <c r="F11" s="999"/>
      <c r="G11" s="999" t="s">
        <v>82</v>
      </c>
      <c r="H11" s="997" t="s">
        <v>66</v>
      </c>
      <c r="I11" s="997"/>
    </row>
    <row r="12" spans="1:12" ht="40.9" customHeight="1" x14ac:dyDescent="0.25">
      <c r="A12" s="998"/>
      <c r="B12" s="999"/>
      <c r="C12" s="999"/>
      <c r="D12" s="999"/>
      <c r="E12" s="999"/>
      <c r="F12" s="999"/>
      <c r="G12" s="999"/>
      <c r="H12" s="84" t="s">
        <v>591</v>
      </c>
      <c r="I12" s="84" t="s">
        <v>719</v>
      </c>
    </row>
    <row r="13" spans="1:12" ht="18.75" x14ac:dyDescent="0.3">
      <c r="A13" s="18">
        <v>1</v>
      </c>
      <c r="B13" s="159">
        <v>2</v>
      </c>
      <c r="C13" s="994" t="s">
        <v>83</v>
      </c>
      <c r="D13" s="995"/>
      <c r="E13" s="995"/>
      <c r="F13" s="996"/>
      <c r="G13" s="50" t="s">
        <v>84</v>
      </c>
      <c r="H13" s="51">
        <v>5</v>
      </c>
      <c r="I13" s="51">
        <v>6</v>
      </c>
    </row>
    <row r="14" spans="1:12" ht="18.75" x14ac:dyDescent="0.25">
      <c r="A14" s="17"/>
      <c r="B14" s="156" t="s">
        <v>281</v>
      </c>
      <c r="C14" s="157"/>
      <c r="D14" s="157"/>
      <c r="E14" s="157"/>
      <c r="F14" s="157"/>
      <c r="G14" s="158"/>
      <c r="H14" s="204">
        <f>H15+H72+H91+H104+H117+H132+H142+H152+H191+H200+H206+H237+H246+H252</f>
        <v>1227477.7999999998</v>
      </c>
      <c r="I14" s="204">
        <f>I15+I72+I91+I104+I117+I132+I142+I152+I191+I200+I206+I237+I246+I252</f>
        <v>1225136.7000000002</v>
      </c>
      <c r="J14" s="76">
        <f>H14-'прил13(ведом 20-21)'!M15</f>
        <v>0</v>
      </c>
      <c r="K14" s="76">
        <f>I14-'прил13(ведом 20-21)'!N15</f>
        <v>0</v>
      </c>
      <c r="L14" s="76"/>
    </row>
    <row r="15" spans="1:12" s="52" customFormat="1" ht="56.25" x14ac:dyDescent="0.3">
      <c r="A15" s="135">
        <v>1</v>
      </c>
      <c r="B15" s="244" t="s">
        <v>284</v>
      </c>
      <c r="C15" s="144" t="s">
        <v>92</v>
      </c>
      <c r="D15" s="144" t="s">
        <v>95</v>
      </c>
      <c r="E15" s="144" t="s">
        <v>96</v>
      </c>
      <c r="F15" s="145" t="s">
        <v>97</v>
      </c>
      <c r="G15" s="146"/>
      <c r="H15" s="205">
        <f>H16+H44+H55</f>
        <v>841442.49999999988</v>
      </c>
      <c r="I15" s="205">
        <f>I16+I44+I55</f>
        <v>818155.6</v>
      </c>
    </row>
    <row r="16" spans="1:12" ht="37.5" x14ac:dyDescent="0.3">
      <c r="A16" s="151"/>
      <c r="B16" s="98" t="s">
        <v>285</v>
      </c>
      <c r="C16" s="140" t="s">
        <v>92</v>
      </c>
      <c r="D16" s="140" t="s">
        <v>98</v>
      </c>
      <c r="E16" s="140" t="s">
        <v>96</v>
      </c>
      <c r="F16" s="141" t="s">
        <v>97</v>
      </c>
      <c r="G16" s="142"/>
      <c r="H16" s="206">
        <f>H17+H27</f>
        <v>752999.7</v>
      </c>
      <c r="I16" s="206">
        <f>I17+I27</f>
        <v>732267.39999999991</v>
      </c>
    </row>
    <row r="17" spans="1:9" ht="18.75" x14ac:dyDescent="0.3">
      <c r="A17" s="151"/>
      <c r="B17" s="98" t="s">
        <v>373</v>
      </c>
      <c r="C17" s="347" t="s">
        <v>92</v>
      </c>
      <c r="D17" s="509" t="s">
        <v>98</v>
      </c>
      <c r="E17" s="509" t="s">
        <v>90</v>
      </c>
      <c r="F17" s="510" t="s">
        <v>97</v>
      </c>
      <c r="G17" s="142"/>
      <c r="H17" s="206">
        <f>H20+H23+H25+H18</f>
        <v>291148.5</v>
      </c>
      <c r="I17" s="206">
        <f>I20+I23+I25+I18</f>
        <v>277967.09999999998</v>
      </c>
    </row>
    <row r="18" spans="1:9" s="54" customFormat="1" ht="75" x14ac:dyDescent="0.3">
      <c r="A18" s="151"/>
      <c r="B18" s="98" t="s">
        <v>151</v>
      </c>
      <c r="C18" s="179" t="s">
        <v>92</v>
      </c>
      <c r="D18" s="180" t="s">
        <v>98</v>
      </c>
      <c r="E18" s="180" t="s">
        <v>90</v>
      </c>
      <c r="F18" s="181" t="s">
        <v>153</v>
      </c>
      <c r="G18" s="85"/>
      <c r="H18" s="206">
        <f>H19</f>
        <v>80461.899999999994</v>
      </c>
      <c r="I18" s="206">
        <f>I19</f>
        <v>67259.399999999994</v>
      </c>
    </row>
    <row r="19" spans="1:9" s="54" customFormat="1" ht="56.25" x14ac:dyDescent="0.3">
      <c r="A19" s="151"/>
      <c r="B19" s="98" t="s">
        <v>135</v>
      </c>
      <c r="C19" s="179" t="s">
        <v>92</v>
      </c>
      <c r="D19" s="180" t="s">
        <v>98</v>
      </c>
      <c r="E19" s="180" t="s">
        <v>90</v>
      </c>
      <c r="F19" s="181" t="s">
        <v>153</v>
      </c>
      <c r="G19" s="85" t="s">
        <v>136</v>
      </c>
      <c r="H19" s="206">
        <f>'прил13(ведом 20-21)'!M161</f>
        <v>80461.899999999994</v>
      </c>
      <c r="I19" s="206">
        <f>'прил13(ведом 20-21)'!N161</f>
        <v>67259.399999999994</v>
      </c>
    </row>
    <row r="20" spans="1:9" ht="131.25" x14ac:dyDescent="0.3">
      <c r="A20" s="151"/>
      <c r="B20" s="98" t="s">
        <v>390</v>
      </c>
      <c r="C20" s="347" t="s">
        <v>92</v>
      </c>
      <c r="D20" s="509" t="s">
        <v>98</v>
      </c>
      <c r="E20" s="509" t="s">
        <v>90</v>
      </c>
      <c r="F20" s="510" t="s">
        <v>391</v>
      </c>
      <c r="G20" s="100"/>
      <c r="H20" s="206">
        <f>SUM(H21:H22)</f>
        <v>9069.2000000000007</v>
      </c>
      <c r="I20" s="206">
        <f>SUM(I21:I22)</f>
        <v>9069.2000000000007</v>
      </c>
    </row>
    <row r="21" spans="1:9" ht="37.5" x14ac:dyDescent="0.3">
      <c r="A21" s="151"/>
      <c r="B21" s="98" t="s">
        <v>108</v>
      </c>
      <c r="C21" s="347" t="s">
        <v>92</v>
      </c>
      <c r="D21" s="509" t="s">
        <v>98</v>
      </c>
      <c r="E21" s="509" t="s">
        <v>90</v>
      </c>
      <c r="F21" s="510" t="s">
        <v>391</v>
      </c>
      <c r="G21" s="100" t="s">
        <v>109</v>
      </c>
      <c r="H21" s="206">
        <f>'прил13(ведом 20-21)'!M229</f>
        <v>134</v>
      </c>
      <c r="I21" s="206">
        <f>'прил13(ведом 20-21)'!N229</f>
        <v>134</v>
      </c>
    </row>
    <row r="22" spans="1:9" ht="37.5" x14ac:dyDescent="0.3">
      <c r="A22" s="151"/>
      <c r="B22" s="102" t="s">
        <v>183</v>
      </c>
      <c r="C22" s="347" t="s">
        <v>92</v>
      </c>
      <c r="D22" s="509" t="s">
        <v>98</v>
      </c>
      <c r="E22" s="509" t="s">
        <v>90</v>
      </c>
      <c r="F22" s="510" t="s">
        <v>391</v>
      </c>
      <c r="G22" s="100" t="s">
        <v>184</v>
      </c>
      <c r="H22" s="206">
        <f>'прил13(ведом 20-21)'!M230</f>
        <v>8935.2000000000007</v>
      </c>
      <c r="I22" s="206">
        <f>'прил13(ведом 20-21)'!N230</f>
        <v>8935.2000000000007</v>
      </c>
    </row>
    <row r="23" spans="1:9" ht="158.44999999999999" customHeight="1" x14ac:dyDescent="0.3">
      <c r="A23" s="151"/>
      <c r="B23" s="98" t="s">
        <v>374</v>
      </c>
      <c r="C23" s="347" t="s">
        <v>92</v>
      </c>
      <c r="D23" s="509" t="s">
        <v>98</v>
      </c>
      <c r="E23" s="509" t="s">
        <v>90</v>
      </c>
      <c r="F23" s="510" t="s">
        <v>375</v>
      </c>
      <c r="G23" s="100"/>
      <c r="H23" s="206">
        <f>H24</f>
        <v>529.5</v>
      </c>
      <c r="I23" s="206">
        <f>I24</f>
        <v>550.59999999999991</v>
      </c>
    </row>
    <row r="24" spans="1:9" ht="56.25" x14ac:dyDescent="0.3">
      <c r="A24" s="151"/>
      <c r="B24" s="98" t="s">
        <v>135</v>
      </c>
      <c r="C24" s="347" t="s">
        <v>92</v>
      </c>
      <c r="D24" s="509" t="s">
        <v>98</v>
      </c>
      <c r="E24" s="509" t="s">
        <v>90</v>
      </c>
      <c r="F24" s="510" t="s">
        <v>375</v>
      </c>
      <c r="G24" s="100" t="s">
        <v>136</v>
      </c>
      <c r="H24" s="206">
        <f>'прил13(ведом 20-21)'!M163</f>
        <v>529.5</v>
      </c>
      <c r="I24" s="206">
        <f>'прил13(ведом 20-21)'!N163</f>
        <v>550.59999999999991</v>
      </c>
    </row>
    <row r="25" spans="1:9" ht="112.5" x14ac:dyDescent="0.3">
      <c r="A25" s="151"/>
      <c r="B25" s="98" t="s">
        <v>503</v>
      </c>
      <c r="C25" s="347" t="s">
        <v>92</v>
      </c>
      <c r="D25" s="509" t="s">
        <v>98</v>
      </c>
      <c r="E25" s="509" t="s">
        <v>90</v>
      </c>
      <c r="F25" s="510" t="s">
        <v>376</v>
      </c>
      <c r="G25" s="100"/>
      <c r="H25" s="206">
        <f>H26</f>
        <v>201087.9</v>
      </c>
      <c r="I25" s="206">
        <f>I26</f>
        <v>201087.9</v>
      </c>
    </row>
    <row r="26" spans="1:9" ht="56.25" x14ac:dyDescent="0.3">
      <c r="A26" s="151"/>
      <c r="B26" s="102" t="s">
        <v>135</v>
      </c>
      <c r="C26" s="347" t="s">
        <v>92</v>
      </c>
      <c r="D26" s="509" t="s">
        <v>98</v>
      </c>
      <c r="E26" s="509" t="s">
        <v>90</v>
      </c>
      <c r="F26" s="510" t="s">
        <v>376</v>
      </c>
      <c r="G26" s="100" t="s">
        <v>136</v>
      </c>
      <c r="H26" s="206">
        <f>'прил13(ведом 20-21)'!M165</f>
        <v>201087.9</v>
      </c>
      <c r="I26" s="206">
        <f>'прил13(ведом 20-21)'!N165</f>
        <v>201087.9</v>
      </c>
    </row>
    <row r="27" spans="1:9" ht="18.75" x14ac:dyDescent="0.3">
      <c r="A27" s="151"/>
      <c r="B27" s="98" t="s">
        <v>378</v>
      </c>
      <c r="C27" s="347" t="s">
        <v>92</v>
      </c>
      <c r="D27" s="509" t="s">
        <v>98</v>
      </c>
      <c r="E27" s="509" t="s">
        <v>92</v>
      </c>
      <c r="F27" s="510" t="s">
        <v>97</v>
      </c>
      <c r="G27" s="100"/>
      <c r="H27" s="206">
        <f>H33+H37+H41+H28</f>
        <v>461851.19999999995</v>
      </c>
      <c r="I27" s="206">
        <f>I33+I37+I41+I28</f>
        <v>454300.29999999993</v>
      </c>
    </row>
    <row r="28" spans="1:9" s="54" customFormat="1" ht="75" x14ac:dyDescent="0.3">
      <c r="A28" s="151"/>
      <c r="B28" s="98" t="s">
        <v>151</v>
      </c>
      <c r="C28" s="179" t="s">
        <v>92</v>
      </c>
      <c r="D28" s="180" t="s">
        <v>98</v>
      </c>
      <c r="E28" s="180" t="s">
        <v>92</v>
      </c>
      <c r="F28" s="181" t="s">
        <v>153</v>
      </c>
      <c r="G28" s="85"/>
      <c r="H28" s="206">
        <f>SUM(H29:H32)</f>
        <v>71481.799999999988</v>
      </c>
      <c r="I28" s="206">
        <f>SUM(I29:I32)</f>
        <v>63782.100000000006</v>
      </c>
    </row>
    <row r="29" spans="1:9" s="54" customFormat="1" ht="93.75" x14ac:dyDescent="0.3">
      <c r="A29" s="151"/>
      <c r="B29" s="232" t="s">
        <v>102</v>
      </c>
      <c r="C29" s="347" t="s">
        <v>92</v>
      </c>
      <c r="D29" s="509" t="s">
        <v>98</v>
      </c>
      <c r="E29" s="509" t="s">
        <v>92</v>
      </c>
      <c r="F29" s="510" t="s">
        <v>153</v>
      </c>
      <c r="G29" s="100" t="s">
        <v>103</v>
      </c>
      <c r="H29" s="206">
        <f>'прил13(ведом 20-21)'!M171</f>
        <v>3791.6</v>
      </c>
      <c r="I29" s="206">
        <f>'прил13(ведом 20-21)'!N171</f>
        <v>3791.6</v>
      </c>
    </row>
    <row r="30" spans="1:9" s="54" customFormat="1" ht="37.5" x14ac:dyDescent="0.3">
      <c r="A30" s="151"/>
      <c r="B30" s="232" t="s">
        <v>108</v>
      </c>
      <c r="C30" s="347" t="s">
        <v>92</v>
      </c>
      <c r="D30" s="509" t="s">
        <v>98</v>
      </c>
      <c r="E30" s="509" t="s">
        <v>92</v>
      </c>
      <c r="F30" s="510" t="s">
        <v>153</v>
      </c>
      <c r="G30" s="100" t="s">
        <v>109</v>
      </c>
      <c r="H30" s="206">
        <f>'прил13(ведом 20-21)'!M172</f>
        <v>3218.8</v>
      </c>
      <c r="I30" s="206">
        <f>'прил13(ведом 20-21)'!N172</f>
        <v>1518.2</v>
      </c>
    </row>
    <row r="31" spans="1:9" s="54" customFormat="1" ht="56.25" x14ac:dyDescent="0.3">
      <c r="A31" s="151"/>
      <c r="B31" s="98" t="s">
        <v>135</v>
      </c>
      <c r="C31" s="179" t="s">
        <v>92</v>
      </c>
      <c r="D31" s="180" t="s">
        <v>98</v>
      </c>
      <c r="E31" s="180" t="s">
        <v>92</v>
      </c>
      <c r="F31" s="181" t="s">
        <v>153</v>
      </c>
      <c r="G31" s="85" t="s">
        <v>136</v>
      </c>
      <c r="H31" s="206">
        <f>'прил13(ведом 20-21)'!M173</f>
        <v>63783.199999999997</v>
      </c>
      <c r="I31" s="206">
        <f>'прил13(ведом 20-21)'!N173</f>
        <v>57796.9</v>
      </c>
    </row>
    <row r="32" spans="1:9" s="54" customFormat="1" ht="18.75" x14ac:dyDescent="0.3">
      <c r="A32" s="151"/>
      <c r="B32" s="98" t="s">
        <v>110</v>
      </c>
      <c r="C32" s="179" t="s">
        <v>92</v>
      </c>
      <c r="D32" s="180" t="s">
        <v>98</v>
      </c>
      <c r="E32" s="180" t="s">
        <v>92</v>
      </c>
      <c r="F32" s="181" t="s">
        <v>153</v>
      </c>
      <c r="G32" s="85" t="s">
        <v>111</v>
      </c>
      <c r="H32" s="206">
        <f>'прил13(ведом 20-21)'!M174</f>
        <v>688.2</v>
      </c>
      <c r="I32" s="206">
        <f>'прил13(ведом 20-21)'!N174</f>
        <v>675.4</v>
      </c>
    </row>
    <row r="33" spans="1:9" ht="157.15" customHeight="1" x14ac:dyDescent="0.3">
      <c r="A33" s="151"/>
      <c r="B33" s="98" t="s">
        <v>374</v>
      </c>
      <c r="C33" s="347" t="s">
        <v>92</v>
      </c>
      <c r="D33" s="509" t="s">
        <v>98</v>
      </c>
      <c r="E33" s="509" t="s">
        <v>92</v>
      </c>
      <c r="F33" s="510" t="s">
        <v>375</v>
      </c>
      <c r="G33" s="100"/>
      <c r="H33" s="206">
        <f>SUM(H34:H36)</f>
        <v>1829.1</v>
      </c>
      <c r="I33" s="206">
        <f>SUM(I34:I36)</f>
        <v>1902.3</v>
      </c>
    </row>
    <row r="34" spans="1:9" ht="93.75" x14ac:dyDescent="0.3">
      <c r="A34" s="151"/>
      <c r="B34" s="232" t="s">
        <v>102</v>
      </c>
      <c r="C34" s="347" t="s">
        <v>92</v>
      </c>
      <c r="D34" s="509" t="s">
        <v>98</v>
      </c>
      <c r="E34" s="509" t="s">
        <v>92</v>
      </c>
      <c r="F34" s="510" t="s">
        <v>375</v>
      </c>
      <c r="G34" s="100" t="s">
        <v>103</v>
      </c>
      <c r="H34" s="206">
        <f>'прил13(ведом 20-21)'!M176</f>
        <v>138.30000000000001</v>
      </c>
      <c r="I34" s="206">
        <f>'прил13(ведом 20-21)'!N176</f>
        <v>138.30000000000001</v>
      </c>
    </row>
    <row r="35" spans="1:9" ht="37.5" x14ac:dyDescent="0.3">
      <c r="A35" s="151"/>
      <c r="B35" s="232" t="s">
        <v>183</v>
      </c>
      <c r="C35" s="347" t="s">
        <v>92</v>
      </c>
      <c r="D35" s="509" t="s">
        <v>98</v>
      </c>
      <c r="E35" s="509" t="s">
        <v>92</v>
      </c>
      <c r="F35" s="510" t="s">
        <v>375</v>
      </c>
      <c r="G35" s="100" t="s">
        <v>184</v>
      </c>
      <c r="H35" s="206">
        <f>'прил13(ведом 20-21)'!M177</f>
        <v>14</v>
      </c>
      <c r="I35" s="206">
        <f>'прил13(ведом 20-21)'!N177</f>
        <v>14</v>
      </c>
    </row>
    <row r="36" spans="1:9" ht="56.25" x14ac:dyDescent="0.3">
      <c r="A36" s="151"/>
      <c r="B36" s="98" t="s">
        <v>135</v>
      </c>
      <c r="C36" s="347" t="s">
        <v>92</v>
      </c>
      <c r="D36" s="509" t="s">
        <v>98</v>
      </c>
      <c r="E36" s="509" t="s">
        <v>92</v>
      </c>
      <c r="F36" s="510" t="s">
        <v>375</v>
      </c>
      <c r="G36" s="100" t="s">
        <v>136</v>
      </c>
      <c r="H36" s="206">
        <f>'прил13(ведом 20-21)'!M178</f>
        <v>1676.8</v>
      </c>
      <c r="I36" s="206">
        <f>'прил13(ведом 20-21)'!N178</f>
        <v>1750</v>
      </c>
    </row>
    <row r="37" spans="1:9" ht="112.5" x14ac:dyDescent="0.3">
      <c r="A37" s="151"/>
      <c r="B37" s="98" t="s">
        <v>503</v>
      </c>
      <c r="C37" s="347" t="s">
        <v>92</v>
      </c>
      <c r="D37" s="509" t="s">
        <v>98</v>
      </c>
      <c r="E37" s="509" t="s">
        <v>92</v>
      </c>
      <c r="F37" s="510" t="s">
        <v>376</v>
      </c>
      <c r="G37" s="100"/>
      <c r="H37" s="206">
        <f>SUM(H38:H40)</f>
        <v>384214.1</v>
      </c>
      <c r="I37" s="206">
        <f>SUM(I38:I40)</f>
        <v>384214.1</v>
      </c>
    </row>
    <row r="38" spans="1:9" ht="93.75" x14ac:dyDescent="0.3">
      <c r="A38" s="151"/>
      <c r="B38" s="98" t="s">
        <v>102</v>
      </c>
      <c r="C38" s="347" t="s">
        <v>92</v>
      </c>
      <c r="D38" s="509" t="s">
        <v>98</v>
      </c>
      <c r="E38" s="509" t="s">
        <v>92</v>
      </c>
      <c r="F38" s="510" t="s">
        <v>376</v>
      </c>
      <c r="G38" s="100" t="s">
        <v>103</v>
      </c>
      <c r="H38" s="206">
        <f>'прил13(ведом 20-21)'!M180</f>
        <v>30285.5</v>
      </c>
      <c r="I38" s="206">
        <f>'прил13(ведом 20-21)'!N180</f>
        <v>30285.5</v>
      </c>
    </row>
    <row r="39" spans="1:9" ht="37.5" x14ac:dyDescent="0.3">
      <c r="A39" s="151"/>
      <c r="B39" s="98" t="s">
        <v>108</v>
      </c>
      <c r="C39" s="347" t="s">
        <v>92</v>
      </c>
      <c r="D39" s="509" t="s">
        <v>98</v>
      </c>
      <c r="E39" s="509" t="s">
        <v>92</v>
      </c>
      <c r="F39" s="510" t="s">
        <v>376</v>
      </c>
      <c r="G39" s="100" t="s">
        <v>109</v>
      </c>
      <c r="H39" s="206">
        <f>'прил13(ведом 20-21)'!M181</f>
        <v>1765.8</v>
      </c>
      <c r="I39" s="206">
        <f>'прил13(ведом 20-21)'!N181</f>
        <v>1765.8</v>
      </c>
    </row>
    <row r="40" spans="1:9" ht="56.25" x14ac:dyDescent="0.3">
      <c r="A40" s="151"/>
      <c r="B40" s="98" t="s">
        <v>135</v>
      </c>
      <c r="C40" s="347" t="s">
        <v>92</v>
      </c>
      <c r="D40" s="509" t="s">
        <v>98</v>
      </c>
      <c r="E40" s="509" t="s">
        <v>92</v>
      </c>
      <c r="F40" s="510" t="s">
        <v>376</v>
      </c>
      <c r="G40" s="100" t="s">
        <v>136</v>
      </c>
      <c r="H40" s="206">
        <f>'прил13(ведом 20-21)'!M182</f>
        <v>352162.8</v>
      </c>
      <c r="I40" s="206">
        <f>'прил13(ведом 20-21)'!N182</f>
        <v>352162.8</v>
      </c>
    </row>
    <row r="41" spans="1:9" ht="75" x14ac:dyDescent="0.3">
      <c r="A41" s="151"/>
      <c r="B41" s="98" t="s">
        <v>289</v>
      </c>
      <c r="C41" s="140" t="s">
        <v>92</v>
      </c>
      <c r="D41" s="140" t="s">
        <v>98</v>
      </c>
      <c r="E41" s="140" t="s">
        <v>92</v>
      </c>
      <c r="F41" s="141" t="s">
        <v>382</v>
      </c>
      <c r="G41" s="142"/>
      <c r="H41" s="206">
        <f>SUM(H42:H43)</f>
        <v>4326.2</v>
      </c>
      <c r="I41" s="206">
        <f>SUM(I42:I43)</f>
        <v>4401.8</v>
      </c>
    </row>
    <row r="42" spans="1:9" ht="37.5" x14ac:dyDescent="0.3">
      <c r="A42" s="151"/>
      <c r="B42" s="232" t="s">
        <v>108</v>
      </c>
      <c r="C42" s="347" t="s">
        <v>92</v>
      </c>
      <c r="D42" s="509" t="s">
        <v>98</v>
      </c>
      <c r="E42" s="509" t="s">
        <v>92</v>
      </c>
      <c r="F42" s="510" t="s">
        <v>382</v>
      </c>
      <c r="G42" s="100" t="s">
        <v>109</v>
      </c>
      <c r="H42" s="206">
        <f>'прил13(ведом 20-21)'!M184</f>
        <v>239.1</v>
      </c>
      <c r="I42" s="206">
        <f>'прил13(ведом 20-21)'!N184</f>
        <v>256.2</v>
      </c>
    </row>
    <row r="43" spans="1:9" ht="56.25" x14ac:dyDescent="0.3">
      <c r="A43" s="151"/>
      <c r="B43" s="98" t="s">
        <v>135</v>
      </c>
      <c r="C43" s="140" t="s">
        <v>92</v>
      </c>
      <c r="D43" s="140" t="s">
        <v>98</v>
      </c>
      <c r="E43" s="140" t="s">
        <v>92</v>
      </c>
      <c r="F43" s="141" t="s">
        <v>382</v>
      </c>
      <c r="G43" s="142" t="s">
        <v>136</v>
      </c>
      <c r="H43" s="206">
        <f>'прил13(ведом 20-21)'!M185</f>
        <v>4087.1</v>
      </c>
      <c r="I43" s="206">
        <f>'прил13(ведом 20-21)'!N185</f>
        <v>4145.6000000000004</v>
      </c>
    </row>
    <row r="44" spans="1:9" ht="18.75" x14ac:dyDescent="0.3">
      <c r="A44" s="151"/>
      <c r="B44" s="98" t="s">
        <v>290</v>
      </c>
      <c r="C44" s="347" t="s">
        <v>92</v>
      </c>
      <c r="D44" s="509" t="s">
        <v>150</v>
      </c>
      <c r="E44" s="509" t="s">
        <v>96</v>
      </c>
      <c r="F44" s="510" t="s">
        <v>97</v>
      </c>
      <c r="G44" s="142"/>
      <c r="H44" s="206">
        <f>H45</f>
        <v>43264.6</v>
      </c>
      <c r="I44" s="206">
        <f>I45</f>
        <v>41646.799999999996</v>
      </c>
    </row>
    <row r="45" spans="1:9" ht="37.5" x14ac:dyDescent="0.3">
      <c r="A45" s="151"/>
      <c r="B45" s="98" t="s">
        <v>383</v>
      </c>
      <c r="C45" s="347" t="s">
        <v>92</v>
      </c>
      <c r="D45" s="509" t="s">
        <v>150</v>
      </c>
      <c r="E45" s="509" t="s">
        <v>90</v>
      </c>
      <c r="F45" s="510" t="s">
        <v>97</v>
      </c>
      <c r="G45" s="142"/>
      <c r="H45" s="206">
        <f>H46+H53+H51</f>
        <v>43264.6</v>
      </c>
      <c r="I45" s="206">
        <f>I46+I53+I51</f>
        <v>41646.799999999996</v>
      </c>
    </row>
    <row r="46" spans="1:9" ht="75" x14ac:dyDescent="0.3">
      <c r="A46" s="151"/>
      <c r="B46" s="98" t="s">
        <v>151</v>
      </c>
      <c r="C46" s="347" t="s">
        <v>92</v>
      </c>
      <c r="D46" s="509" t="s">
        <v>150</v>
      </c>
      <c r="E46" s="509" t="s">
        <v>90</v>
      </c>
      <c r="F46" s="510" t="s">
        <v>153</v>
      </c>
      <c r="G46" s="100"/>
      <c r="H46" s="206">
        <f>SUM(H47:H50)</f>
        <v>42982.2</v>
      </c>
      <c r="I46" s="206">
        <f>SUM(I47:I50)</f>
        <v>41358.1</v>
      </c>
    </row>
    <row r="47" spans="1:9" ht="93.75" x14ac:dyDescent="0.3">
      <c r="A47" s="151"/>
      <c r="B47" s="232" t="s">
        <v>102</v>
      </c>
      <c r="C47" s="347" t="s">
        <v>92</v>
      </c>
      <c r="D47" s="509" t="s">
        <v>150</v>
      </c>
      <c r="E47" s="509" t="s">
        <v>90</v>
      </c>
      <c r="F47" s="510" t="s">
        <v>153</v>
      </c>
      <c r="G47" s="100" t="s">
        <v>103</v>
      </c>
      <c r="H47" s="206">
        <f>'прил13(ведом 20-21)'!M195</f>
        <v>23223.3</v>
      </c>
      <c r="I47" s="206">
        <f>'прил13(ведом 20-21)'!N195</f>
        <v>23223.3</v>
      </c>
    </row>
    <row r="48" spans="1:9" ht="37.5" x14ac:dyDescent="0.3">
      <c r="A48" s="151"/>
      <c r="B48" s="232" t="s">
        <v>108</v>
      </c>
      <c r="C48" s="347" t="s">
        <v>92</v>
      </c>
      <c r="D48" s="509" t="s">
        <v>150</v>
      </c>
      <c r="E48" s="509" t="s">
        <v>90</v>
      </c>
      <c r="F48" s="510" t="s">
        <v>153</v>
      </c>
      <c r="G48" s="100" t="s">
        <v>109</v>
      </c>
      <c r="H48" s="206">
        <f>'прил13(ведом 20-21)'!M196</f>
        <v>1876.6</v>
      </c>
      <c r="I48" s="206">
        <f>'прил13(ведом 20-21)'!N196</f>
        <v>699.8</v>
      </c>
    </row>
    <row r="49" spans="1:9" ht="56.25" x14ac:dyDescent="0.3">
      <c r="A49" s="151"/>
      <c r="B49" s="98" t="s">
        <v>135</v>
      </c>
      <c r="C49" s="347" t="s">
        <v>92</v>
      </c>
      <c r="D49" s="509" t="s">
        <v>150</v>
      </c>
      <c r="E49" s="509" t="s">
        <v>90</v>
      </c>
      <c r="F49" s="510" t="s">
        <v>153</v>
      </c>
      <c r="G49" s="100" t="s">
        <v>136</v>
      </c>
      <c r="H49" s="206">
        <f>'прил13(ведом 20-21)'!M197</f>
        <v>17822.599999999999</v>
      </c>
      <c r="I49" s="206">
        <f>'прил13(ведом 20-21)'!N197</f>
        <v>17376.099999999999</v>
      </c>
    </row>
    <row r="50" spans="1:9" ht="18.75" x14ac:dyDescent="0.3">
      <c r="A50" s="151"/>
      <c r="B50" s="232" t="s">
        <v>110</v>
      </c>
      <c r="C50" s="347" t="s">
        <v>92</v>
      </c>
      <c r="D50" s="509" t="s">
        <v>150</v>
      </c>
      <c r="E50" s="509" t="s">
        <v>90</v>
      </c>
      <c r="F50" s="510" t="s">
        <v>153</v>
      </c>
      <c r="G50" s="100" t="s">
        <v>111</v>
      </c>
      <c r="H50" s="206">
        <f>'прил13(ведом 20-21)'!M198</f>
        <v>59.7</v>
      </c>
      <c r="I50" s="206">
        <f>'прил13(ведом 20-21)'!N198</f>
        <v>58.9</v>
      </c>
    </row>
    <row r="51" spans="1:9" ht="168.75" x14ac:dyDescent="0.3">
      <c r="A51" s="151"/>
      <c r="B51" s="373" t="s">
        <v>700</v>
      </c>
      <c r="C51" s="578" t="s">
        <v>92</v>
      </c>
      <c r="D51" s="579" t="s">
        <v>150</v>
      </c>
      <c r="E51" s="579" t="s">
        <v>90</v>
      </c>
      <c r="F51" s="580" t="s">
        <v>699</v>
      </c>
      <c r="G51" s="100"/>
      <c r="H51" s="206">
        <f>H52</f>
        <v>125</v>
      </c>
      <c r="I51" s="206">
        <f>I52</f>
        <v>125</v>
      </c>
    </row>
    <row r="52" spans="1:9" ht="93.75" x14ac:dyDescent="0.3">
      <c r="A52" s="151"/>
      <c r="B52" s="373" t="s">
        <v>102</v>
      </c>
      <c r="C52" s="578" t="s">
        <v>92</v>
      </c>
      <c r="D52" s="579" t="s">
        <v>150</v>
      </c>
      <c r="E52" s="579" t="s">
        <v>90</v>
      </c>
      <c r="F52" s="580" t="s">
        <v>699</v>
      </c>
      <c r="G52" s="100" t="s">
        <v>103</v>
      </c>
      <c r="H52" s="206">
        <f>'прил13(ведом 20-21)'!M200</f>
        <v>125</v>
      </c>
      <c r="I52" s="206">
        <f>'прил13(ведом 20-21)'!N200</f>
        <v>125</v>
      </c>
    </row>
    <row r="53" spans="1:9" ht="157.9" customHeight="1" x14ac:dyDescent="0.3">
      <c r="A53" s="151"/>
      <c r="B53" s="98" t="s">
        <v>374</v>
      </c>
      <c r="C53" s="347" t="s">
        <v>92</v>
      </c>
      <c r="D53" s="509" t="s">
        <v>150</v>
      </c>
      <c r="E53" s="509" t="s">
        <v>90</v>
      </c>
      <c r="F53" s="510" t="s">
        <v>375</v>
      </c>
      <c r="G53" s="100"/>
      <c r="H53" s="206">
        <f>H54</f>
        <v>157.4</v>
      </c>
      <c r="I53" s="206">
        <f>I54</f>
        <v>163.69999999999999</v>
      </c>
    </row>
    <row r="54" spans="1:9" ht="93.75" x14ac:dyDescent="0.3">
      <c r="A54" s="151"/>
      <c r="B54" s="232" t="s">
        <v>102</v>
      </c>
      <c r="C54" s="347" t="s">
        <v>92</v>
      </c>
      <c r="D54" s="509" t="s">
        <v>150</v>
      </c>
      <c r="E54" s="509" t="s">
        <v>90</v>
      </c>
      <c r="F54" s="510" t="s">
        <v>375</v>
      </c>
      <c r="G54" s="100" t="s">
        <v>103</v>
      </c>
      <c r="H54" s="206">
        <f>'прил13(ведом 20-21)'!M202</f>
        <v>157.4</v>
      </c>
      <c r="I54" s="206">
        <f>'прил13(ведом 20-21)'!N202</f>
        <v>163.69999999999999</v>
      </c>
    </row>
    <row r="55" spans="1:9" ht="56.25" x14ac:dyDescent="0.3">
      <c r="A55" s="151"/>
      <c r="B55" s="98" t="s">
        <v>292</v>
      </c>
      <c r="C55" s="347" t="s">
        <v>92</v>
      </c>
      <c r="D55" s="509" t="s">
        <v>83</v>
      </c>
      <c r="E55" s="509" t="s">
        <v>96</v>
      </c>
      <c r="F55" s="510" t="s">
        <v>97</v>
      </c>
      <c r="G55" s="142"/>
      <c r="H55" s="206">
        <f>H56+H69</f>
        <v>45178.2</v>
      </c>
      <c r="I55" s="206">
        <f>I56+I69</f>
        <v>44241.399999999994</v>
      </c>
    </row>
    <row r="56" spans="1:9" ht="37.5" x14ac:dyDescent="0.3">
      <c r="A56" s="151"/>
      <c r="B56" s="98" t="s">
        <v>389</v>
      </c>
      <c r="C56" s="347" t="s">
        <v>92</v>
      </c>
      <c r="D56" s="509" t="s">
        <v>83</v>
      </c>
      <c r="E56" s="509" t="s">
        <v>90</v>
      </c>
      <c r="F56" s="510" t="s">
        <v>97</v>
      </c>
      <c r="G56" s="142"/>
      <c r="H56" s="206">
        <f>H57+H61+H67+H64</f>
        <v>41418.6</v>
      </c>
      <c r="I56" s="206">
        <f>I57+I61+I67+I64</f>
        <v>40491.199999999997</v>
      </c>
    </row>
    <row r="57" spans="1:9" ht="37.5" x14ac:dyDescent="0.3">
      <c r="A57" s="151"/>
      <c r="B57" s="98" t="s">
        <v>100</v>
      </c>
      <c r="C57" s="347" t="s">
        <v>92</v>
      </c>
      <c r="D57" s="509" t="s">
        <v>83</v>
      </c>
      <c r="E57" s="509" t="s">
        <v>90</v>
      </c>
      <c r="F57" s="510" t="s">
        <v>101</v>
      </c>
      <c r="G57" s="100"/>
      <c r="H57" s="206">
        <f>SUM(H58:H60)</f>
        <v>8014.5</v>
      </c>
      <c r="I57" s="206">
        <f>SUM(I58:I60)</f>
        <v>7866.5</v>
      </c>
    </row>
    <row r="58" spans="1:9" ht="93.75" x14ac:dyDescent="0.3">
      <c r="A58" s="151"/>
      <c r="B58" s="98" t="s">
        <v>102</v>
      </c>
      <c r="C58" s="347" t="s">
        <v>92</v>
      </c>
      <c r="D58" s="509" t="s">
        <v>83</v>
      </c>
      <c r="E58" s="509" t="s">
        <v>90</v>
      </c>
      <c r="F58" s="510" t="s">
        <v>101</v>
      </c>
      <c r="G58" s="100" t="s">
        <v>103</v>
      </c>
      <c r="H58" s="206">
        <f>'прил13(ведом 20-21)'!M214</f>
        <v>7866.5</v>
      </c>
      <c r="I58" s="206">
        <f>'прил13(ведом 20-21)'!N214</f>
        <v>7866.5</v>
      </c>
    </row>
    <row r="59" spans="1:9" ht="37.5" x14ac:dyDescent="0.3">
      <c r="A59" s="151"/>
      <c r="B59" s="98" t="s">
        <v>108</v>
      </c>
      <c r="C59" s="347" t="s">
        <v>92</v>
      </c>
      <c r="D59" s="509" t="s">
        <v>83</v>
      </c>
      <c r="E59" s="509" t="s">
        <v>90</v>
      </c>
      <c r="F59" s="510" t="s">
        <v>101</v>
      </c>
      <c r="G59" s="100" t="s">
        <v>109</v>
      </c>
      <c r="H59" s="206">
        <f>'прил13(ведом 20-21)'!M215</f>
        <v>133.19999999999999</v>
      </c>
      <c r="I59" s="206">
        <f>'прил13(ведом 20-21)'!N215</f>
        <v>0</v>
      </c>
    </row>
    <row r="60" spans="1:9" ht="18.75" x14ac:dyDescent="0.3">
      <c r="A60" s="151"/>
      <c r="B60" s="98" t="s">
        <v>110</v>
      </c>
      <c r="C60" s="347" t="s">
        <v>92</v>
      </c>
      <c r="D60" s="509" t="s">
        <v>83</v>
      </c>
      <c r="E60" s="509" t="s">
        <v>90</v>
      </c>
      <c r="F60" s="510" t="s">
        <v>101</v>
      </c>
      <c r="G60" s="100" t="s">
        <v>111</v>
      </c>
      <c r="H60" s="206">
        <f>'прил13(ведом 20-21)'!M216</f>
        <v>14.8</v>
      </c>
      <c r="I60" s="206">
        <f>'прил13(ведом 20-21)'!N216</f>
        <v>0</v>
      </c>
    </row>
    <row r="61" spans="1:9" ht="75" x14ac:dyDescent="0.3">
      <c r="A61" s="151"/>
      <c r="B61" s="98" t="s">
        <v>151</v>
      </c>
      <c r="C61" s="347" t="s">
        <v>92</v>
      </c>
      <c r="D61" s="509" t="s">
        <v>83</v>
      </c>
      <c r="E61" s="509" t="s">
        <v>90</v>
      </c>
      <c r="F61" s="510" t="s">
        <v>153</v>
      </c>
      <c r="G61" s="100"/>
      <c r="H61" s="206">
        <f>SUM(H62:H63)</f>
        <v>25568.799999999999</v>
      </c>
      <c r="I61" s="206">
        <f>SUM(I62:I63)</f>
        <v>24789.399999999998</v>
      </c>
    </row>
    <row r="62" spans="1:9" ht="93.75" x14ac:dyDescent="0.3">
      <c r="A62" s="151"/>
      <c r="B62" s="98" t="s">
        <v>102</v>
      </c>
      <c r="C62" s="347" t="s">
        <v>92</v>
      </c>
      <c r="D62" s="509" t="s">
        <v>83</v>
      </c>
      <c r="E62" s="509" t="s">
        <v>90</v>
      </c>
      <c r="F62" s="510" t="s">
        <v>153</v>
      </c>
      <c r="G62" s="100" t="s">
        <v>103</v>
      </c>
      <c r="H62" s="206">
        <f>'прил13(ведом 20-21)'!M218</f>
        <v>24757.3</v>
      </c>
      <c r="I62" s="206">
        <f>'прил13(ведом 20-21)'!N218</f>
        <v>24757.3</v>
      </c>
    </row>
    <row r="63" spans="1:9" ht="37.5" x14ac:dyDescent="0.3">
      <c r="A63" s="151"/>
      <c r="B63" s="98" t="s">
        <v>108</v>
      </c>
      <c r="C63" s="347" t="s">
        <v>92</v>
      </c>
      <c r="D63" s="509" t="s">
        <v>83</v>
      </c>
      <c r="E63" s="509" t="s">
        <v>90</v>
      </c>
      <c r="F63" s="510" t="s">
        <v>153</v>
      </c>
      <c r="G63" s="100" t="s">
        <v>109</v>
      </c>
      <c r="H63" s="206">
        <f>'прил13(ведом 20-21)'!M219</f>
        <v>811.5</v>
      </c>
      <c r="I63" s="206">
        <f>'прил13(ведом 20-21)'!N219</f>
        <v>32.1</v>
      </c>
    </row>
    <row r="64" spans="1:9" ht="112.5" x14ac:dyDescent="0.3">
      <c r="A64" s="151"/>
      <c r="B64" s="232" t="s">
        <v>503</v>
      </c>
      <c r="C64" s="347" t="s">
        <v>92</v>
      </c>
      <c r="D64" s="509" t="s">
        <v>83</v>
      </c>
      <c r="E64" s="509" t="s">
        <v>90</v>
      </c>
      <c r="F64" s="510" t="s">
        <v>376</v>
      </c>
      <c r="G64" s="100"/>
      <c r="H64" s="206">
        <f>SUM(H65:H66)</f>
        <v>5763.2</v>
      </c>
      <c r="I64" s="206">
        <f>SUM(I65:I66)</f>
        <v>5763.2</v>
      </c>
    </row>
    <row r="65" spans="1:9" ht="93.75" x14ac:dyDescent="0.3">
      <c r="A65" s="151"/>
      <c r="B65" s="232" t="s">
        <v>102</v>
      </c>
      <c r="C65" s="347" t="s">
        <v>92</v>
      </c>
      <c r="D65" s="509" t="s">
        <v>83</v>
      </c>
      <c r="E65" s="509" t="s">
        <v>90</v>
      </c>
      <c r="F65" s="510" t="s">
        <v>376</v>
      </c>
      <c r="G65" s="100" t="s">
        <v>103</v>
      </c>
      <c r="H65" s="206">
        <f>'прил13(ведом 20-21)'!M221</f>
        <v>5594.5</v>
      </c>
      <c r="I65" s="206">
        <f>'прил13(ведом 20-21)'!N221</f>
        <v>5594.5</v>
      </c>
    </row>
    <row r="66" spans="1:9" ht="37.5" x14ac:dyDescent="0.3">
      <c r="A66" s="151"/>
      <c r="B66" s="98" t="s">
        <v>108</v>
      </c>
      <c r="C66" s="578" t="s">
        <v>92</v>
      </c>
      <c r="D66" s="579" t="s">
        <v>83</v>
      </c>
      <c r="E66" s="579" t="s">
        <v>90</v>
      </c>
      <c r="F66" s="580" t="s">
        <v>376</v>
      </c>
      <c r="G66" s="100" t="s">
        <v>109</v>
      </c>
      <c r="H66" s="206">
        <f>'прил13(ведом 20-21)'!M222</f>
        <v>168.7</v>
      </c>
      <c r="I66" s="206">
        <f>'прил13(ведом 20-21)'!N222</f>
        <v>168.7</v>
      </c>
    </row>
    <row r="67" spans="1:9" ht="225" x14ac:dyDescent="0.3">
      <c r="A67" s="151"/>
      <c r="B67" s="576" t="s">
        <v>813</v>
      </c>
      <c r="C67" s="347" t="s">
        <v>92</v>
      </c>
      <c r="D67" s="509" t="s">
        <v>83</v>
      </c>
      <c r="E67" s="509" t="s">
        <v>90</v>
      </c>
      <c r="F67" s="510" t="s">
        <v>504</v>
      </c>
      <c r="G67" s="100"/>
      <c r="H67" s="206">
        <f>SUM(H68:H68)</f>
        <v>2072.1</v>
      </c>
      <c r="I67" s="206">
        <f>SUM(I68:I68)</f>
        <v>2072.1</v>
      </c>
    </row>
    <row r="68" spans="1:9" ht="56.25" x14ac:dyDescent="0.3">
      <c r="A68" s="151"/>
      <c r="B68" s="98" t="s">
        <v>135</v>
      </c>
      <c r="C68" s="347" t="s">
        <v>92</v>
      </c>
      <c r="D68" s="509" t="s">
        <v>83</v>
      </c>
      <c r="E68" s="509" t="s">
        <v>90</v>
      </c>
      <c r="F68" s="510" t="s">
        <v>504</v>
      </c>
      <c r="G68" s="100" t="s">
        <v>136</v>
      </c>
      <c r="H68" s="206">
        <f>'прил13(ведом 20-21)'!M189</f>
        <v>2072.1</v>
      </c>
      <c r="I68" s="206">
        <f>'прил13(ведом 20-21)'!N189</f>
        <v>2072.1</v>
      </c>
    </row>
    <row r="69" spans="1:9" ht="37.5" x14ac:dyDescent="0.3">
      <c r="A69" s="151"/>
      <c r="B69" s="232" t="s">
        <v>506</v>
      </c>
      <c r="C69" s="584" t="s">
        <v>92</v>
      </c>
      <c r="D69" s="585" t="s">
        <v>83</v>
      </c>
      <c r="E69" s="585" t="s">
        <v>92</v>
      </c>
      <c r="F69" s="586" t="s">
        <v>505</v>
      </c>
      <c r="G69" s="100"/>
      <c r="H69" s="206">
        <f>H70</f>
        <v>3759.6</v>
      </c>
      <c r="I69" s="206">
        <f>I70</f>
        <v>3750.2</v>
      </c>
    </row>
    <row r="70" spans="1:9" ht="56.25" x14ac:dyDescent="0.3">
      <c r="A70" s="151"/>
      <c r="B70" s="232" t="s">
        <v>135</v>
      </c>
      <c r="C70" s="584" t="s">
        <v>92</v>
      </c>
      <c r="D70" s="585" t="s">
        <v>83</v>
      </c>
      <c r="E70" s="585" t="s">
        <v>92</v>
      </c>
      <c r="F70" s="586" t="s">
        <v>505</v>
      </c>
      <c r="G70" s="100" t="s">
        <v>136</v>
      </c>
      <c r="H70" s="602">
        <f>'прил13(ведом 20-21)'!M208</f>
        <v>3759.6</v>
      </c>
      <c r="I70" s="602">
        <f>'прил13(ведом 20-21)'!N208</f>
        <v>3750.2</v>
      </c>
    </row>
    <row r="71" spans="1:9" ht="18.75" x14ac:dyDescent="0.3">
      <c r="A71" s="151"/>
      <c r="B71" s="243"/>
      <c r="C71" s="148"/>
      <c r="D71" s="148"/>
      <c r="E71" s="143"/>
      <c r="F71" s="147"/>
      <c r="G71" s="142"/>
      <c r="H71" s="206"/>
      <c r="I71" s="206"/>
    </row>
    <row r="72" spans="1:9" s="52" customFormat="1" ht="56.25" x14ac:dyDescent="0.3">
      <c r="A72" s="149">
        <v>2</v>
      </c>
      <c r="B72" s="244" t="s">
        <v>293</v>
      </c>
      <c r="C72" s="136" t="s">
        <v>119</v>
      </c>
      <c r="D72" s="136" t="s">
        <v>95</v>
      </c>
      <c r="E72" s="136" t="s">
        <v>96</v>
      </c>
      <c r="F72" s="150" t="s">
        <v>97</v>
      </c>
      <c r="G72" s="146"/>
      <c r="H72" s="205">
        <f>H73+H83</f>
        <v>77122.7</v>
      </c>
      <c r="I72" s="205">
        <f>I73+I83</f>
        <v>77097.5</v>
      </c>
    </row>
    <row r="73" spans="1:9" s="53" customFormat="1" ht="56.25" x14ac:dyDescent="0.3">
      <c r="A73" s="151"/>
      <c r="B73" s="103" t="s">
        <v>294</v>
      </c>
      <c r="C73" s="347" t="s">
        <v>119</v>
      </c>
      <c r="D73" s="509" t="s">
        <v>98</v>
      </c>
      <c r="E73" s="509" t="s">
        <v>96</v>
      </c>
      <c r="F73" s="510" t="s">
        <v>97</v>
      </c>
      <c r="G73" s="142"/>
      <c r="H73" s="206">
        <f>H74+H77+H80</f>
        <v>69165.5</v>
      </c>
      <c r="I73" s="206">
        <f>I74+I77+I80</f>
        <v>69165.5</v>
      </c>
    </row>
    <row r="74" spans="1:9" s="53" customFormat="1" ht="34.15" customHeight="1" x14ac:dyDescent="0.3">
      <c r="A74" s="151"/>
      <c r="B74" s="103" t="s">
        <v>383</v>
      </c>
      <c r="C74" s="347" t="s">
        <v>119</v>
      </c>
      <c r="D74" s="509" t="s">
        <v>98</v>
      </c>
      <c r="E74" s="509" t="s">
        <v>90</v>
      </c>
      <c r="F74" s="510" t="s">
        <v>97</v>
      </c>
      <c r="G74" s="142"/>
      <c r="H74" s="206">
        <f>H75</f>
        <v>48567.5</v>
      </c>
      <c r="I74" s="206">
        <f>I75</f>
        <v>48567.5</v>
      </c>
    </row>
    <row r="75" spans="1:9" s="53" customFormat="1" ht="75" x14ac:dyDescent="0.3">
      <c r="A75" s="151"/>
      <c r="B75" s="101" t="s">
        <v>454</v>
      </c>
      <c r="C75" s="347" t="s">
        <v>119</v>
      </c>
      <c r="D75" s="509" t="s">
        <v>98</v>
      </c>
      <c r="E75" s="509" t="s">
        <v>90</v>
      </c>
      <c r="F75" s="510" t="s">
        <v>153</v>
      </c>
      <c r="G75" s="100"/>
      <c r="H75" s="206">
        <f>H76</f>
        <v>48567.5</v>
      </c>
      <c r="I75" s="206">
        <f>I76</f>
        <v>48567.5</v>
      </c>
    </row>
    <row r="76" spans="1:9" s="53" customFormat="1" ht="56.25" x14ac:dyDescent="0.3">
      <c r="A76" s="151"/>
      <c r="B76" s="102" t="s">
        <v>135</v>
      </c>
      <c r="C76" s="347" t="s">
        <v>119</v>
      </c>
      <c r="D76" s="509" t="s">
        <v>98</v>
      </c>
      <c r="E76" s="509" t="s">
        <v>90</v>
      </c>
      <c r="F76" s="510" t="s">
        <v>153</v>
      </c>
      <c r="G76" s="100" t="s">
        <v>136</v>
      </c>
      <c r="H76" s="206">
        <f>'прил13(ведом 20-21)'!M239</f>
        <v>48567.5</v>
      </c>
      <c r="I76" s="206">
        <f>'прил13(ведом 20-21)'!N239</f>
        <v>48567.5</v>
      </c>
    </row>
    <row r="77" spans="1:9" s="53" customFormat="1" ht="18.75" x14ac:dyDescent="0.3">
      <c r="A77" s="151"/>
      <c r="B77" s="98" t="s">
        <v>457</v>
      </c>
      <c r="C77" s="122" t="s">
        <v>119</v>
      </c>
      <c r="D77" s="130" t="s">
        <v>98</v>
      </c>
      <c r="E77" s="130" t="s">
        <v>119</v>
      </c>
      <c r="F77" s="131" t="s">
        <v>97</v>
      </c>
      <c r="G77" s="129"/>
      <c r="H77" s="206">
        <f>H78</f>
        <v>10543.8</v>
      </c>
      <c r="I77" s="206">
        <f>I78</f>
        <v>10543.8</v>
      </c>
    </row>
    <row r="78" spans="1:9" s="53" customFormat="1" ht="75" x14ac:dyDescent="0.3">
      <c r="A78" s="151"/>
      <c r="B78" s="101" t="s">
        <v>458</v>
      </c>
      <c r="C78" s="122" t="s">
        <v>119</v>
      </c>
      <c r="D78" s="130" t="s">
        <v>98</v>
      </c>
      <c r="E78" s="130" t="s">
        <v>119</v>
      </c>
      <c r="F78" s="131" t="s">
        <v>153</v>
      </c>
      <c r="G78" s="129"/>
      <c r="H78" s="206">
        <f>H79</f>
        <v>10543.8</v>
      </c>
      <c r="I78" s="206">
        <f>I79</f>
        <v>10543.8</v>
      </c>
    </row>
    <row r="79" spans="1:9" s="53" customFormat="1" ht="56.25" x14ac:dyDescent="0.3">
      <c r="A79" s="151"/>
      <c r="B79" s="102" t="s">
        <v>135</v>
      </c>
      <c r="C79" s="347" t="s">
        <v>119</v>
      </c>
      <c r="D79" s="509" t="s">
        <v>98</v>
      </c>
      <c r="E79" s="509" t="s">
        <v>119</v>
      </c>
      <c r="F79" s="510" t="s">
        <v>153</v>
      </c>
      <c r="G79" s="100" t="s">
        <v>136</v>
      </c>
      <c r="H79" s="206">
        <f>'прил13(ведом 20-21)'!M246</f>
        <v>10543.8</v>
      </c>
      <c r="I79" s="206">
        <f>'прил13(ведом 20-21)'!N246</f>
        <v>10543.8</v>
      </c>
    </row>
    <row r="80" spans="1:9" s="53" customFormat="1" ht="37.5" x14ac:dyDescent="0.3">
      <c r="A80" s="151"/>
      <c r="B80" s="102" t="s">
        <v>460</v>
      </c>
      <c r="C80" s="122" t="s">
        <v>119</v>
      </c>
      <c r="D80" s="130" t="s">
        <v>98</v>
      </c>
      <c r="E80" s="130" t="s">
        <v>105</v>
      </c>
      <c r="F80" s="510" t="s">
        <v>97</v>
      </c>
      <c r="G80" s="100"/>
      <c r="H80" s="206">
        <f>H81</f>
        <v>10054.200000000001</v>
      </c>
      <c r="I80" s="206">
        <f>I81</f>
        <v>10054.200000000001</v>
      </c>
    </row>
    <row r="81" spans="1:9" s="53" customFormat="1" ht="75" x14ac:dyDescent="0.3">
      <c r="A81" s="151"/>
      <c r="B81" s="101" t="s">
        <v>458</v>
      </c>
      <c r="C81" s="122" t="s">
        <v>119</v>
      </c>
      <c r="D81" s="130" t="s">
        <v>98</v>
      </c>
      <c r="E81" s="130" t="s">
        <v>105</v>
      </c>
      <c r="F81" s="131" t="s">
        <v>153</v>
      </c>
      <c r="G81" s="129"/>
      <c r="H81" s="206">
        <f>SUM(H82:H82)</f>
        <v>10054.200000000001</v>
      </c>
      <c r="I81" s="206">
        <f>SUM(I82:I82)</f>
        <v>10054.200000000001</v>
      </c>
    </row>
    <row r="82" spans="1:9" s="53" customFormat="1" ht="93.75" x14ac:dyDescent="0.3">
      <c r="A82" s="151"/>
      <c r="B82" s="232" t="s">
        <v>102</v>
      </c>
      <c r="C82" s="347" t="s">
        <v>119</v>
      </c>
      <c r="D82" s="509" t="s">
        <v>98</v>
      </c>
      <c r="E82" s="509" t="s">
        <v>105</v>
      </c>
      <c r="F82" s="510" t="s">
        <v>153</v>
      </c>
      <c r="G82" s="100" t="s">
        <v>103</v>
      </c>
      <c r="H82" s="206">
        <f>'прил13(ведом 20-21)'!M249</f>
        <v>10054.200000000001</v>
      </c>
      <c r="I82" s="206">
        <f>'прил13(ведом 20-21)'!N249</f>
        <v>10054.200000000001</v>
      </c>
    </row>
    <row r="83" spans="1:9" s="53" customFormat="1" ht="56.25" x14ac:dyDescent="0.3">
      <c r="A83" s="151"/>
      <c r="B83" s="98" t="s">
        <v>296</v>
      </c>
      <c r="C83" s="347" t="s">
        <v>119</v>
      </c>
      <c r="D83" s="509" t="s">
        <v>83</v>
      </c>
      <c r="E83" s="509" t="s">
        <v>96</v>
      </c>
      <c r="F83" s="510" t="s">
        <v>97</v>
      </c>
      <c r="G83" s="142"/>
      <c r="H83" s="206">
        <f>H84</f>
        <v>7957.2</v>
      </c>
      <c r="I83" s="206">
        <f>I84</f>
        <v>7932</v>
      </c>
    </row>
    <row r="84" spans="1:9" s="53" customFormat="1" ht="37.5" x14ac:dyDescent="0.3">
      <c r="A84" s="151"/>
      <c r="B84" s="98" t="s">
        <v>389</v>
      </c>
      <c r="C84" s="347" t="s">
        <v>119</v>
      </c>
      <c r="D84" s="509" t="s">
        <v>83</v>
      </c>
      <c r="E84" s="509" t="s">
        <v>90</v>
      </c>
      <c r="F84" s="510" t="s">
        <v>97</v>
      </c>
      <c r="G84" s="100"/>
      <c r="H84" s="206">
        <f>H85+H88</f>
        <v>7957.2</v>
      </c>
      <c r="I84" s="206">
        <f>I85+I88</f>
        <v>7932</v>
      </c>
    </row>
    <row r="85" spans="1:9" ht="37.5" x14ac:dyDescent="0.3">
      <c r="A85" s="151"/>
      <c r="B85" s="98" t="s">
        <v>100</v>
      </c>
      <c r="C85" s="347" t="s">
        <v>119</v>
      </c>
      <c r="D85" s="509" t="s">
        <v>83</v>
      </c>
      <c r="E85" s="509" t="s">
        <v>90</v>
      </c>
      <c r="F85" s="510" t="s">
        <v>101</v>
      </c>
      <c r="G85" s="129"/>
      <c r="H85" s="206">
        <f>SUM(H86:H87)</f>
        <v>2438.3999999999996</v>
      </c>
      <c r="I85" s="206">
        <f>SUM(I86:I87)</f>
        <v>2413.1999999999998</v>
      </c>
    </row>
    <row r="86" spans="1:9" ht="93.75" x14ac:dyDescent="0.3">
      <c r="A86" s="151"/>
      <c r="B86" s="98" t="s">
        <v>102</v>
      </c>
      <c r="C86" s="347" t="s">
        <v>119</v>
      </c>
      <c r="D86" s="509" t="s">
        <v>83</v>
      </c>
      <c r="E86" s="509" t="s">
        <v>90</v>
      </c>
      <c r="F86" s="510" t="s">
        <v>101</v>
      </c>
      <c r="G86" s="129" t="s">
        <v>103</v>
      </c>
      <c r="H86" s="206">
        <f>'прил13(ведом 20-21)'!M255</f>
        <v>2413.1999999999998</v>
      </c>
      <c r="I86" s="206">
        <f>'прил13(ведом 20-21)'!N255</f>
        <v>2413.1999999999998</v>
      </c>
    </row>
    <row r="87" spans="1:9" ht="37.5" x14ac:dyDescent="0.3">
      <c r="A87" s="151"/>
      <c r="B87" s="98" t="s">
        <v>108</v>
      </c>
      <c r="C87" s="347" t="s">
        <v>119</v>
      </c>
      <c r="D87" s="509" t="s">
        <v>83</v>
      </c>
      <c r="E87" s="509" t="s">
        <v>90</v>
      </c>
      <c r="F87" s="510" t="s">
        <v>101</v>
      </c>
      <c r="G87" s="129" t="s">
        <v>109</v>
      </c>
      <c r="H87" s="206">
        <f>'прил13(ведом 20-21)'!M256</f>
        <v>25.2</v>
      </c>
      <c r="I87" s="206">
        <f>'прил13(ведом 20-21)'!N256</f>
        <v>0</v>
      </c>
    </row>
    <row r="88" spans="1:9" ht="75" x14ac:dyDescent="0.3">
      <c r="A88" s="151"/>
      <c r="B88" s="101" t="s">
        <v>458</v>
      </c>
      <c r="C88" s="347" t="s">
        <v>119</v>
      </c>
      <c r="D88" s="509" t="s">
        <v>83</v>
      </c>
      <c r="E88" s="509" t="s">
        <v>90</v>
      </c>
      <c r="F88" s="510" t="s">
        <v>153</v>
      </c>
      <c r="G88" s="100"/>
      <c r="H88" s="206">
        <f>SUM(H89:H89)</f>
        <v>5518.8</v>
      </c>
      <c r="I88" s="206">
        <f>SUM(I89:I89)</f>
        <v>5518.8</v>
      </c>
    </row>
    <row r="89" spans="1:9" ht="93.75" x14ac:dyDescent="0.3">
      <c r="A89" s="151"/>
      <c r="B89" s="98" t="s">
        <v>102</v>
      </c>
      <c r="C89" s="347" t="s">
        <v>119</v>
      </c>
      <c r="D89" s="509" t="s">
        <v>83</v>
      </c>
      <c r="E89" s="509" t="s">
        <v>90</v>
      </c>
      <c r="F89" s="510" t="s">
        <v>153</v>
      </c>
      <c r="G89" s="129" t="s">
        <v>103</v>
      </c>
      <c r="H89" s="206">
        <f>'прил13(ведом 20-21)'!M258</f>
        <v>5518.8</v>
      </c>
      <c r="I89" s="206">
        <f>'прил13(ведом 20-21)'!N258</f>
        <v>5518.8</v>
      </c>
    </row>
    <row r="90" spans="1:9" s="54" customFormat="1" ht="18.75" x14ac:dyDescent="0.3">
      <c r="A90" s="151"/>
      <c r="B90" s="243"/>
      <c r="C90" s="140"/>
      <c r="D90" s="140"/>
      <c r="E90" s="143"/>
      <c r="F90" s="147"/>
      <c r="G90" s="142"/>
      <c r="H90" s="206"/>
      <c r="I90" s="206"/>
    </row>
    <row r="91" spans="1:9" s="52" customFormat="1" ht="56.25" x14ac:dyDescent="0.3">
      <c r="A91" s="149">
        <v>3</v>
      </c>
      <c r="B91" s="242" t="s">
        <v>297</v>
      </c>
      <c r="C91" s="136" t="s">
        <v>105</v>
      </c>
      <c r="D91" s="136" t="s">
        <v>95</v>
      </c>
      <c r="E91" s="136" t="s">
        <v>96</v>
      </c>
      <c r="F91" s="150" t="s">
        <v>97</v>
      </c>
      <c r="G91" s="146"/>
      <c r="H91" s="205">
        <f>H92</f>
        <v>31971.5</v>
      </c>
      <c r="I91" s="205">
        <f>I92</f>
        <v>27516.3</v>
      </c>
    </row>
    <row r="92" spans="1:9" s="54" customFormat="1" ht="37.5" x14ac:dyDescent="0.3">
      <c r="A92" s="151"/>
      <c r="B92" s="98" t="s">
        <v>300</v>
      </c>
      <c r="C92" s="347" t="s">
        <v>105</v>
      </c>
      <c r="D92" s="509" t="s">
        <v>150</v>
      </c>
      <c r="E92" s="509" t="s">
        <v>96</v>
      </c>
      <c r="F92" s="510" t="s">
        <v>97</v>
      </c>
      <c r="G92" s="142"/>
      <c r="H92" s="206">
        <f>H93+H98</f>
        <v>31971.5</v>
      </c>
      <c r="I92" s="206">
        <f>I93+I98</f>
        <v>27516.3</v>
      </c>
    </row>
    <row r="93" spans="1:9" s="54" customFormat="1" ht="37.5" x14ac:dyDescent="0.3">
      <c r="A93" s="151"/>
      <c r="B93" s="98" t="s">
        <v>389</v>
      </c>
      <c r="C93" s="347" t="s">
        <v>105</v>
      </c>
      <c r="D93" s="509" t="s">
        <v>150</v>
      </c>
      <c r="E93" s="509" t="s">
        <v>90</v>
      </c>
      <c r="F93" s="510" t="s">
        <v>97</v>
      </c>
      <c r="G93" s="100"/>
      <c r="H93" s="206">
        <f>H94</f>
        <v>2282.9999999999995</v>
      </c>
      <c r="I93" s="206">
        <f>I94</f>
        <v>2262.1</v>
      </c>
    </row>
    <row r="94" spans="1:9" s="54" customFormat="1" ht="37.5" x14ac:dyDescent="0.3">
      <c r="A94" s="151"/>
      <c r="B94" s="98" t="s">
        <v>100</v>
      </c>
      <c r="C94" s="347" t="s">
        <v>105</v>
      </c>
      <c r="D94" s="509" t="s">
        <v>150</v>
      </c>
      <c r="E94" s="509" t="s">
        <v>90</v>
      </c>
      <c r="F94" s="510" t="s">
        <v>101</v>
      </c>
      <c r="G94" s="100"/>
      <c r="H94" s="206">
        <f>SUM(H95:H97)</f>
        <v>2282.9999999999995</v>
      </c>
      <c r="I94" s="206">
        <f>SUM(I95:I97)</f>
        <v>2262.1</v>
      </c>
    </row>
    <row r="95" spans="1:9" s="54" customFormat="1" ht="93.75" x14ac:dyDescent="0.3">
      <c r="A95" s="151"/>
      <c r="B95" s="98" t="s">
        <v>102</v>
      </c>
      <c r="C95" s="347" t="s">
        <v>105</v>
      </c>
      <c r="D95" s="509" t="s">
        <v>150</v>
      </c>
      <c r="E95" s="509" t="s">
        <v>90</v>
      </c>
      <c r="F95" s="510" t="s">
        <v>101</v>
      </c>
      <c r="G95" s="100" t="s">
        <v>103</v>
      </c>
      <c r="H95" s="206">
        <f>'прил13(ведом 20-21)'!M275</f>
        <v>2262.1</v>
      </c>
      <c r="I95" s="206">
        <f>'прил13(ведом 20-21)'!N275</f>
        <v>2262.1</v>
      </c>
    </row>
    <row r="96" spans="1:9" s="54" customFormat="1" ht="37.5" x14ac:dyDescent="0.3">
      <c r="A96" s="151"/>
      <c r="B96" s="373" t="s">
        <v>108</v>
      </c>
      <c r="C96" s="581" t="s">
        <v>105</v>
      </c>
      <c r="D96" s="582" t="s">
        <v>150</v>
      </c>
      <c r="E96" s="582" t="s">
        <v>90</v>
      </c>
      <c r="F96" s="583" t="s">
        <v>101</v>
      </c>
      <c r="G96" s="357" t="s">
        <v>109</v>
      </c>
      <c r="H96" s="206">
        <f>'прил13(ведом 20-21)'!M276</f>
        <v>18.7</v>
      </c>
      <c r="I96" s="206">
        <f>'прил13(ведом 20-21)'!N276</f>
        <v>0</v>
      </c>
    </row>
    <row r="97" spans="1:9" s="54" customFormat="1" ht="18.75" x14ac:dyDescent="0.3">
      <c r="A97" s="151"/>
      <c r="B97" s="373" t="s">
        <v>110</v>
      </c>
      <c r="C97" s="581" t="s">
        <v>105</v>
      </c>
      <c r="D97" s="582" t="s">
        <v>150</v>
      </c>
      <c r="E97" s="582" t="s">
        <v>90</v>
      </c>
      <c r="F97" s="583" t="s">
        <v>101</v>
      </c>
      <c r="G97" s="357" t="s">
        <v>111</v>
      </c>
      <c r="H97" s="206">
        <f>'прил13(ведом 20-21)'!M277</f>
        <v>2.2000000000000002</v>
      </c>
      <c r="I97" s="206">
        <f>'прил13(ведом 20-21)'!N277</f>
        <v>0</v>
      </c>
    </row>
    <row r="98" spans="1:9" s="54" customFormat="1" ht="18.75" x14ac:dyDescent="0.3">
      <c r="A98" s="151"/>
      <c r="B98" s="98" t="s">
        <v>541</v>
      </c>
      <c r="C98" s="347" t="s">
        <v>105</v>
      </c>
      <c r="D98" s="509" t="s">
        <v>150</v>
      </c>
      <c r="E98" s="509" t="s">
        <v>92</v>
      </c>
      <c r="F98" s="510" t="s">
        <v>97</v>
      </c>
      <c r="G98" s="100"/>
      <c r="H98" s="206">
        <f>H99</f>
        <v>29688.5</v>
      </c>
      <c r="I98" s="206">
        <f>I99</f>
        <v>25254.2</v>
      </c>
    </row>
    <row r="99" spans="1:9" s="54" customFormat="1" ht="75" x14ac:dyDescent="0.3">
      <c r="A99" s="151"/>
      <c r="B99" s="98" t="s">
        <v>151</v>
      </c>
      <c r="C99" s="347" t="s">
        <v>105</v>
      </c>
      <c r="D99" s="509" t="s">
        <v>150</v>
      </c>
      <c r="E99" s="509" t="s">
        <v>92</v>
      </c>
      <c r="F99" s="510" t="s">
        <v>153</v>
      </c>
      <c r="G99" s="100"/>
      <c r="H99" s="206">
        <f>SUM(H100:H102)</f>
        <v>29688.5</v>
      </c>
      <c r="I99" s="206">
        <f>SUM(I100:I102)</f>
        <v>25254.2</v>
      </c>
    </row>
    <row r="100" spans="1:9" s="54" customFormat="1" ht="93.75" x14ac:dyDescent="0.3">
      <c r="A100" s="151"/>
      <c r="B100" s="98" t="s">
        <v>102</v>
      </c>
      <c r="C100" s="347" t="s">
        <v>105</v>
      </c>
      <c r="D100" s="509" t="s">
        <v>150</v>
      </c>
      <c r="E100" s="509" t="s">
        <v>92</v>
      </c>
      <c r="F100" s="510" t="s">
        <v>153</v>
      </c>
      <c r="G100" s="100" t="s">
        <v>103</v>
      </c>
      <c r="H100" s="206">
        <f>'прил13(ведом 20-21)'!M267</f>
        <v>20730.2</v>
      </c>
      <c r="I100" s="206">
        <f>'прил13(ведом 20-21)'!N267</f>
        <v>20730.2</v>
      </c>
    </row>
    <row r="101" spans="1:9" s="54" customFormat="1" ht="37.5" x14ac:dyDescent="0.3">
      <c r="A101" s="151"/>
      <c r="B101" s="98" t="s">
        <v>108</v>
      </c>
      <c r="C101" s="347" t="s">
        <v>105</v>
      </c>
      <c r="D101" s="509" t="s">
        <v>150</v>
      </c>
      <c r="E101" s="509" t="s">
        <v>92</v>
      </c>
      <c r="F101" s="510" t="s">
        <v>153</v>
      </c>
      <c r="G101" s="100" t="s">
        <v>109</v>
      </c>
      <c r="H101" s="206">
        <f>'прил13(ведом 20-21)'!M268</f>
        <v>5658.3</v>
      </c>
      <c r="I101" s="206">
        <f>'прил13(ведом 20-21)'!N268</f>
        <v>4524</v>
      </c>
    </row>
    <row r="102" spans="1:9" s="54" customFormat="1" ht="18.75" x14ac:dyDescent="0.3">
      <c r="A102" s="151"/>
      <c r="B102" s="98" t="s">
        <v>110</v>
      </c>
      <c r="C102" s="347" t="s">
        <v>105</v>
      </c>
      <c r="D102" s="509" t="s">
        <v>150</v>
      </c>
      <c r="E102" s="509" t="s">
        <v>92</v>
      </c>
      <c r="F102" s="510" t="s">
        <v>153</v>
      </c>
      <c r="G102" s="100" t="s">
        <v>111</v>
      </c>
      <c r="H102" s="206">
        <f>'прил13(ведом 20-21)'!M269</f>
        <v>3300</v>
      </c>
      <c r="I102" s="206">
        <f>'прил13(ведом 20-21)'!N269</f>
        <v>0</v>
      </c>
    </row>
    <row r="103" spans="1:9" s="54" customFormat="1" ht="18.75" x14ac:dyDescent="0.3">
      <c r="A103" s="151"/>
      <c r="B103" s="243"/>
      <c r="C103" s="153"/>
      <c r="D103" s="140"/>
      <c r="E103" s="140"/>
      <c r="F103" s="141"/>
      <c r="G103" s="142"/>
      <c r="H103" s="206"/>
      <c r="I103" s="206"/>
    </row>
    <row r="104" spans="1:9" s="52" customFormat="1" ht="56.25" x14ac:dyDescent="0.3">
      <c r="A104" s="149">
        <v>4</v>
      </c>
      <c r="B104" s="244" t="s">
        <v>301</v>
      </c>
      <c r="C104" s="144" t="s">
        <v>121</v>
      </c>
      <c r="D104" s="144" t="s">
        <v>95</v>
      </c>
      <c r="E104" s="144" t="s">
        <v>96</v>
      </c>
      <c r="F104" s="145" t="s">
        <v>97</v>
      </c>
      <c r="G104" s="146"/>
      <c r="H104" s="205">
        <f>H105+H110</f>
        <v>4804.3999999999996</v>
      </c>
      <c r="I104" s="205">
        <f>I105+I110</f>
        <v>4687</v>
      </c>
    </row>
    <row r="105" spans="1:9" s="53" customFormat="1" ht="18.75" x14ac:dyDescent="0.3">
      <c r="A105" s="151"/>
      <c r="B105" s="98" t="s">
        <v>302</v>
      </c>
      <c r="C105" s="347" t="s">
        <v>121</v>
      </c>
      <c r="D105" s="509" t="s">
        <v>98</v>
      </c>
      <c r="E105" s="509" t="s">
        <v>96</v>
      </c>
      <c r="F105" s="510" t="s">
        <v>97</v>
      </c>
      <c r="G105" s="142"/>
      <c r="H105" s="206">
        <f t="shared" ref="H105:I106" si="0">H106</f>
        <v>2153.5</v>
      </c>
      <c r="I105" s="206">
        <f t="shared" si="0"/>
        <v>2153.5</v>
      </c>
    </row>
    <row r="106" spans="1:9" s="53" customFormat="1" ht="75" x14ac:dyDescent="0.3">
      <c r="A106" s="151"/>
      <c r="B106" s="98" t="s">
        <v>395</v>
      </c>
      <c r="C106" s="347" t="s">
        <v>121</v>
      </c>
      <c r="D106" s="509" t="s">
        <v>98</v>
      </c>
      <c r="E106" s="509" t="s">
        <v>90</v>
      </c>
      <c r="F106" s="510" t="s">
        <v>97</v>
      </c>
      <c r="G106" s="100"/>
      <c r="H106" s="206">
        <f t="shared" si="0"/>
        <v>2153.5</v>
      </c>
      <c r="I106" s="206">
        <f t="shared" si="0"/>
        <v>2153.5</v>
      </c>
    </row>
    <row r="107" spans="1:9" ht="75" x14ac:dyDescent="0.3">
      <c r="A107" s="151"/>
      <c r="B107" s="98" t="s">
        <v>151</v>
      </c>
      <c r="C107" s="347" t="s">
        <v>121</v>
      </c>
      <c r="D107" s="509" t="s">
        <v>98</v>
      </c>
      <c r="E107" s="509" t="s">
        <v>90</v>
      </c>
      <c r="F107" s="510" t="s">
        <v>153</v>
      </c>
      <c r="G107" s="100"/>
      <c r="H107" s="206">
        <f>SUM(H108:H109)</f>
        <v>2153.5</v>
      </c>
      <c r="I107" s="206">
        <f>SUM(I108:I109)</f>
        <v>2153.5</v>
      </c>
    </row>
    <row r="108" spans="1:9" ht="93.75" x14ac:dyDescent="0.3">
      <c r="A108" s="151"/>
      <c r="B108" s="98" t="s">
        <v>102</v>
      </c>
      <c r="C108" s="347" t="s">
        <v>121</v>
      </c>
      <c r="D108" s="509" t="s">
        <v>98</v>
      </c>
      <c r="E108" s="509" t="s">
        <v>90</v>
      </c>
      <c r="F108" s="510" t="s">
        <v>153</v>
      </c>
      <c r="G108" s="100" t="s">
        <v>103</v>
      </c>
      <c r="H108" s="206">
        <f>'прил13(ведом 20-21)'!M286</f>
        <v>2114.5</v>
      </c>
      <c r="I108" s="206">
        <f>'прил13(ведом 20-21)'!N286</f>
        <v>2114.5</v>
      </c>
    </row>
    <row r="109" spans="1:9" ht="37.5" x14ac:dyDescent="0.3">
      <c r="A109" s="151"/>
      <c r="B109" s="373" t="s">
        <v>108</v>
      </c>
      <c r="C109" s="581" t="s">
        <v>121</v>
      </c>
      <c r="D109" s="582" t="s">
        <v>98</v>
      </c>
      <c r="E109" s="582" t="s">
        <v>90</v>
      </c>
      <c r="F109" s="583" t="s">
        <v>153</v>
      </c>
      <c r="G109" s="357" t="s">
        <v>109</v>
      </c>
      <c r="H109" s="206">
        <f>'прил13(ведом 20-21)'!M287</f>
        <v>39</v>
      </c>
      <c r="I109" s="206">
        <f>'прил13(ведом 20-21)'!N287</f>
        <v>39</v>
      </c>
    </row>
    <row r="110" spans="1:9" s="53" customFormat="1" ht="37.5" x14ac:dyDescent="0.3">
      <c r="A110" s="151"/>
      <c r="B110" s="98" t="s">
        <v>300</v>
      </c>
      <c r="C110" s="347" t="s">
        <v>121</v>
      </c>
      <c r="D110" s="509" t="s">
        <v>150</v>
      </c>
      <c r="E110" s="509" t="s">
        <v>96</v>
      </c>
      <c r="F110" s="510" t="s">
        <v>97</v>
      </c>
      <c r="G110" s="100"/>
      <c r="H110" s="206">
        <f>H111</f>
        <v>2650.9</v>
      </c>
      <c r="I110" s="206">
        <f>I111</f>
        <v>2533.5</v>
      </c>
    </row>
    <row r="111" spans="1:9" s="53" customFormat="1" ht="37.5" x14ac:dyDescent="0.3">
      <c r="A111" s="151"/>
      <c r="B111" s="98" t="s">
        <v>389</v>
      </c>
      <c r="C111" s="347" t="s">
        <v>121</v>
      </c>
      <c r="D111" s="509" t="s">
        <v>150</v>
      </c>
      <c r="E111" s="509" t="s">
        <v>90</v>
      </c>
      <c r="F111" s="510" t="s">
        <v>97</v>
      </c>
      <c r="G111" s="100"/>
      <c r="H111" s="206">
        <f>H112</f>
        <v>2650.9</v>
      </c>
      <c r="I111" s="206">
        <f>I112</f>
        <v>2533.5</v>
      </c>
    </row>
    <row r="112" spans="1:9" s="53" customFormat="1" ht="37.5" x14ac:dyDescent="0.3">
      <c r="A112" s="151"/>
      <c r="B112" s="98" t="s">
        <v>100</v>
      </c>
      <c r="C112" s="347" t="s">
        <v>121</v>
      </c>
      <c r="D112" s="509" t="s">
        <v>150</v>
      </c>
      <c r="E112" s="509" t="s">
        <v>90</v>
      </c>
      <c r="F112" s="510" t="s">
        <v>101</v>
      </c>
      <c r="G112" s="100"/>
      <c r="H112" s="206">
        <f>SUM(H113:H115)</f>
        <v>2650.9</v>
      </c>
      <c r="I112" s="206">
        <f>SUM(I113:I115)</f>
        <v>2533.5</v>
      </c>
    </row>
    <row r="113" spans="1:9" s="53" customFormat="1" ht="93.75" x14ac:dyDescent="0.3">
      <c r="A113" s="151"/>
      <c r="B113" s="98" t="s">
        <v>102</v>
      </c>
      <c r="C113" s="347" t="s">
        <v>121</v>
      </c>
      <c r="D113" s="509" t="s">
        <v>150</v>
      </c>
      <c r="E113" s="509" t="s">
        <v>90</v>
      </c>
      <c r="F113" s="510" t="s">
        <v>101</v>
      </c>
      <c r="G113" s="100" t="s">
        <v>103</v>
      </c>
      <c r="H113" s="206">
        <f>'прил13(ведом 20-21)'!M293</f>
        <v>2533.5</v>
      </c>
      <c r="I113" s="206">
        <f>'прил13(ведом 20-21)'!N293</f>
        <v>2533.5</v>
      </c>
    </row>
    <row r="114" spans="1:9" ht="37.5" x14ac:dyDescent="0.3">
      <c r="A114" s="151"/>
      <c r="B114" s="98" t="s">
        <v>108</v>
      </c>
      <c r="C114" s="347" t="s">
        <v>121</v>
      </c>
      <c r="D114" s="509" t="s">
        <v>150</v>
      </c>
      <c r="E114" s="509" t="s">
        <v>90</v>
      </c>
      <c r="F114" s="510" t="s">
        <v>101</v>
      </c>
      <c r="G114" s="100" t="s">
        <v>109</v>
      </c>
      <c r="H114" s="206">
        <f>'прил13(ведом 20-21)'!M294</f>
        <v>117.1</v>
      </c>
      <c r="I114" s="206">
        <f>'прил13(ведом 20-21)'!N294</f>
        <v>0</v>
      </c>
    </row>
    <row r="115" spans="1:9" ht="18.75" x14ac:dyDescent="0.3">
      <c r="A115" s="151"/>
      <c r="B115" s="98" t="s">
        <v>110</v>
      </c>
      <c r="C115" s="347" t="s">
        <v>121</v>
      </c>
      <c r="D115" s="509" t="s">
        <v>150</v>
      </c>
      <c r="E115" s="509" t="s">
        <v>90</v>
      </c>
      <c r="F115" s="510" t="s">
        <v>101</v>
      </c>
      <c r="G115" s="100" t="s">
        <v>111</v>
      </c>
      <c r="H115" s="206">
        <f>'прил13(ведом 20-21)'!M295</f>
        <v>0.3</v>
      </c>
      <c r="I115" s="206">
        <f>'прил13(ведом 20-21)'!N295</f>
        <v>0</v>
      </c>
    </row>
    <row r="116" spans="1:9" s="54" customFormat="1" ht="18.75" x14ac:dyDescent="0.3">
      <c r="A116" s="151"/>
      <c r="B116" s="243"/>
      <c r="C116" s="140"/>
      <c r="D116" s="140"/>
      <c r="E116" s="143"/>
      <c r="F116" s="147"/>
      <c r="G116" s="142"/>
      <c r="H116" s="206"/>
      <c r="I116" s="206"/>
    </row>
    <row r="117" spans="1:9" s="52" customFormat="1" ht="56.25" x14ac:dyDescent="0.3">
      <c r="A117" s="149">
        <v>5</v>
      </c>
      <c r="B117" s="244" t="s">
        <v>140</v>
      </c>
      <c r="C117" s="136" t="s">
        <v>141</v>
      </c>
      <c r="D117" s="136" t="s">
        <v>95</v>
      </c>
      <c r="E117" s="136" t="s">
        <v>96</v>
      </c>
      <c r="F117" s="150" t="s">
        <v>97</v>
      </c>
      <c r="G117" s="146"/>
      <c r="H117" s="205">
        <f>H126+H118+H122</f>
        <v>9040.2000000000007</v>
      </c>
      <c r="I117" s="205">
        <f>I126+I118+I122</f>
        <v>9006.7000000000007</v>
      </c>
    </row>
    <row r="118" spans="1:9" ht="56.25" x14ac:dyDescent="0.3">
      <c r="A118" s="151"/>
      <c r="B118" s="103" t="s">
        <v>142</v>
      </c>
      <c r="C118" s="578" t="s">
        <v>141</v>
      </c>
      <c r="D118" s="579" t="s">
        <v>98</v>
      </c>
      <c r="E118" s="579" t="s">
        <v>96</v>
      </c>
      <c r="F118" s="580" t="s">
        <v>97</v>
      </c>
      <c r="G118" s="142"/>
      <c r="H118" s="206">
        <f t="shared" ref="H118:I120" si="1">H119</f>
        <v>2643.1</v>
      </c>
      <c r="I118" s="206">
        <f t="shared" si="1"/>
        <v>2643.1</v>
      </c>
    </row>
    <row r="119" spans="1:9" ht="75" x14ac:dyDescent="0.3">
      <c r="A119" s="151"/>
      <c r="B119" s="98" t="s">
        <v>143</v>
      </c>
      <c r="C119" s="578" t="s">
        <v>141</v>
      </c>
      <c r="D119" s="579" t="s">
        <v>98</v>
      </c>
      <c r="E119" s="579" t="s">
        <v>90</v>
      </c>
      <c r="F119" s="580" t="s">
        <v>97</v>
      </c>
      <c r="G119" s="100"/>
      <c r="H119" s="206">
        <f t="shared" si="1"/>
        <v>2643.1</v>
      </c>
      <c r="I119" s="206">
        <f t="shared" si="1"/>
        <v>2643.1</v>
      </c>
    </row>
    <row r="120" spans="1:9" ht="93.75" x14ac:dyDescent="0.3">
      <c r="A120" s="151"/>
      <c r="B120" s="98" t="s">
        <v>492</v>
      </c>
      <c r="C120" s="578" t="s">
        <v>141</v>
      </c>
      <c r="D120" s="579" t="s">
        <v>98</v>
      </c>
      <c r="E120" s="579" t="s">
        <v>90</v>
      </c>
      <c r="F120" s="580" t="s">
        <v>471</v>
      </c>
      <c r="G120" s="100"/>
      <c r="H120" s="206">
        <f t="shared" si="1"/>
        <v>2643.1</v>
      </c>
      <c r="I120" s="206">
        <f t="shared" si="1"/>
        <v>2643.1</v>
      </c>
    </row>
    <row r="121" spans="1:9" ht="18.75" x14ac:dyDescent="0.3">
      <c r="A121" s="151"/>
      <c r="B121" s="98" t="s">
        <v>186</v>
      </c>
      <c r="C121" s="578" t="s">
        <v>141</v>
      </c>
      <c r="D121" s="579" t="s">
        <v>98</v>
      </c>
      <c r="E121" s="579" t="s">
        <v>90</v>
      </c>
      <c r="F121" s="580" t="s">
        <v>471</v>
      </c>
      <c r="G121" s="100" t="s">
        <v>187</v>
      </c>
      <c r="H121" s="206">
        <f>'прил13(ведом 20-21)'!M60</f>
        <v>2643.1</v>
      </c>
      <c r="I121" s="206">
        <f>'прил13(ведом 20-21)'!N60</f>
        <v>2643.1</v>
      </c>
    </row>
    <row r="122" spans="1:9" ht="37.5" x14ac:dyDescent="0.3">
      <c r="A122" s="151"/>
      <c r="B122" s="104" t="s">
        <v>188</v>
      </c>
      <c r="C122" s="578" t="s">
        <v>141</v>
      </c>
      <c r="D122" s="579" t="s">
        <v>150</v>
      </c>
      <c r="E122" s="579" t="s">
        <v>96</v>
      </c>
      <c r="F122" s="580" t="s">
        <v>97</v>
      </c>
      <c r="G122" s="142"/>
      <c r="H122" s="206">
        <f t="shared" ref="H122:I124" si="2">H123</f>
        <v>247</v>
      </c>
      <c r="I122" s="206">
        <f t="shared" si="2"/>
        <v>247</v>
      </c>
    </row>
    <row r="123" spans="1:9" ht="56.25" x14ac:dyDescent="0.3">
      <c r="A123" s="151"/>
      <c r="B123" s="101" t="s">
        <v>189</v>
      </c>
      <c r="C123" s="578" t="s">
        <v>141</v>
      </c>
      <c r="D123" s="579" t="s">
        <v>150</v>
      </c>
      <c r="E123" s="579" t="s">
        <v>92</v>
      </c>
      <c r="F123" s="580" t="s">
        <v>97</v>
      </c>
      <c r="G123" s="100"/>
      <c r="H123" s="206">
        <f t="shared" si="2"/>
        <v>247</v>
      </c>
      <c r="I123" s="206">
        <f t="shared" si="2"/>
        <v>247</v>
      </c>
    </row>
    <row r="124" spans="1:9" ht="37.5" x14ac:dyDescent="0.3">
      <c r="A124" s="151"/>
      <c r="B124" s="101" t="s">
        <v>190</v>
      </c>
      <c r="C124" s="578" t="s">
        <v>141</v>
      </c>
      <c r="D124" s="579" t="s">
        <v>150</v>
      </c>
      <c r="E124" s="579" t="s">
        <v>92</v>
      </c>
      <c r="F124" s="580" t="s">
        <v>152</v>
      </c>
      <c r="G124" s="100"/>
      <c r="H124" s="206">
        <f t="shared" si="2"/>
        <v>247</v>
      </c>
      <c r="I124" s="206">
        <f t="shared" si="2"/>
        <v>247</v>
      </c>
    </row>
    <row r="125" spans="1:9" ht="37.5" x14ac:dyDescent="0.3">
      <c r="A125" s="151"/>
      <c r="B125" s="98" t="s">
        <v>108</v>
      </c>
      <c r="C125" s="578" t="s">
        <v>141</v>
      </c>
      <c r="D125" s="579" t="s">
        <v>150</v>
      </c>
      <c r="E125" s="579" t="s">
        <v>92</v>
      </c>
      <c r="F125" s="580" t="s">
        <v>152</v>
      </c>
      <c r="G125" s="100" t="s">
        <v>109</v>
      </c>
      <c r="H125" s="206">
        <f>'прил13(ведом 20-21)'!M66</f>
        <v>247</v>
      </c>
      <c r="I125" s="206">
        <f>'прил13(ведом 20-21)'!N66</f>
        <v>247</v>
      </c>
    </row>
    <row r="126" spans="1:9" ht="56.25" x14ac:dyDescent="0.3">
      <c r="A126" s="151"/>
      <c r="B126" s="235" t="s">
        <v>563</v>
      </c>
      <c r="C126" s="347" t="s">
        <v>141</v>
      </c>
      <c r="D126" s="509" t="s">
        <v>83</v>
      </c>
      <c r="E126" s="509" t="s">
        <v>96</v>
      </c>
      <c r="F126" s="510" t="s">
        <v>97</v>
      </c>
      <c r="G126" s="100"/>
      <c r="H126" s="206">
        <f>H127</f>
        <v>6150.1</v>
      </c>
      <c r="I126" s="206">
        <f>I127</f>
        <v>6116.6</v>
      </c>
    </row>
    <row r="127" spans="1:9" ht="75" x14ac:dyDescent="0.3">
      <c r="A127" s="151"/>
      <c r="B127" s="101" t="s">
        <v>464</v>
      </c>
      <c r="C127" s="347" t="s">
        <v>141</v>
      </c>
      <c r="D127" s="509" t="s">
        <v>83</v>
      </c>
      <c r="E127" s="509" t="s">
        <v>90</v>
      </c>
      <c r="F127" s="510" t="s">
        <v>97</v>
      </c>
      <c r="G127" s="100"/>
      <c r="H127" s="206">
        <f>H128</f>
        <v>6150.1</v>
      </c>
      <c r="I127" s="206">
        <f>I128</f>
        <v>6116.6</v>
      </c>
    </row>
    <row r="128" spans="1:9" ht="75" x14ac:dyDescent="0.3">
      <c r="A128" s="151"/>
      <c r="B128" s="101" t="s">
        <v>151</v>
      </c>
      <c r="C128" s="347" t="s">
        <v>141</v>
      </c>
      <c r="D128" s="509" t="s">
        <v>83</v>
      </c>
      <c r="E128" s="509" t="s">
        <v>90</v>
      </c>
      <c r="F128" s="510" t="s">
        <v>153</v>
      </c>
      <c r="G128" s="100"/>
      <c r="H128" s="206">
        <f>SUM(H129:H130)</f>
        <v>6150.1</v>
      </c>
      <c r="I128" s="206">
        <f>SUM(I129:I130)</f>
        <v>6116.6</v>
      </c>
    </row>
    <row r="129" spans="1:9" s="53" customFormat="1" ht="93.75" x14ac:dyDescent="0.3">
      <c r="A129" s="151"/>
      <c r="B129" s="98" t="s">
        <v>102</v>
      </c>
      <c r="C129" s="347" t="s">
        <v>141</v>
      </c>
      <c r="D129" s="509" t="s">
        <v>83</v>
      </c>
      <c r="E129" s="509" t="s">
        <v>90</v>
      </c>
      <c r="F129" s="510" t="s">
        <v>153</v>
      </c>
      <c r="G129" s="100" t="s">
        <v>103</v>
      </c>
      <c r="H129" s="206">
        <f>'прил13(ведом 20-21)'!M70</f>
        <v>6116.6</v>
      </c>
      <c r="I129" s="206">
        <f>'прил13(ведом 20-21)'!N70</f>
        <v>6116.6</v>
      </c>
    </row>
    <row r="130" spans="1:9" ht="37.5" x14ac:dyDescent="0.3">
      <c r="A130" s="151"/>
      <c r="B130" s="98" t="s">
        <v>108</v>
      </c>
      <c r="C130" s="347" t="s">
        <v>141</v>
      </c>
      <c r="D130" s="509" t="s">
        <v>83</v>
      </c>
      <c r="E130" s="509" t="s">
        <v>90</v>
      </c>
      <c r="F130" s="510" t="s">
        <v>153</v>
      </c>
      <c r="G130" s="100" t="s">
        <v>109</v>
      </c>
      <c r="H130" s="206">
        <f>'прил13(ведом 20-21)'!M71</f>
        <v>33.5</v>
      </c>
      <c r="I130" s="206">
        <f>'прил13(ведом 20-21)'!N71</f>
        <v>0</v>
      </c>
    </row>
    <row r="131" spans="1:9" s="54" customFormat="1" ht="18.75" x14ac:dyDescent="0.3">
      <c r="A131" s="138"/>
      <c r="B131" s="102"/>
      <c r="C131" s="139"/>
      <c r="D131" s="140"/>
      <c r="E131" s="140"/>
      <c r="F131" s="141"/>
      <c r="G131" s="142"/>
      <c r="H131" s="206"/>
      <c r="I131" s="206"/>
    </row>
    <row r="132" spans="1:9" s="52" customFormat="1" ht="56.25" x14ac:dyDescent="0.3">
      <c r="A132" s="149">
        <v>6</v>
      </c>
      <c r="B132" s="242" t="s">
        <v>303</v>
      </c>
      <c r="C132" s="144" t="s">
        <v>304</v>
      </c>
      <c r="D132" s="144" t="s">
        <v>95</v>
      </c>
      <c r="E132" s="144" t="s">
        <v>96</v>
      </c>
      <c r="F132" s="145" t="s">
        <v>97</v>
      </c>
      <c r="G132" s="146"/>
      <c r="H132" s="205">
        <f>H133</f>
        <v>26657.800000000003</v>
      </c>
      <c r="I132" s="205">
        <f>I133</f>
        <v>26655.9</v>
      </c>
    </row>
    <row r="133" spans="1:9" s="54" customFormat="1" ht="37.5" x14ac:dyDescent="0.3">
      <c r="A133" s="151"/>
      <c r="B133" s="98" t="s">
        <v>491</v>
      </c>
      <c r="C133" s="105" t="s">
        <v>304</v>
      </c>
      <c r="D133" s="106" t="s">
        <v>98</v>
      </c>
      <c r="E133" s="509" t="s">
        <v>96</v>
      </c>
      <c r="F133" s="510" t="s">
        <v>97</v>
      </c>
      <c r="G133" s="100"/>
      <c r="H133" s="206">
        <f>H134+H138</f>
        <v>26657.800000000003</v>
      </c>
      <c r="I133" s="206">
        <f>I134+I138</f>
        <v>26655.9</v>
      </c>
    </row>
    <row r="134" spans="1:9" s="54" customFormat="1" ht="56.25" x14ac:dyDescent="0.3">
      <c r="A134" s="151"/>
      <c r="B134" s="98" t="s">
        <v>426</v>
      </c>
      <c r="C134" s="105" t="s">
        <v>304</v>
      </c>
      <c r="D134" s="106" t="s">
        <v>98</v>
      </c>
      <c r="E134" s="509" t="s">
        <v>90</v>
      </c>
      <c r="F134" s="510" t="s">
        <v>97</v>
      </c>
      <c r="G134" s="100"/>
      <c r="H134" s="206">
        <f>H135</f>
        <v>21657.800000000003</v>
      </c>
      <c r="I134" s="206">
        <f>I135</f>
        <v>21655.9</v>
      </c>
    </row>
    <row r="135" spans="1:9" s="54" customFormat="1" ht="37.5" x14ac:dyDescent="0.3">
      <c r="A135" s="151"/>
      <c r="B135" s="98" t="s">
        <v>100</v>
      </c>
      <c r="C135" s="105" t="s">
        <v>304</v>
      </c>
      <c r="D135" s="106" t="s">
        <v>98</v>
      </c>
      <c r="E135" s="509" t="s">
        <v>90</v>
      </c>
      <c r="F135" s="510" t="s">
        <v>101</v>
      </c>
      <c r="G135" s="100"/>
      <c r="H135" s="206">
        <f>SUM(H136:H137)</f>
        <v>21657.800000000003</v>
      </c>
      <c r="I135" s="206">
        <f>SUM(I136:I137)</f>
        <v>21655.9</v>
      </c>
    </row>
    <row r="136" spans="1:9" s="54" customFormat="1" ht="93.75" x14ac:dyDescent="0.3">
      <c r="A136" s="151"/>
      <c r="B136" s="98" t="s">
        <v>102</v>
      </c>
      <c r="C136" s="105" t="s">
        <v>304</v>
      </c>
      <c r="D136" s="106" t="s">
        <v>98</v>
      </c>
      <c r="E136" s="509" t="s">
        <v>90</v>
      </c>
      <c r="F136" s="510" t="s">
        <v>101</v>
      </c>
      <c r="G136" s="100" t="s">
        <v>103</v>
      </c>
      <c r="H136" s="206">
        <f>'прил13(ведом 20-21)'!M102</f>
        <v>21655.9</v>
      </c>
      <c r="I136" s="206">
        <f>'прил13(ведом 20-21)'!N102</f>
        <v>21655.9</v>
      </c>
    </row>
    <row r="137" spans="1:9" s="54" customFormat="1" ht="18.75" x14ac:dyDescent="0.3">
      <c r="A137" s="151"/>
      <c r="B137" s="373" t="s">
        <v>110</v>
      </c>
      <c r="C137" s="387" t="s">
        <v>304</v>
      </c>
      <c r="D137" s="388" t="s">
        <v>98</v>
      </c>
      <c r="E137" s="582" t="s">
        <v>90</v>
      </c>
      <c r="F137" s="583" t="s">
        <v>101</v>
      </c>
      <c r="G137" s="357" t="s">
        <v>111</v>
      </c>
      <c r="H137" s="206">
        <f>'прил13(ведом 20-21)'!M103</f>
        <v>1.9</v>
      </c>
      <c r="I137" s="206">
        <f>'прил13(ведом 20-21)'!N103</f>
        <v>0</v>
      </c>
    </row>
    <row r="138" spans="1:9" s="54" customFormat="1" ht="37.5" x14ac:dyDescent="0.3">
      <c r="A138" s="151"/>
      <c r="B138" s="98" t="s">
        <v>427</v>
      </c>
      <c r="C138" s="105" t="s">
        <v>304</v>
      </c>
      <c r="D138" s="106" t="s">
        <v>98</v>
      </c>
      <c r="E138" s="509" t="s">
        <v>92</v>
      </c>
      <c r="F138" s="510" t="s">
        <v>97</v>
      </c>
      <c r="G138" s="100"/>
      <c r="H138" s="206">
        <f>H139</f>
        <v>5000</v>
      </c>
      <c r="I138" s="206">
        <f>I139</f>
        <v>5000</v>
      </c>
    </row>
    <row r="139" spans="1:9" s="54" customFormat="1" ht="37.5" x14ac:dyDescent="0.3">
      <c r="A139" s="151"/>
      <c r="B139" s="373" t="s">
        <v>363</v>
      </c>
      <c r="C139" s="387" t="s">
        <v>304</v>
      </c>
      <c r="D139" s="388" t="s">
        <v>98</v>
      </c>
      <c r="E139" s="582" t="s">
        <v>92</v>
      </c>
      <c r="F139" s="583" t="s">
        <v>810</v>
      </c>
      <c r="G139" s="357"/>
      <c r="H139" s="206">
        <f>H140</f>
        <v>5000</v>
      </c>
      <c r="I139" s="206">
        <f>I140</f>
        <v>5000</v>
      </c>
    </row>
    <row r="140" spans="1:9" s="54" customFormat="1" ht="18.75" x14ac:dyDescent="0.3">
      <c r="A140" s="151"/>
      <c r="B140" s="373" t="s">
        <v>186</v>
      </c>
      <c r="C140" s="387" t="s">
        <v>304</v>
      </c>
      <c r="D140" s="388" t="s">
        <v>98</v>
      </c>
      <c r="E140" s="582" t="s">
        <v>92</v>
      </c>
      <c r="F140" s="583" t="s">
        <v>810</v>
      </c>
      <c r="G140" s="357" t="s">
        <v>187</v>
      </c>
      <c r="H140" s="206">
        <f>'прил13(ведом 20-21)'!M110</f>
        <v>5000</v>
      </c>
      <c r="I140" s="206">
        <f>'прил13(ведом 20-21)'!N110</f>
        <v>5000</v>
      </c>
    </row>
    <row r="141" spans="1:9" s="54" customFormat="1" ht="18.75" x14ac:dyDescent="0.3">
      <c r="A141" s="151"/>
      <c r="B141" s="98"/>
      <c r="C141" s="240"/>
      <c r="D141" s="240"/>
      <c r="E141" s="240"/>
      <c r="F141" s="241"/>
      <c r="G141" s="85"/>
      <c r="H141" s="206"/>
      <c r="I141" s="206"/>
    </row>
    <row r="142" spans="1:9" s="52" customFormat="1" ht="56.25" x14ac:dyDescent="0.3">
      <c r="A142" s="135">
        <v>7</v>
      </c>
      <c r="B142" s="245" t="s">
        <v>305</v>
      </c>
      <c r="C142" s="154" t="s">
        <v>306</v>
      </c>
      <c r="D142" s="136" t="s">
        <v>95</v>
      </c>
      <c r="E142" s="136" t="s">
        <v>96</v>
      </c>
      <c r="F142" s="150" t="s">
        <v>97</v>
      </c>
      <c r="G142" s="137"/>
      <c r="H142" s="205">
        <f>H143</f>
        <v>15869.7</v>
      </c>
      <c r="I142" s="205">
        <f>I143</f>
        <v>15772.8</v>
      </c>
    </row>
    <row r="143" spans="1:9" ht="37.5" x14ac:dyDescent="0.3">
      <c r="A143" s="138"/>
      <c r="B143" s="112" t="s">
        <v>309</v>
      </c>
      <c r="C143" s="122" t="s">
        <v>306</v>
      </c>
      <c r="D143" s="116" t="s">
        <v>150</v>
      </c>
      <c r="E143" s="116" t="s">
        <v>96</v>
      </c>
      <c r="F143" s="117" t="s">
        <v>97</v>
      </c>
      <c r="G143" s="115"/>
      <c r="H143" s="206">
        <f>H144</f>
        <v>15869.7</v>
      </c>
      <c r="I143" s="206">
        <f>I144</f>
        <v>15772.8</v>
      </c>
    </row>
    <row r="144" spans="1:9" ht="75" x14ac:dyDescent="0.3">
      <c r="A144" s="138"/>
      <c r="B144" s="112" t="s">
        <v>424</v>
      </c>
      <c r="C144" s="122" t="s">
        <v>306</v>
      </c>
      <c r="D144" s="116" t="s">
        <v>150</v>
      </c>
      <c r="E144" s="116" t="s">
        <v>90</v>
      </c>
      <c r="F144" s="117" t="s">
        <v>97</v>
      </c>
      <c r="G144" s="115"/>
      <c r="H144" s="206">
        <f>H145+H147</f>
        <v>15869.7</v>
      </c>
      <c r="I144" s="206">
        <f>I145+I147</f>
        <v>15772.8</v>
      </c>
    </row>
    <row r="145" spans="1:9" ht="37.5" x14ac:dyDescent="0.3">
      <c r="A145" s="138"/>
      <c r="B145" s="112" t="s">
        <v>100</v>
      </c>
      <c r="C145" s="118" t="s">
        <v>306</v>
      </c>
      <c r="D145" s="119" t="s">
        <v>150</v>
      </c>
      <c r="E145" s="119" t="s">
        <v>90</v>
      </c>
      <c r="F145" s="120" t="s">
        <v>101</v>
      </c>
      <c r="G145" s="115"/>
      <c r="H145" s="206">
        <f>SUM(H146:H146)</f>
        <v>11788.5</v>
      </c>
      <c r="I145" s="206">
        <f>SUM(I146:I146)</f>
        <v>11788.5</v>
      </c>
    </row>
    <row r="146" spans="1:9" ht="93.75" x14ac:dyDescent="0.3">
      <c r="A146" s="138"/>
      <c r="B146" s="112" t="s">
        <v>102</v>
      </c>
      <c r="C146" s="122" t="s">
        <v>306</v>
      </c>
      <c r="D146" s="116" t="s">
        <v>150</v>
      </c>
      <c r="E146" s="116" t="s">
        <v>90</v>
      </c>
      <c r="F146" s="117" t="s">
        <v>101</v>
      </c>
      <c r="G146" s="115" t="s">
        <v>103</v>
      </c>
      <c r="H146" s="206">
        <f>'прил13(ведом 20-21)'!M131</f>
        <v>11788.5</v>
      </c>
      <c r="I146" s="206">
        <f>'прил13(ведом 20-21)'!N131</f>
        <v>11788.5</v>
      </c>
    </row>
    <row r="147" spans="1:9" ht="75" x14ac:dyDescent="0.3">
      <c r="A147" s="138"/>
      <c r="B147" s="112" t="s">
        <v>151</v>
      </c>
      <c r="C147" s="122" t="s">
        <v>306</v>
      </c>
      <c r="D147" s="116" t="s">
        <v>150</v>
      </c>
      <c r="E147" s="116" t="s">
        <v>90</v>
      </c>
      <c r="F147" s="117" t="s">
        <v>153</v>
      </c>
      <c r="G147" s="115"/>
      <c r="H147" s="206">
        <f>SUM(H148:H150)</f>
        <v>4081.2000000000003</v>
      </c>
      <c r="I147" s="206">
        <f>SUM(I148:I150)</f>
        <v>3984.3</v>
      </c>
    </row>
    <row r="148" spans="1:9" ht="93.75" x14ac:dyDescent="0.3">
      <c r="A148" s="138"/>
      <c r="B148" s="112" t="s">
        <v>102</v>
      </c>
      <c r="C148" s="122" t="s">
        <v>306</v>
      </c>
      <c r="D148" s="116" t="s">
        <v>150</v>
      </c>
      <c r="E148" s="116" t="s">
        <v>90</v>
      </c>
      <c r="F148" s="117" t="s">
        <v>153</v>
      </c>
      <c r="G148" s="115" t="s">
        <v>103</v>
      </c>
      <c r="H148" s="206">
        <f>'прил13(ведом 20-21)'!M133</f>
        <v>3984.3</v>
      </c>
      <c r="I148" s="206">
        <f>'прил13(ведом 20-21)'!N133</f>
        <v>3984.3</v>
      </c>
    </row>
    <row r="149" spans="1:9" ht="37.5" x14ac:dyDescent="0.3">
      <c r="A149" s="138"/>
      <c r="B149" s="373" t="s">
        <v>108</v>
      </c>
      <c r="C149" s="403" t="s">
        <v>306</v>
      </c>
      <c r="D149" s="404" t="s">
        <v>150</v>
      </c>
      <c r="E149" s="404" t="s">
        <v>90</v>
      </c>
      <c r="F149" s="405" t="s">
        <v>153</v>
      </c>
      <c r="G149" s="397" t="s">
        <v>109</v>
      </c>
      <c r="H149" s="206">
        <f>'прил13(ведом 20-21)'!M134</f>
        <v>69.5</v>
      </c>
      <c r="I149" s="206">
        <f>'прил13(ведом 20-21)'!N134</f>
        <v>0</v>
      </c>
    </row>
    <row r="150" spans="1:9" ht="18.75" x14ac:dyDescent="0.3">
      <c r="A150" s="138"/>
      <c r="B150" s="386" t="s">
        <v>110</v>
      </c>
      <c r="C150" s="412" t="s">
        <v>306</v>
      </c>
      <c r="D150" s="399" t="s">
        <v>150</v>
      </c>
      <c r="E150" s="399" t="s">
        <v>90</v>
      </c>
      <c r="F150" s="400" t="s">
        <v>153</v>
      </c>
      <c r="G150" s="397" t="s">
        <v>111</v>
      </c>
      <c r="H150" s="206">
        <f>'прил13(ведом 20-21)'!M135</f>
        <v>27.4</v>
      </c>
      <c r="I150" s="206">
        <f>'прил13(ведом 20-21)'!N135</f>
        <v>0</v>
      </c>
    </row>
    <row r="151" spans="1:9" s="54" customFormat="1" ht="18.75" x14ac:dyDescent="0.3">
      <c r="A151" s="138"/>
      <c r="B151" s="243"/>
      <c r="C151" s="139"/>
      <c r="D151" s="140"/>
      <c r="E151" s="140"/>
      <c r="F151" s="141"/>
      <c r="G151" s="142"/>
      <c r="H151" s="206"/>
      <c r="I151" s="206"/>
    </row>
    <row r="152" spans="1:9" s="52" customFormat="1" ht="56.25" x14ac:dyDescent="0.3">
      <c r="A152" s="149">
        <v>8</v>
      </c>
      <c r="B152" s="245" t="s">
        <v>407</v>
      </c>
      <c r="C152" s="136" t="s">
        <v>139</v>
      </c>
      <c r="D152" s="136" t="s">
        <v>95</v>
      </c>
      <c r="E152" s="136" t="s">
        <v>96</v>
      </c>
      <c r="F152" s="150" t="s">
        <v>97</v>
      </c>
      <c r="G152" s="146"/>
      <c r="H152" s="205">
        <f>H153</f>
        <v>100108</v>
      </c>
      <c r="I152" s="205">
        <f>I153</f>
        <v>103902.40000000001</v>
      </c>
    </row>
    <row r="153" spans="1:9" ht="37.5" x14ac:dyDescent="0.3">
      <c r="A153" s="151"/>
      <c r="B153" s="98" t="s">
        <v>491</v>
      </c>
      <c r="C153" s="121" t="s">
        <v>139</v>
      </c>
      <c r="D153" s="116" t="s">
        <v>98</v>
      </c>
      <c r="E153" s="116" t="s">
        <v>96</v>
      </c>
      <c r="F153" s="123" t="s">
        <v>97</v>
      </c>
      <c r="G153" s="142"/>
      <c r="H153" s="206">
        <f>H154+H169+H180</f>
        <v>100108</v>
      </c>
      <c r="I153" s="206">
        <f>I154+I169+I180</f>
        <v>103902.40000000001</v>
      </c>
    </row>
    <row r="154" spans="1:9" ht="37.5" x14ac:dyDescent="0.3">
      <c r="A154" s="151"/>
      <c r="B154" s="98" t="s">
        <v>392</v>
      </c>
      <c r="C154" s="347" t="s">
        <v>139</v>
      </c>
      <c r="D154" s="509" t="s">
        <v>98</v>
      </c>
      <c r="E154" s="509" t="s">
        <v>90</v>
      </c>
      <c r="F154" s="510" t="s">
        <v>97</v>
      </c>
      <c r="G154" s="142"/>
      <c r="H154" s="206">
        <f>H155+H158+H161+H164+H167</f>
        <v>62556.800000000003</v>
      </c>
      <c r="I154" s="206">
        <f>I155+I158+I161+I164+I167</f>
        <v>65056.799999999996</v>
      </c>
    </row>
    <row r="155" spans="1:9" ht="124.9" customHeight="1" x14ac:dyDescent="0.3">
      <c r="A155" s="151"/>
      <c r="B155" s="213" t="s">
        <v>535</v>
      </c>
      <c r="C155" s="347" t="s">
        <v>139</v>
      </c>
      <c r="D155" s="509" t="s">
        <v>98</v>
      </c>
      <c r="E155" s="509" t="s">
        <v>90</v>
      </c>
      <c r="F155" s="510" t="s">
        <v>409</v>
      </c>
      <c r="G155" s="100"/>
      <c r="H155" s="206">
        <f>SUM(H156:H157)</f>
        <v>34336.800000000003</v>
      </c>
      <c r="I155" s="206">
        <f>SUM(I156:I157)</f>
        <v>35709.599999999999</v>
      </c>
    </row>
    <row r="156" spans="1:9" ht="37.5" x14ac:dyDescent="0.3">
      <c r="A156" s="151"/>
      <c r="B156" s="211" t="s">
        <v>108</v>
      </c>
      <c r="C156" s="347" t="s">
        <v>139</v>
      </c>
      <c r="D156" s="509" t="s">
        <v>98</v>
      </c>
      <c r="E156" s="509" t="s">
        <v>90</v>
      </c>
      <c r="F156" s="510" t="s">
        <v>409</v>
      </c>
      <c r="G156" s="100" t="s">
        <v>109</v>
      </c>
      <c r="H156" s="206">
        <f>'прил13(ведом 20-21)'!M311</f>
        <v>170.8</v>
      </c>
      <c r="I156" s="206">
        <f>'прил13(ведом 20-21)'!N311</f>
        <v>177.6</v>
      </c>
    </row>
    <row r="157" spans="1:9" ht="37.5" x14ac:dyDescent="0.3">
      <c r="A157" s="151"/>
      <c r="B157" s="98" t="s">
        <v>183</v>
      </c>
      <c r="C157" s="347" t="s">
        <v>139</v>
      </c>
      <c r="D157" s="509" t="s">
        <v>98</v>
      </c>
      <c r="E157" s="509" t="s">
        <v>90</v>
      </c>
      <c r="F157" s="510" t="s">
        <v>409</v>
      </c>
      <c r="G157" s="100" t="s">
        <v>184</v>
      </c>
      <c r="H157" s="206">
        <f>'прил13(ведом 20-21)'!M312</f>
        <v>34166</v>
      </c>
      <c r="I157" s="206">
        <f>'прил13(ведом 20-21)'!N312</f>
        <v>35532</v>
      </c>
    </row>
    <row r="158" spans="1:9" ht="75" customHeight="1" x14ac:dyDescent="0.3">
      <c r="A158" s="151"/>
      <c r="B158" s="98" t="s">
        <v>536</v>
      </c>
      <c r="C158" s="347" t="s">
        <v>139</v>
      </c>
      <c r="D158" s="509" t="s">
        <v>98</v>
      </c>
      <c r="E158" s="509" t="s">
        <v>90</v>
      </c>
      <c r="F158" s="510" t="s">
        <v>410</v>
      </c>
      <c r="G158" s="100"/>
      <c r="H158" s="206">
        <f>SUM(H159:H160)</f>
        <v>27224.300000000003</v>
      </c>
      <c r="I158" s="206">
        <f>SUM(I159:I160)</f>
        <v>28312.300000000003</v>
      </c>
    </row>
    <row r="159" spans="1:9" ht="37.5" x14ac:dyDescent="0.3">
      <c r="A159" s="151"/>
      <c r="B159" s="211" t="s">
        <v>108</v>
      </c>
      <c r="C159" s="347" t="s">
        <v>139</v>
      </c>
      <c r="D159" s="509" t="s">
        <v>98</v>
      </c>
      <c r="E159" s="509" t="s">
        <v>90</v>
      </c>
      <c r="F159" s="510" t="s">
        <v>410</v>
      </c>
      <c r="G159" s="100" t="s">
        <v>109</v>
      </c>
      <c r="H159" s="206">
        <f>'прил13(ведом 20-21)'!M314</f>
        <v>135.4</v>
      </c>
      <c r="I159" s="206">
        <f>'прил13(ведом 20-21)'!N314</f>
        <v>140.9</v>
      </c>
    </row>
    <row r="160" spans="1:9" ht="37.5" x14ac:dyDescent="0.3">
      <c r="A160" s="151"/>
      <c r="B160" s="98" t="s">
        <v>183</v>
      </c>
      <c r="C160" s="347" t="s">
        <v>139</v>
      </c>
      <c r="D160" s="509" t="s">
        <v>98</v>
      </c>
      <c r="E160" s="509" t="s">
        <v>90</v>
      </c>
      <c r="F160" s="510" t="s">
        <v>410</v>
      </c>
      <c r="G160" s="100" t="s">
        <v>184</v>
      </c>
      <c r="H160" s="206">
        <f>'прил13(ведом 20-21)'!M315</f>
        <v>27088.9</v>
      </c>
      <c r="I160" s="206">
        <f>'прил13(ведом 20-21)'!N315</f>
        <v>28171.4</v>
      </c>
    </row>
    <row r="161" spans="1:9" ht="93.75" x14ac:dyDescent="0.3">
      <c r="A161" s="151"/>
      <c r="B161" s="98" t="s">
        <v>537</v>
      </c>
      <c r="C161" s="347" t="s">
        <v>139</v>
      </c>
      <c r="D161" s="509" t="s">
        <v>98</v>
      </c>
      <c r="E161" s="509" t="s">
        <v>90</v>
      </c>
      <c r="F161" s="510" t="s">
        <v>411</v>
      </c>
      <c r="G161" s="100"/>
      <c r="H161" s="206">
        <f>SUM(H162:H163)</f>
        <v>467.40000000000003</v>
      </c>
      <c r="I161" s="206">
        <f>SUM(I162:I163)</f>
        <v>486.09999999999997</v>
      </c>
    </row>
    <row r="162" spans="1:9" ht="37.5" x14ac:dyDescent="0.3">
      <c r="A162" s="151"/>
      <c r="B162" s="98" t="s">
        <v>108</v>
      </c>
      <c r="C162" s="347" t="s">
        <v>139</v>
      </c>
      <c r="D162" s="509" t="s">
        <v>98</v>
      </c>
      <c r="E162" s="509" t="s">
        <v>90</v>
      </c>
      <c r="F162" s="510" t="s">
        <v>411</v>
      </c>
      <c r="G162" s="100" t="s">
        <v>109</v>
      </c>
      <c r="H162" s="206">
        <f>'прил13(ведом 20-21)'!M317</f>
        <v>2.2999999999999998</v>
      </c>
      <c r="I162" s="206">
        <f>'прил13(ведом 20-21)'!N317</f>
        <v>2.4</v>
      </c>
    </row>
    <row r="163" spans="1:9" ht="37.5" x14ac:dyDescent="0.3">
      <c r="A163" s="151"/>
      <c r="B163" s="98" t="s">
        <v>183</v>
      </c>
      <c r="C163" s="347" t="s">
        <v>139</v>
      </c>
      <c r="D163" s="509" t="s">
        <v>98</v>
      </c>
      <c r="E163" s="509" t="s">
        <v>90</v>
      </c>
      <c r="F163" s="510" t="s">
        <v>411</v>
      </c>
      <c r="G163" s="100" t="s">
        <v>184</v>
      </c>
      <c r="H163" s="206">
        <f>'прил13(ведом 20-21)'!M318</f>
        <v>465.1</v>
      </c>
      <c r="I163" s="206">
        <f>'прил13(ведом 20-21)'!N318</f>
        <v>483.7</v>
      </c>
    </row>
    <row r="164" spans="1:9" ht="94.9" customHeight="1" x14ac:dyDescent="0.3">
      <c r="A164" s="151"/>
      <c r="B164" s="98" t="s">
        <v>555</v>
      </c>
      <c r="C164" s="347" t="s">
        <v>139</v>
      </c>
      <c r="D164" s="509" t="s">
        <v>98</v>
      </c>
      <c r="E164" s="509" t="s">
        <v>90</v>
      </c>
      <c r="F164" s="510" t="s">
        <v>412</v>
      </c>
      <c r="G164" s="100"/>
      <c r="H164" s="206">
        <f>SUM(H165:H166)</f>
        <v>512.70000000000005</v>
      </c>
      <c r="I164" s="206">
        <f>SUM(I165:I166)</f>
        <v>533.20000000000005</v>
      </c>
    </row>
    <row r="165" spans="1:9" ht="37.5" x14ac:dyDescent="0.3">
      <c r="A165" s="151"/>
      <c r="B165" s="98" t="s">
        <v>108</v>
      </c>
      <c r="C165" s="347" t="s">
        <v>139</v>
      </c>
      <c r="D165" s="509" t="s">
        <v>98</v>
      </c>
      <c r="E165" s="509" t="s">
        <v>90</v>
      </c>
      <c r="F165" s="510" t="s">
        <v>412</v>
      </c>
      <c r="G165" s="100" t="s">
        <v>109</v>
      </c>
      <c r="H165" s="206">
        <f>'прил13(ведом 20-21)'!M320</f>
        <v>2.6</v>
      </c>
      <c r="I165" s="206">
        <f>'прил13(ведом 20-21)'!N320</f>
        <v>2.7</v>
      </c>
    </row>
    <row r="166" spans="1:9" ht="37.5" x14ac:dyDescent="0.3">
      <c r="A166" s="151"/>
      <c r="B166" s="98" t="s">
        <v>183</v>
      </c>
      <c r="C166" s="347" t="s">
        <v>139</v>
      </c>
      <c r="D166" s="509" t="s">
        <v>98</v>
      </c>
      <c r="E166" s="509" t="s">
        <v>90</v>
      </c>
      <c r="F166" s="510" t="s">
        <v>412</v>
      </c>
      <c r="G166" s="100" t="s">
        <v>184</v>
      </c>
      <c r="H166" s="206">
        <f>'прил13(ведом 20-21)'!M321</f>
        <v>510.1</v>
      </c>
      <c r="I166" s="206">
        <f>'прил13(ведом 20-21)'!N321</f>
        <v>530.5</v>
      </c>
    </row>
    <row r="167" spans="1:9" ht="150" x14ac:dyDescent="0.3">
      <c r="A167" s="151"/>
      <c r="B167" s="246" t="s">
        <v>534</v>
      </c>
      <c r="C167" s="347" t="s">
        <v>139</v>
      </c>
      <c r="D167" s="509" t="s">
        <v>98</v>
      </c>
      <c r="E167" s="509" t="s">
        <v>90</v>
      </c>
      <c r="F167" s="510" t="s">
        <v>408</v>
      </c>
      <c r="G167" s="100"/>
      <c r="H167" s="206">
        <f>H168</f>
        <v>15.6</v>
      </c>
      <c r="I167" s="206">
        <f>I168</f>
        <v>15.6</v>
      </c>
    </row>
    <row r="168" spans="1:9" ht="18.600000000000001" customHeight="1" x14ac:dyDescent="0.3">
      <c r="A168" s="151"/>
      <c r="B168" s="98" t="s">
        <v>183</v>
      </c>
      <c r="C168" s="347" t="s">
        <v>139</v>
      </c>
      <c r="D168" s="509" t="s">
        <v>98</v>
      </c>
      <c r="E168" s="509" t="s">
        <v>90</v>
      </c>
      <c r="F168" s="510" t="s">
        <v>408</v>
      </c>
      <c r="G168" s="100" t="s">
        <v>184</v>
      </c>
      <c r="H168" s="206">
        <f>'прил13(ведом 20-21)'!M304</f>
        <v>15.6</v>
      </c>
      <c r="I168" s="206">
        <f>'прил13(ведом 20-21)'!N304</f>
        <v>15.6</v>
      </c>
    </row>
    <row r="169" spans="1:9" ht="75" x14ac:dyDescent="0.3">
      <c r="A169" s="151"/>
      <c r="B169" s="112" t="s">
        <v>421</v>
      </c>
      <c r="C169" s="121" t="s">
        <v>139</v>
      </c>
      <c r="D169" s="116" t="s">
        <v>98</v>
      </c>
      <c r="E169" s="116" t="s">
        <v>92</v>
      </c>
      <c r="F169" s="123" t="s">
        <v>97</v>
      </c>
      <c r="G169" s="115"/>
      <c r="H169" s="206">
        <f>H170+H172+H174+H176+H178</f>
        <v>31302.399999999998</v>
      </c>
      <c r="I169" s="206">
        <f>I170+I172+I174+I176+I178</f>
        <v>32596.800000000003</v>
      </c>
    </row>
    <row r="170" spans="1:9" ht="187.5" x14ac:dyDescent="0.3">
      <c r="A170" s="151"/>
      <c r="B170" s="213" t="s">
        <v>543</v>
      </c>
      <c r="C170" s="347" t="s">
        <v>139</v>
      </c>
      <c r="D170" s="509" t="s">
        <v>98</v>
      </c>
      <c r="E170" s="509" t="s">
        <v>92</v>
      </c>
      <c r="F170" s="510" t="s">
        <v>544</v>
      </c>
      <c r="G170" s="100"/>
      <c r="H170" s="206">
        <f>H171</f>
        <v>5.2</v>
      </c>
      <c r="I170" s="206">
        <f>I171</f>
        <v>5.2</v>
      </c>
    </row>
    <row r="171" spans="1:9" ht="37.5" x14ac:dyDescent="0.3">
      <c r="A171" s="151"/>
      <c r="B171" s="98" t="s">
        <v>183</v>
      </c>
      <c r="C171" s="347" t="s">
        <v>139</v>
      </c>
      <c r="D171" s="509" t="s">
        <v>98</v>
      </c>
      <c r="E171" s="509" t="s">
        <v>92</v>
      </c>
      <c r="F171" s="510" t="s">
        <v>544</v>
      </c>
      <c r="G171" s="100" t="s">
        <v>184</v>
      </c>
      <c r="H171" s="206">
        <f>'прил13(ведом 20-21)'!M324</f>
        <v>5.2</v>
      </c>
      <c r="I171" s="206">
        <f>'прил13(ведом 20-21)'!N324</f>
        <v>5.2</v>
      </c>
    </row>
    <row r="172" spans="1:9" ht="281.25" x14ac:dyDescent="0.3">
      <c r="A172" s="151"/>
      <c r="B172" s="213" t="s">
        <v>554</v>
      </c>
      <c r="C172" s="347" t="s">
        <v>139</v>
      </c>
      <c r="D172" s="509" t="s">
        <v>98</v>
      </c>
      <c r="E172" s="509" t="s">
        <v>92</v>
      </c>
      <c r="F172" s="510" t="s">
        <v>545</v>
      </c>
      <c r="G172" s="100"/>
      <c r="H172" s="206">
        <f>H173</f>
        <v>231</v>
      </c>
      <c r="I172" s="206">
        <f>I173</f>
        <v>231</v>
      </c>
    </row>
    <row r="173" spans="1:9" ht="37.5" x14ac:dyDescent="0.3">
      <c r="A173" s="151"/>
      <c r="B173" s="98" t="s">
        <v>183</v>
      </c>
      <c r="C173" s="347" t="s">
        <v>139</v>
      </c>
      <c r="D173" s="509" t="s">
        <v>98</v>
      </c>
      <c r="E173" s="509" t="s">
        <v>92</v>
      </c>
      <c r="F173" s="510" t="s">
        <v>545</v>
      </c>
      <c r="G173" s="100" t="s">
        <v>184</v>
      </c>
      <c r="H173" s="206">
        <f>'прил13(ведом 20-21)'!M326</f>
        <v>231</v>
      </c>
      <c r="I173" s="206">
        <f>'прил13(ведом 20-21)'!N326</f>
        <v>231</v>
      </c>
    </row>
    <row r="174" spans="1:9" ht="187.5" x14ac:dyDescent="0.3">
      <c r="A174" s="151"/>
      <c r="B174" s="236" t="s">
        <v>638</v>
      </c>
      <c r="C174" s="121" t="s">
        <v>139</v>
      </c>
      <c r="D174" s="116" t="s">
        <v>98</v>
      </c>
      <c r="E174" s="116" t="s">
        <v>92</v>
      </c>
      <c r="F174" s="123" t="s">
        <v>637</v>
      </c>
      <c r="G174" s="115"/>
      <c r="H174" s="206">
        <f>H175</f>
        <v>0</v>
      </c>
      <c r="I174" s="206">
        <f>I175</f>
        <v>0</v>
      </c>
    </row>
    <row r="175" spans="1:9" ht="37.5" x14ac:dyDescent="0.3">
      <c r="A175" s="151"/>
      <c r="B175" s="236" t="s">
        <v>282</v>
      </c>
      <c r="C175" s="121" t="s">
        <v>139</v>
      </c>
      <c r="D175" s="116" t="s">
        <v>98</v>
      </c>
      <c r="E175" s="116" t="s">
        <v>92</v>
      </c>
      <c r="F175" s="123" t="s">
        <v>637</v>
      </c>
      <c r="G175" s="115" t="s">
        <v>283</v>
      </c>
      <c r="H175" s="206">
        <f>'прил13(ведом 20-21)'!M148</f>
        <v>0</v>
      </c>
      <c r="I175" s="206">
        <f>'прил13(ведом 20-21)'!N148</f>
        <v>0</v>
      </c>
    </row>
    <row r="176" spans="1:9" ht="112.5" x14ac:dyDescent="0.3">
      <c r="A176" s="151"/>
      <c r="B176" s="386" t="s">
        <v>422</v>
      </c>
      <c r="C176" s="121" t="s">
        <v>139</v>
      </c>
      <c r="D176" s="116" t="s">
        <v>98</v>
      </c>
      <c r="E176" s="116" t="s">
        <v>92</v>
      </c>
      <c r="F176" s="444" t="s">
        <v>423</v>
      </c>
      <c r="G176" s="115"/>
      <c r="H176" s="206">
        <f>H177</f>
        <v>7759.1</v>
      </c>
      <c r="I176" s="206">
        <f>I177</f>
        <v>9052.2000000000007</v>
      </c>
    </row>
    <row r="177" spans="1:9" ht="37.5" x14ac:dyDescent="0.3">
      <c r="A177" s="151"/>
      <c r="B177" s="236" t="s">
        <v>282</v>
      </c>
      <c r="C177" s="121" t="s">
        <v>139</v>
      </c>
      <c r="D177" s="116" t="s">
        <v>98</v>
      </c>
      <c r="E177" s="116" t="s">
        <v>92</v>
      </c>
      <c r="F177" s="444" t="s">
        <v>423</v>
      </c>
      <c r="G177" s="115" t="s">
        <v>283</v>
      </c>
      <c r="H177" s="206">
        <f>'прил13(ведом 20-21)'!M150</f>
        <v>7759.1</v>
      </c>
      <c r="I177" s="206">
        <f>'прил13(ведом 20-21)'!N150</f>
        <v>9052.2000000000007</v>
      </c>
    </row>
    <row r="178" spans="1:9" ht="112.5" x14ac:dyDescent="0.3">
      <c r="A178" s="151"/>
      <c r="B178" s="236" t="s">
        <v>422</v>
      </c>
      <c r="C178" s="121" t="s">
        <v>139</v>
      </c>
      <c r="D178" s="116" t="s">
        <v>98</v>
      </c>
      <c r="E178" s="116" t="s">
        <v>92</v>
      </c>
      <c r="F178" s="444" t="s">
        <v>824</v>
      </c>
      <c r="G178" s="115"/>
      <c r="H178" s="206">
        <f>H179</f>
        <v>23307.1</v>
      </c>
      <c r="I178" s="206">
        <f>I179</f>
        <v>23308.400000000001</v>
      </c>
    </row>
    <row r="179" spans="1:9" ht="37.5" x14ac:dyDescent="0.3">
      <c r="A179" s="151"/>
      <c r="B179" s="236" t="s">
        <v>282</v>
      </c>
      <c r="C179" s="121" t="s">
        <v>139</v>
      </c>
      <c r="D179" s="116" t="s">
        <v>98</v>
      </c>
      <c r="E179" s="116" t="s">
        <v>92</v>
      </c>
      <c r="F179" s="444" t="s">
        <v>824</v>
      </c>
      <c r="G179" s="115" t="s">
        <v>283</v>
      </c>
      <c r="H179" s="206">
        <f>'прил13(ведом 20-21)'!M151</f>
        <v>23307.1</v>
      </c>
      <c r="I179" s="206">
        <f>'прил13(ведом 20-21)'!N151</f>
        <v>23308.400000000001</v>
      </c>
    </row>
    <row r="180" spans="1:9" ht="37.5" x14ac:dyDescent="0.3">
      <c r="A180" s="151"/>
      <c r="B180" s="98" t="s">
        <v>309</v>
      </c>
      <c r="C180" s="347" t="s">
        <v>139</v>
      </c>
      <c r="D180" s="509" t="s">
        <v>98</v>
      </c>
      <c r="E180" s="509" t="s">
        <v>119</v>
      </c>
      <c r="F180" s="510" t="s">
        <v>97</v>
      </c>
      <c r="G180" s="100"/>
      <c r="H180" s="206">
        <f>H181+H184+H187</f>
        <v>6248.8</v>
      </c>
      <c r="I180" s="206">
        <f>I181+I184+I187</f>
        <v>6248.8</v>
      </c>
    </row>
    <row r="181" spans="1:9" ht="72.599999999999994" customHeight="1" x14ac:dyDescent="0.3">
      <c r="A181" s="151"/>
      <c r="B181" s="98" t="s">
        <v>311</v>
      </c>
      <c r="C181" s="347" t="s">
        <v>139</v>
      </c>
      <c r="D181" s="509" t="s">
        <v>98</v>
      </c>
      <c r="E181" s="509" t="s">
        <v>119</v>
      </c>
      <c r="F181" s="510" t="s">
        <v>414</v>
      </c>
      <c r="G181" s="100"/>
      <c r="H181" s="206">
        <f>SUM(H182:H183)</f>
        <v>4784.5</v>
      </c>
      <c r="I181" s="206">
        <f>SUM(I182:I183)</f>
        <v>4784.5</v>
      </c>
    </row>
    <row r="182" spans="1:9" ht="93.75" x14ac:dyDescent="0.3">
      <c r="A182" s="151"/>
      <c r="B182" s="98" t="s">
        <v>102</v>
      </c>
      <c r="C182" s="347" t="s">
        <v>139</v>
      </c>
      <c r="D182" s="509" t="s">
        <v>98</v>
      </c>
      <c r="E182" s="509" t="s">
        <v>119</v>
      </c>
      <c r="F182" s="510" t="s">
        <v>414</v>
      </c>
      <c r="G182" s="100" t="s">
        <v>103</v>
      </c>
      <c r="H182" s="206">
        <f>'прил13(ведом 20-21)'!M332</f>
        <v>4434.5</v>
      </c>
      <c r="I182" s="206">
        <f>'прил13(ведом 20-21)'!N332</f>
        <v>4434.5</v>
      </c>
    </row>
    <row r="183" spans="1:9" ht="37.5" x14ac:dyDescent="0.3">
      <c r="A183" s="151"/>
      <c r="B183" s="98" t="s">
        <v>108</v>
      </c>
      <c r="C183" s="132" t="s">
        <v>139</v>
      </c>
      <c r="D183" s="133" t="s">
        <v>98</v>
      </c>
      <c r="E183" s="133" t="s">
        <v>119</v>
      </c>
      <c r="F183" s="134" t="s">
        <v>414</v>
      </c>
      <c r="G183" s="100" t="s">
        <v>109</v>
      </c>
      <c r="H183" s="206">
        <f>'прил13(ведом 20-21)'!M333</f>
        <v>350</v>
      </c>
      <c r="I183" s="206">
        <f>'прил13(ведом 20-21)'!N333</f>
        <v>350</v>
      </c>
    </row>
    <row r="184" spans="1:9" ht="56.25" x14ac:dyDescent="0.3">
      <c r="A184" s="151"/>
      <c r="B184" s="232" t="s">
        <v>601</v>
      </c>
      <c r="C184" s="347" t="s">
        <v>139</v>
      </c>
      <c r="D184" s="509" t="s">
        <v>98</v>
      </c>
      <c r="E184" s="509" t="s">
        <v>119</v>
      </c>
      <c r="F184" s="510" t="s">
        <v>415</v>
      </c>
      <c r="G184" s="100"/>
      <c r="H184" s="206">
        <f>SUM(H185:H186)</f>
        <v>617.29999999999995</v>
      </c>
      <c r="I184" s="206">
        <f>SUM(I185:I186)</f>
        <v>617.29999999999995</v>
      </c>
    </row>
    <row r="185" spans="1:9" ht="93.75" x14ac:dyDescent="0.3">
      <c r="A185" s="151"/>
      <c r="B185" s="98" t="s">
        <v>102</v>
      </c>
      <c r="C185" s="347" t="s">
        <v>139</v>
      </c>
      <c r="D185" s="509" t="s">
        <v>98</v>
      </c>
      <c r="E185" s="509" t="s">
        <v>119</v>
      </c>
      <c r="F185" s="510" t="s">
        <v>415</v>
      </c>
      <c r="G185" s="100" t="s">
        <v>103</v>
      </c>
      <c r="H185" s="206">
        <f>'прил13(ведом 20-21)'!M335</f>
        <v>567.29999999999995</v>
      </c>
      <c r="I185" s="206">
        <f>'прил13(ведом 20-21)'!N335</f>
        <v>567.29999999999995</v>
      </c>
    </row>
    <row r="186" spans="1:9" ht="37.5" x14ac:dyDescent="0.3">
      <c r="A186" s="151"/>
      <c r="B186" s="98" t="s">
        <v>108</v>
      </c>
      <c r="C186" s="347" t="s">
        <v>139</v>
      </c>
      <c r="D186" s="509" t="s">
        <v>98</v>
      </c>
      <c r="E186" s="509" t="s">
        <v>119</v>
      </c>
      <c r="F186" s="510" t="s">
        <v>415</v>
      </c>
      <c r="G186" s="100" t="s">
        <v>109</v>
      </c>
      <c r="H186" s="206">
        <f>'прил13(ведом 20-21)'!M336</f>
        <v>50</v>
      </c>
      <c r="I186" s="206">
        <f>'прил13(ведом 20-21)'!N336</f>
        <v>50</v>
      </c>
    </row>
    <row r="187" spans="1:9" ht="217.9" customHeight="1" x14ac:dyDescent="0.3">
      <c r="A187" s="151"/>
      <c r="B187" s="98" t="s">
        <v>312</v>
      </c>
      <c r="C187" s="347" t="s">
        <v>139</v>
      </c>
      <c r="D187" s="509" t="s">
        <v>98</v>
      </c>
      <c r="E187" s="509" t="s">
        <v>119</v>
      </c>
      <c r="F187" s="510" t="s">
        <v>416</v>
      </c>
      <c r="G187" s="100"/>
      <c r="H187" s="206">
        <f>H188+H189</f>
        <v>847</v>
      </c>
      <c r="I187" s="206">
        <f>I188+I189</f>
        <v>847</v>
      </c>
    </row>
    <row r="188" spans="1:9" ht="93.75" x14ac:dyDescent="0.3">
      <c r="A188" s="151"/>
      <c r="B188" s="98" t="s">
        <v>102</v>
      </c>
      <c r="C188" s="347" t="s">
        <v>139</v>
      </c>
      <c r="D188" s="509" t="s">
        <v>98</v>
      </c>
      <c r="E188" s="509" t="s">
        <v>119</v>
      </c>
      <c r="F188" s="510" t="s">
        <v>416</v>
      </c>
      <c r="G188" s="100" t="s">
        <v>103</v>
      </c>
      <c r="H188" s="206">
        <f>'прил13(ведом 20-21)'!M338</f>
        <v>767</v>
      </c>
      <c r="I188" s="206">
        <f>'прил13(ведом 20-21)'!N338</f>
        <v>767</v>
      </c>
    </row>
    <row r="189" spans="1:9" ht="37.5" x14ac:dyDescent="0.3">
      <c r="A189" s="151"/>
      <c r="B189" s="98" t="s">
        <v>108</v>
      </c>
      <c r="C189" s="347" t="s">
        <v>139</v>
      </c>
      <c r="D189" s="509" t="s">
        <v>98</v>
      </c>
      <c r="E189" s="509" t="s">
        <v>119</v>
      </c>
      <c r="F189" s="510" t="s">
        <v>416</v>
      </c>
      <c r="G189" s="100" t="s">
        <v>109</v>
      </c>
      <c r="H189" s="206">
        <f>'прил13(ведом 20-21)'!M339</f>
        <v>80</v>
      </c>
      <c r="I189" s="206">
        <f>'прил13(ведом 20-21)'!N339</f>
        <v>80</v>
      </c>
    </row>
    <row r="190" spans="1:9" s="54" customFormat="1" ht="18.75" x14ac:dyDescent="0.3">
      <c r="A190" s="138"/>
      <c r="B190" s="102"/>
      <c r="C190" s="139"/>
      <c r="D190" s="140"/>
      <c r="E190" s="140"/>
      <c r="F190" s="141"/>
      <c r="G190" s="142"/>
      <c r="H190" s="206"/>
      <c r="I190" s="206"/>
    </row>
    <row r="191" spans="1:9" s="52" customFormat="1" ht="56.25" x14ac:dyDescent="0.3">
      <c r="A191" s="149">
        <v>9</v>
      </c>
      <c r="B191" s="242" t="s">
        <v>156</v>
      </c>
      <c r="C191" s="136" t="s">
        <v>123</v>
      </c>
      <c r="D191" s="136" t="s">
        <v>95</v>
      </c>
      <c r="E191" s="136" t="s">
        <v>96</v>
      </c>
      <c r="F191" s="150" t="s">
        <v>97</v>
      </c>
      <c r="G191" s="155"/>
      <c r="H191" s="205">
        <f>H192</f>
        <v>11958.5</v>
      </c>
      <c r="I191" s="205">
        <f>I192</f>
        <v>11958.5</v>
      </c>
    </row>
    <row r="192" spans="1:9" s="54" customFormat="1" ht="37.5" x14ac:dyDescent="0.3">
      <c r="A192" s="151"/>
      <c r="B192" s="98" t="s">
        <v>491</v>
      </c>
      <c r="C192" s="347" t="s">
        <v>123</v>
      </c>
      <c r="D192" s="509" t="s">
        <v>98</v>
      </c>
      <c r="E192" s="509" t="s">
        <v>96</v>
      </c>
      <c r="F192" s="510" t="s">
        <v>97</v>
      </c>
      <c r="G192" s="152"/>
      <c r="H192" s="206">
        <f>H193+H196</f>
        <v>11958.5</v>
      </c>
      <c r="I192" s="206">
        <f>I193+I196</f>
        <v>11958.5</v>
      </c>
    </row>
    <row r="193" spans="1:9" s="54" customFormat="1" ht="37.5" x14ac:dyDescent="0.3">
      <c r="A193" s="151"/>
      <c r="B193" s="98" t="s">
        <v>157</v>
      </c>
      <c r="C193" s="347" t="s">
        <v>123</v>
      </c>
      <c r="D193" s="509" t="s">
        <v>98</v>
      </c>
      <c r="E193" s="509" t="s">
        <v>90</v>
      </c>
      <c r="F193" s="510" t="s">
        <v>97</v>
      </c>
      <c r="G193" s="152"/>
      <c r="H193" s="206">
        <f>H194</f>
        <v>11860</v>
      </c>
      <c r="I193" s="206">
        <f>I194</f>
        <v>11860</v>
      </c>
    </row>
    <row r="194" spans="1:9" s="54" customFormat="1" ht="159" customHeight="1" x14ac:dyDescent="0.3">
      <c r="A194" s="151"/>
      <c r="B194" s="232" t="s">
        <v>587</v>
      </c>
      <c r="C194" s="347" t="s">
        <v>123</v>
      </c>
      <c r="D194" s="509" t="s">
        <v>98</v>
      </c>
      <c r="E194" s="509" t="s">
        <v>90</v>
      </c>
      <c r="F194" s="510" t="s">
        <v>158</v>
      </c>
      <c r="G194" s="100"/>
      <c r="H194" s="206">
        <f>H195</f>
        <v>11860</v>
      </c>
      <c r="I194" s="206">
        <f>I195</f>
        <v>11860</v>
      </c>
    </row>
    <row r="195" spans="1:9" s="54" customFormat="1" ht="18.75" x14ac:dyDescent="0.3">
      <c r="A195" s="151"/>
      <c r="B195" s="98" t="s">
        <v>110</v>
      </c>
      <c r="C195" s="347" t="s">
        <v>123</v>
      </c>
      <c r="D195" s="509" t="s">
        <v>98</v>
      </c>
      <c r="E195" s="509" t="s">
        <v>90</v>
      </c>
      <c r="F195" s="510" t="s">
        <v>158</v>
      </c>
      <c r="G195" s="100" t="s">
        <v>111</v>
      </c>
      <c r="H195" s="206">
        <f>'прил13(ведом 20-21)'!M78</f>
        <v>11860</v>
      </c>
      <c r="I195" s="206">
        <f>'прил13(ведом 20-21)'!N78</f>
        <v>11860</v>
      </c>
    </row>
    <row r="196" spans="1:9" s="54" customFormat="1" ht="56.25" x14ac:dyDescent="0.3">
      <c r="A196" s="151"/>
      <c r="B196" s="98" t="s">
        <v>159</v>
      </c>
      <c r="C196" s="347" t="s">
        <v>123</v>
      </c>
      <c r="D196" s="509" t="s">
        <v>98</v>
      </c>
      <c r="E196" s="509" t="s">
        <v>92</v>
      </c>
      <c r="F196" s="510" t="s">
        <v>97</v>
      </c>
      <c r="G196" s="100"/>
      <c r="H196" s="206">
        <f>H197</f>
        <v>98.5</v>
      </c>
      <c r="I196" s="206">
        <f>I197</f>
        <v>98.5</v>
      </c>
    </row>
    <row r="197" spans="1:9" s="54" customFormat="1" ht="133.15" customHeight="1" x14ac:dyDescent="0.3">
      <c r="A197" s="151"/>
      <c r="B197" s="232" t="s">
        <v>602</v>
      </c>
      <c r="C197" s="347" t="s">
        <v>123</v>
      </c>
      <c r="D197" s="509" t="s">
        <v>98</v>
      </c>
      <c r="E197" s="509" t="s">
        <v>92</v>
      </c>
      <c r="F197" s="510" t="s">
        <v>160</v>
      </c>
      <c r="G197" s="100"/>
      <c r="H197" s="206">
        <f>H198</f>
        <v>98.5</v>
      </c>
      <c r="I197" s="206">
        <f>I198</f>
        <v>98.5</v>
      </c>
    </row>
    <row r="198" spans="1:9" s="54" customFormat="1" ht="37.5" x14ac:dyDescent="0.3">
      <c r="A198" s="151"/>
      <c r="B198" s="98" t="s">
        <v>108</v>
      </c>
      <c r="C198" s="347" t="s">
        <v>123</v>
      </c>
      <c r="D198" s="509" t="s">
        <v>98</v>
      </c>
      <c r="E198" s="509" t="s">
        <v>92</v>
      </c>
      <c r="F198" s="510" t="s">
        <v>160</v>
      </c>
      <c r="G198" s="100" t="s">
        <v>109</v>
      </c>
      <c r="H198" s="206">
        <f>'прил13(ведом 20-21)'!M81</f>
        <v>98.5</v>
      </c>
      <c r="I198" s="206">
        <f>'прил13(ведом 20-21)'!N81</f>
        <v>98.5</v>
      </c>
    </row>
    <row r="199" spans="1:9" s="54" customFormat="1" ht="18.75" x14ac:dyDescent="0.3">
      <c r="A199" s="151"/>
      <c r="B199" s="243"/>
      <c r="C199" s="140"/>
      <c r="D199" s="140"/>
      <c r="E199" s="140"/>
      <c r="F199" s="141"/>
      <c r="G199" s="142"/>
      <c r="H199" s="206"/>
      <c r="I199" s="206"/>
    </row>
    <row r="200" spans="1:9" s="52" customFormat="1" ht="56.25" x14ac:dyDescent="0.3">
      <c r="A200" s="149">
        <v>10</v>
      </c>
      <c r="B200" s="242" t="s">
        <v>162</v>
      </c>
      <c r="C200" s="136" t="s">
        <v>163</v>
      </c>
      <c r="D200" s="136" t="s">
        <v>95</v>
      </c>
      <c r="E200" s="136" t="s">
        <v>96</v>
      </c>
      <c r="F200" s="150" t="s">
        <v>97</v>
      </c>
      <c r="G200" s="146"/>
      <c r="H200" s="205">
        <f t="shared" ref="H200:I203" si="3">H201</f>
        <v>4174.1000000000004</v>
      </c>
      <c r="I200" s="205">
        <f t="shared" si="3"/>
        <v>4240.8</v>
      </c>
    </row>
    <row r="201" spans="1:9" s="53" customFormat="1" ht="37.5" x14ac:dyDescent="0.3">
      <c r="A201" s="151"/>
      <c r="B201" s="98" t="s">
        <v>491</v>
      </c>
      <c r="C201" s="347" t="s">
        <v>163</v>
      </c>
      <c r="D201" s="509" t="s">
        <v>98</v>
      </c>
      <c r="E201" s="509" t="s">
        <v>96</v>
      </c>
      <c r="F201" s="510" t="s">
        <v>97</v>
      </c>
      <c r="G201" s="100"/>
      <c r="H201" s="206">
        <f t="shared" si="3"/>
        <v>4174.1000000000004</v>
      </c>
      <c r="I201" s="206">
        <f t="shared" si="3"/>
        <v>4240.8</v>
      </c>
    </row>
    <row r="202" spans="1:9" s="53" customFormat="1" ht="75" x14ac:dyDescent="0.3">
      <c r="A202" s="151"/>
      <c r="B202" s="98" t="s">
        <v>164</v>
      </c>
      <c r="C202" s="347" t="s">
        <v>163</v>
      </c>
      <c r="D202" s="509" t="s">
        <v>98</v>
      </c>
      <c r="E202" s="509" t="s">
        <v>90</v>
      </c>
      <c r="F202" s="510" t="s">
        <v>97</v>
      </c>
      <c r="G202" s="100"/>
      <c r="H202" s="206">
        <f t="shared" si="3"/>
        <v>4174.1000000000004</v>
      </c>
      <c r="I202" s="206">
        <f t="shared" si="3"/>
        <v>4240.8</v>
      </c>
    </row>
    <row r="203" spans="1:9" s="53" customFormat="1" ht="75" x14ac:dyDescent="0.3">
      <c r="A203" s="151"/>
      <c r="B203" s="103" t="s">
        <v>165</v>
      </c>
      <c r="C203" s="347" t="s">
        <v>163</v>
      </c>
      <c r="D203" s="509" t="s">
        <v>98</v>
      </c>
      <c r="E203" s="509" t="s">
        <v>90</v>
      </c>
      <c r="F203" s="510" t="s">
        <v>166</v>
      </c>
      <c r="G203" s="100"/>
      <c r="H203" s="206">
        <f t="shared" si="3"/>
        <v>4174.1000000000004</v>
      </c>
      <c r="I203" s="206">
        <f t="shared" si="3"/>
        <v>4240.8</v>
      </c>
    </row>
    <row r="204" spans="1:9" ht="37.5" x14ac:dyDescent="0.3">
      <c r="A204" s="151"/>
      <c r="B204" s="98" t="s">
        <v>108</v>
      </c>
      <c r="C204" s="347" t="s">
        <v>163</v>
      </c>
      <c r="D204" s="509" t="s">
        <v>98</v>
      </c>
      <c r="E204" s="509" t="s">
        <v>90</v>
      </c>
      <c r="F204" s="510" t="s">
        <v>166</v>
      </c>
      <c r="G204" s="100" t="s">
        <v>109</v>
      </c>
      <c r="H204" s="206">
        <f>'прил13(ведом 20-21)'!M87</f>
        <v>4174.1000000000004</v>
      </c>
      <c r="I204" s="206">
        <f>'прил13(ведом 20-21)'!N87</f>
        <v>4240.8</v>
      </c>
    </row>
    <row r="205" spans="1:9" s="54" customFormat="1" ht="18.75" x14ac:dyDescent="0.3">
      <c r="A205" s="151"/>
      <c r="B205" s="243"/>
      <c r="C205" s="140"/>
      <c r="D205" s="140"/>
      <c r="E205" s="140"/>
      <c r="F205" s="141"/>
      <c r="G205" s="142"/>
      <c r="H205" s="206"/>
      <c r="I205" s="206"/>
    </row>
    <row r="206" spans="1:9" s="52" customFormat="1" ht="56.25" x14ac:dyDescent="0.3">
      <c r="A206" s="149">
        <v>11</v>
      </c>
      <c r="B206" s="242" t="s">
        <v>93</v>
      </c>
      <c r="C206" s="136" t="s">
        <v>94</v>
      </c>
      <c r="D206" s="136" t="s">
        <v>95</v>
      </c>
      <c r="E206" s="136" t="s">
        <v>96</v>
      </c>
      <c r="F206" s="150" t="s">
        <v>97</v>
      </c>
      <c r="G206" s="146"/>
      <c r="H206" s="205">
        <f>H207</f>
        <v>72496.400000000009</v>
      </c>
      <c r="I206" s="205">
        <f>I207</f>
        <v>70538.099999999991</v>
      </c>
    </row>
    <row r="207" spans="1:9" s="53" customFormat="1" ht="37.5" x14ac:dyDescent="0.3">
      <c r="A207" s="151"/>
      <c r="B207" s="98" t="s">
        <v>491</v>
      </c>
      <c r="C207" s="347" t="s">
        <v>94</v>
      </c>
      <c r="D207" s="509" t="s">
        <v>98</v>
      </c>
      <c r="E207" s="509" t="s">
        <v>96</v>
      </c>
      <c r="F207" s="510" t="s">
        <v>97</v>
      </c>
      <c r="G207" s="100"/>
      <c r="H207" s="206">
        <f>H208+H211+H228+H232</f>
        <v>72496.400000000009</v>
      </c>
      <c r="I207" s="206">
        <f>I208+I211+I228+I232</f>
        <v>70538.099999999991</v>
      </c>
    </row>
    <row r="208" spans="1:9" s="53" customFormat="1" ht="37.5" x14ac:dyDescent="0.3">
      <c r="A208" s="151"/>
      <c r="B208" s="98" t="s">
        <v>99</v>
      </c>
      <c r="C208" s="347" t="s">
        <v>94</v>
      </c>
      <c r="D208" s="509" t="s">
        <v>98</v>
      </c>
      <c r="E208" s="509" t="s">
        <v>90</v>
      </c>
      <c r="F208" s="510" t="s">
        <v>97</v>
      </c>
      <c r="G208" s="100"/>
      <c r="H208" s="206">
        <f>H209</f>
        <v>1971.5</v>
      </c>
      <c r="I208" s="206">
        <f>I209</f>
        <v>1971.5</v>
      </c>
    </row>
    <row r="209" spans="1:9" s="53" customFormat="1" ht="37.5" x14ac:dyDescent="0.3">
      <c r="A209" s="151"/>
      <c r="B209" s="98" t="s">
        <v>100</v>
      </c>
      <c r="C209" s="347" t="s">
        <v>94</v>
      </c>
      <c r="D209" s="509" t="s">
        <v>98</v>
      </c>
      <c r="E209" s="509" t="s">
        <v>90</v>
      </c>
      <c r="F209" s="510" t="s">
        <v>101</v>
      </c>
      <c r="G209" s="100"/>
      <c r="H209" s="206">
        <f>H210</f>
        <v>1971.5</v>
      </c>
      <c r="I209" s="206">
        <f>I210</f>
        <v>1971.5</v>
      </c>
    </row>
    <row r="210" spans="1:9" s="53" customFormat="1" ht="93.75" x14ac:dyDescent="0.3">
      <c r="A210" s="151"/>
      <c r="B210" s="98" t="s">
        <v>102</v>
      </c>
      <c r="C210" s="347" t="s">
        <v>94</v>
      </c>
      <c r="D210" s="509" t="s">
        <v>98</v>
      </c>
      <c r="E210" s="509" t="s">
        <v>90</v>
      </c>
      <c r="F210" s="510" t="s">
        <v>101</v>
      </c>
      <c r="G210" s="100" t="s">
        <v>103</v>
      </c>
      <c r="H210" s="206">
        <f>'прил13(ведом 20-21)'!M23</f>
        <v>1971.5</v>
      </c>
      <c r="I210" s="206">
        <f>'прил13(ведом 20-21)'!N23</f>
        <v>1971.5</v>
      </c>
    </row>
    <row r="211" spans="1:9" s="53" customFormat="1" ht="37.5" x14ac:dyDescent="0.3">
      <c r="A211" s="151"/>
      <c r="B211" s="98" t="s">
        <v>107</v>
      </c>
      <c r="C211" s="347" t="s">
        <v>94</v>
      </c>
      <c r="D211" s="509" t="s">
        <v>98</v>
      </c>
      <c r="E211" s="509" t="s">
        <v>92</v>
      </c>
      <c r="F211" s="510" t="s">
        <v>97</v>
      </c>
      <c r="G211" s="100"/>
      <c r="H211" s="206">
        <f>H212+H217+H219+H221+H224+H226+H215</f>
        <v>61207.700000000004</v>
      </c>
      <c r="I211" s="206">
        <f>I212+I217+I219+I221+I224+I226+I215</f>
        <v>59369.2</v>
      </c>
    </row>
    <row r="212" spans="1:9" s="53" customFormat="1" ht="37.5" x14ac:dyDescent="0.3">
      <c r="A212" s="151"/>
      <c r="B212" s="98" t="s">
        <v>100</v>
      </c>
      <c r="C212" s="347" t="s">
        <v>94</v>
      </c>
      <c r="D212" s="509" t="s">
        <v>98</v>
      </c>
      <c r="E212" s="509" t="s">
        <v>92</v>
      </c>
      <c r="F212" s="510" t="s">
        <v>101</v>
      </c>
      <c r="G212" s="100"/>
      <c r="H212" s="206">
        <f>SUM(H213:H214)</f>
        <v>57331.8</v>
      </c>
      <c r="I212" s="206">
        <f>SUM(I213:I214)</f>
        <v>55499.4</v>
      </c>
    </row>
    <row r="213" spans="1:9" s="53" customFormat="1" ht="93.75" x14ac:dyDescent="0.3">
      <c r="A213" s="151"/>
      <c r="B213" s="98" t="s">
        <v>102</v>
      </c>
      <c r="C213" s="347" t="s">
        <v>94</v>
      </c>
      <c r="D213" s="509" t="s">
        <v>98</v>
      </c>
      <c r="E213" s="509" t="s">
        <v>92</v>
      </c>
      <c r="F213" s="510" t="s">
        <v>101</v>
      </c>
      <c r="G213" s="100" t="s">
        <v>103</v>
      </c>
      <c r="H213" s="206">
        <f>'прил13(ведом 20-21)'!M29</f>
        <v>55499.4</v>
      </c>
      <c r="I213" s="206">
        <f>'прил13(ведом 20-21)'!N29</f>
        <v>55499.4</v>
      </c>
    </row>
    <row r="214" spans="1:9" ht="37.5" x14ac:dyDescent="0.3">
      <c r="A214" s="151"/>
      <c r="B214" s="98" t="s">
        <v>108</v>
      </c>
      <c r="C214" s="347" t="s">
        <v>94</v>
      </c>
      <c r="D214" s="509" t="s">
        <v>98</v>
      </c>
      <c r="E214" s="509" t="s">
        <v>92</v>
      </c>
      <c r="F214" s="510" t="s">
        <v>101</v>
      </c>
      <c r="G214" s="100" t="s">
        <v>109</v>
      </c>
      <c r="H214" s="206">
        <f>'прил13(ведом 20-21)'!M30</f>
        <v>1832.4</v>
      </c>
      <c r="I214" s="206">
        <f>'прил13(ведом 20-21)'!N30</f>
        <v>0</v>
      </c>
    </row>
    <row r="215" spans="1:9" s="53" customFormat="1" ht="75" x14ac:dyDescent="0.3">
      <c r="A215" s="151"/>
      <c r="B215" s="232" t="s">
        <v>636</v>
      </c>
      <c r="C215" s="347" t="s">
        <v>94</v>
      </c>
      <c r="D215" s="509" t="s">
        <v>98</v>
      </c>
      <c r="E215" s="509" t="s">
        <v>92</v>
      </c>
      <c r="F215" s="510" t="s">
        <v>635</v>
      </c>
      <c r="G215" s="100"/>
      <c r="H215" s="206">
        <f>H216</f>
        <v>10.8</v>
      </c>
      <c r="I215" s="206">
        <f>I216</f>
        <v>4.7</v>
      </c>
    </row>
    <row r="216" spans="1:9" s="53" customFormat="1" ht="37.5" x14ac:dyDescent="0.3">
      <c r="A216" s="151"/>
      <c r="B216" s="232" t="s">
        <v>108</v>
      </c>
      <c r="C216" s="347" t="s">
        <v>94</v>
      </c>
      <c r="D216" s="509" t="s">
        <v>98</v>
      </c>
      <c r="E216" s="509" t="s">
        <v>92</v>
      </c>
      <c r="F216" s="510" t="s">
        <v>635</v>
      </c>
      <c r="G216" s="100" t="s">
        <v>109</v>
      </c>
      <c r="H216" s="206">
        <f>'прил13(ведом 20-21)'!M47</f>
        <v>10.8</v>
      </c>
      <c r="I216" s="206">
        <f>'прил13(ведом 20-21)'!N47</f>
        <v>4.7</v>
      </c>
    </row>
    <row r="217" spans="1:9" ht="93.75" x14ac:dyDescent="0.3">
      <c r="A217" s="151"/>
      <c r="B217" s="98" t="s">
        <v>117</v>
      </c>
      <c r="C217" s="347" t="s">
        <v>94</v>
      </c>
      <c r="D217" s="509" t="s">
        <v>98</v>
      </c>
      <c r="E217" s="509" t="s">
        <v>92</v>
      </c>
      <c r="F217" s="510" t="s">
        <v>370</v>
      </c>
      <c r="G217" s="100"/>
      <c r="H217" s="206">
        <f>H218</f>
        <v>66</v>
      </c>
      <c r="I217" s="206">
        <f>I218</f>
        <v>66</v>
      </c>
    </row>
    <row r="218" spans="1:9" ht="37.5" x14ac:dyDescent="0.3">
      <c r="A218" s="151"/>
      <c r="B218" s="98" t="s">
        <v>108</v>
      </c>
      <c r="C218" s="347" t="s">
        <v>94</v>
      </c>
      <c r="D218" s="509" t="s">
        <v>98</v>
      </c>
      <c r="E218" s="509" t="s">
        <v>92</v>
      </c>
      <c r="F218" s="510" t="s">
        <v>370</v>
      </c>
      <c r="G218" s="100" t="s">
        <v>109</v>
      </c>
      <c r="H218" s="206">
        <f>'прил13(ведом 20-21)'!M32</f>
        <v>66</v>
      </c>
      <c r="I218" s="206">
        <f>'прил13(ведом 20-21)'!N32</f>
        <v>66</v>
      </c>
    </row>
    <row r="219" spans="1:9" s="54" customFormat="1" ht="187.5" x14ac:dyDescent="0.3">
      <c r="A219" s="151"/>
      <c r="B219" s="576" t="s">
        <v>812</v>
      </c>
      <c r="C219" s="347" t="s">
        <v>94</v>
      </c>
      <c r="D219" s="509" t="s">
        <v>98</v>
      </c>
      <c r="E219" s="509" t="s">
        <v>92</v>
      </c>
      <c r="F219" s="510" t="s">
        <v>112</v>
      </c>
      <c r="G219" s="100"/>
      <c r="H219" s="206">
        <f>H220</f>
        <v>617.1</v>
      </c>
      <c r="I219" s="206">
        <f>I220</f>
        <v>617.1</v>
      </c>
    </row>
    <row r="220" spans="1:9" s="54" customFormat="1" ht="93.75" x14ac:dyDescent="0.3">
      <c r="A220" s="151"/>
      <c r="B220" s="98" t="s">
        <v>102</v>
      </c>
      <c r="C220" s="347" t="s">
        <v>94</v>
      </c>
      <c r="D220" s="509" t="s">
        <v>98</v>
      </c>
      <c r="E220" s="509" t="s">
        <v>92</v>
      </c>
      <c r="F220" s="510" t="s">
        <v>112</v>
      </c>
      <c r="G220" s="100" t="s">
        <v>103</v>
      </c>
      <c r="H220" s="206">
        <f>'прил13(ведом 20-21)'!M34</f>
        <v>617.1</v>
      </c>
      <c r="I220" s="206">
        <f>'прил13(ведом 20-21)'!N34</f>
        <v>617.1</v>
      </c>
    </row>
    <row r="221" spans="1:9" s="54" customFormat="1" ht="75" x14ac:dyDescent="0.3">
      <c r="A221" s="151"/>
      <c r="B221" s="98" t="s">
        <v>113</v>
      </c>
      <c r="C221" s="347" t="s">
        <v>94</v>
      </c>
      <c r="D221" s="509" t="s">
        <v>98</v>
      </c>
      <c r="E221" s="509" t="s">
        <v>92</v>
      </c>
      <c r="F221" s="510" t="s">
        <v>114</v>
      </c>
      <c r="G221" s="100"/>
      <c r="H221" s="206">
        <f>SUM(H222:H223)</f>
        <v>2498.7000000000003</v>
      </c>
      <c r="I221" s="206">
        <f>SUM(I222:I223)</f>
        <v>2498.7000000000003</v>
      </c>
    </row>
    <row r="222" spans="1:9" s="54" customFormat="1" ht="93.75" x14ac:dyDescent="0.3">
      <c r="A222" s="151"/>
      <c r="B222" s="98" t="s">
        <v>102</v>
      </c>
      <c r="C222" s="347" t="s">
        <v>94</v>
      </c>
      <c r="D222" s="509" t="s">
        <v>98</v>
      </c>
      <c r="E222" s="509" t="s">
        <v>92</v>
      </c>
      <c r="F222" s="510" t="s">
        <v>114</v>
      </c>
      <c r="G222" s="100" t="s">
        <v>103</v>
      </c>
      <c r="H222" s="206">
        <f>'прил13(ведом 20-21)'!M36</f>
        <v>2399.8000000000002</v>
      </c>
      <c r="I222" s="206">
        <f>'прил13(ведом 20-21)'!N36</f>
        <v>2399.8000000000002</v>
      </c>
    </row>
    <row r="223" spans="1:9" s="54" customFormat="1" ht="37.5" x14ac:dyDescent="0.3">
      <c r="A223" s="151"/>
      <c r="B223" s="98" t="s">
        <v>108</v>
      </c>
      <c r="C223" s="509" t="s">
        <v>94</v>
      </c>
      <c r="D223" s="509" t="s">
        <v>98</v>
      </c>
      <c r="E223" s="509" t="s">
        <v>92</v>
      </c>
      <c r="F223" s="510" t="s">
        <v>114</v>
      </c>
      <c r="G223" s="100" t="s">
        <v>109</v>
      </c>
      <c r="H223" s="206">
        <f>'прил13(ведом 20-21)'!M37</f>
        <v>98.9</v>
      </c>
      <c r="I223" s="206">
        <f>'прил13(ведом 20-21)'!N37</f>
        <v>98.9</v>
      </c>
    </row>
    <row r="224" spans="1:9" ht="56.25" x14ac:dyDescent="0.3">
      <c r="A224" s="151"/>
      <c r="B224" s="98" t="s">
        <v>115</v>
      </c>
      <c r="C224" s="347" t="s">
        <v>94</v>
      </c>
      <c r="D224" s="509" t="s">
        <v>98</v>
      </c>
      <c r="E224" s="509" t="s">
        <v>92</v>
      </c>
      <c r="F224" s="510" t="s">
        <v>116</v>
      </c>
      <c r="G224" s="100"/>
      <c r="H224" s="206">
        <f>H225</f>
        <v>617.29999999999995</v>
      </c>
      <c r="I224" s="206">
        <f>I225</f>
        <v>617.29999999999995</v>
      </c>
    </row>
    <row r="225" spans="1:9" ht="93.75" x14ac:dyDescent="0.3">
      <c r="A225" s="151"/>
      <c r="B225" s="98" t="s">
        <v>102</v>
      </c>
      <c r="C225" s="347" t="s">
        <v>94</v>
      </c>
      <c r="D225" s="509" t="s">
        <v>98</v>
      </c>
      <c r="E225" s="509" t="s">
        <v>92</v>
      </c>
      <c r="F225" s="510" t="s">
        <v>116</v>
      </c>
      <c r="G225" s="100" t="s">
        <v>103</v>
      </c>
      <c r="H225" s="206">
        <f>'прил13(ведом 20-21)'!M39</f>
        <v>617.29999999999995</v>
      </c>
      <c r="I225" s="206">
        <f>'прил13(ведом 20-21)'!N39</f>
        <v>617.29999999999995</v>
      </c>
    </row>
    <row r="226" spans="1:9" ht="147" customHeight="1" x14ac:dyDescent="0.3">
      <c r="A226" s="151"/>
      <c r="B226" s="232" t="s">
        <v>584</v>
      </c>
      <c r="C226" s="347" t="s">
        <v>94</v>
      </c>
      <c r="D226" s="509" t="s">
        <v>98</v>
      </c>
      <c r="E226" s="509" t="s">
        <v>92</v>
      </c>
      <c r="F226" s="510" t="s">
        <v>583</v>
      </c>
      <c r="G226" s="100"/>
      <c r="H226" s="206">
        <f>H227</f>
        <v>66</v>
      </c>
      <c r="I226" s="206">
        <f>I227</f>
        <v>66</v>
      </c>
    </row>
    <row r="227" spans="1:9" ht="37.5" x14ac:dyDescent="0.3">
      <c r="A227" s="151"/>
      <c r="B227" s="232" t="s">
        <v>108</v>
      </c>
      <c r="C227" s="347" t="s">
        <v>94</v>
      </c>
      <c r="D227" s="509" t="s">
        <v>98</v>
      </c>
      <c r="E227" s="509" t="s">
        <v>92</v>
      </c>
      <c r="F227" s="510" t="s">
        <v>583</v>
      </c>
      <c r="G227" s="100" t="s">
        <v>109</v>
      </c>
      <c r="H227" s="206">
        <f>'прил13(ведом 20-21)'!M41</f>
        <v>66</v>
      </c>
      <c r="I227" s="206">
        <f>'прил13(ведом 20-21)'!N41</f>
        <v>66</v>
      </c>
    </row>
    <row r="228" spans="1:9" ht="51" customHeight="1" x14ac:dyDescent="0.3">
      <c r="A228" s="138"/>
      <c r="B228" s="112" t="s">
        <v>420</v>
      </c>
      <c r="C228" s="122" t="s">
        <v>94</v>
      </c>
      <c r="D228" s="116" t="s">
        <v>98</v>
      </c>
      <c r="E228" s="116" t="s">
        <v>141</v>
      </c>
      <c r="F228" s="117" t="s">
        <v>97</v>
      </c>
      <c r="G228" s="115"/>
      <c r="H228" s="206">
        <f>H229</f>
        <v>5109.8999999999996</v>
      </c>
      <c r="I228" s="206">
        <f>I229</f>
        <v>5038.7</v>
      </c>
    </row>
    <row r="229" spans="1:9" ht="75" x14ac:dyDescent="0.3">
      <c r="A229" s="138"/>
      <c r="B229" s="112" t="s">
        <v>151</v>
      </c>
      <c r="C229" s="122" t="s">
        <v>94</v>
      </c>
      <c r="D229" s="116" t="s">
        <v>98</v>
      </c>
      <c r="E229" s="116" t="s">
        <v>141</v>
      </c>
      <c r="F229" s="117" t="s">
        <v>153</v>
      </c>
      <c r="G229" s="115"/>
      <c r="H229" s="206">
        <f>SUM(H230:H231)</f>
        <v>5109.8999999999996</v>
      </c>
      <c r="I229" s="206">
        <f>SUM(I230:I231)</f>
        <v>5038.7</v>
      </c>
    </row>
    <row r="230" spans="1:9" ht="93.75" x14ac:dyDescent="0.3">
      <c r="A230" s="138"/>
      <c r="B230" s="112" t="s">
        <v>102</v>
      </c>
      <c r="C230" s="122" t="s">
        <v>94</v>
      </c>
      <c r="D230" s="116" t="s">
        <v>98</v>
      </c>
      <c r="E230" s="116" t="s">
        <v>141</v>
      </c>
      <c r="F230" s="117" t="s">
        <v>153</v>
      </c>
      <c r="G230" s="115" t="s">
        <v>103</v>
      </c>
      <c r="H230" s="206">
        <f>'прил13(ведом 20-21)'!M140</f>
        <v>5038.7</v>
      </c>
      <c r="I230" s="206">
        <f>'прил13(ведом 20-21)'!N140</f>
        <v>5038.7</v>
      </c>
    </row>
    <row r="231" spans="1:9" ht="37.5" x14ac:dyDescent="0.3">
      <c r="A231" s="138"/>
      <c r="B231" s="373" t="s">
        <v>108</v>
      </c>
      <c r="C231" s="412" t="s">
        <v>94</v>
      </c>
      <c r="D231" s="399" t="s">
        <v>98</v>
      </c>
      <c r="E231" s="399" t="s">
        <v>141</v>
      </c>
      <c r="F231" s="400" t="s">
        <v>153</v>
      </c>
      <c r="G231" s="397" t="s">
        <v>109</v>
      </c>
      <c r="H231" s="206">
        <f>'прил13(ведом 20-21)'!M141</f>
        <v>71.2</v>
      </c>
      <c r="I231" s="206">
        <f>'прил13(ведом 20-21)'!N141</f>
        <v>0</v>
      </c>
    </row>
    <row r="232" spans="1:9" ht="37.5" x14ac:dyDescent="0.3">
      <c r="A232" s="138"/>
      <c r="B232" s="373" t="s">
        <v>474</v>
      </c>
      <c r="C232" s="581" t="s">
        <v>94</v>
      </c>
      <c r="D232" s="582" t="s">
        <v>98</v>
      </c>
      <c r="E232" s="582" t="s">
        <v>149</v>
      </c>
      <c r="F232" s="583" t="s">
        <v>97</v>
      </c>
      <c r="G232" s="357"/>
      <c r="H232" s="206">
        <f>H233</f>
        <v>4207.3</v>
      </c>
      <c r="I232" s="206">
        <f>I233</f>
        <v>4158.7</v>
      </c>
    </row>
    <row r="233" spans="1:9" ht="75" x14ac:dyDescent="0.3">
      <c r="A233" s="138"/>
      <c r="B233" s="380" t="s">
        <v>151</v>
      </c>
      <c r="C233" s="581" t="s">
        <v>94</v>
      </c>
      <c r="D233" s="582" t="s">
        <v>98</v>
      </c>
      <c r="E233" s="582" t="s">
        <v>149</v>
      </c>
      <c r="F233" s="583" t="s">
        <v>153</v>
      </c>
      <c r="G233" s="357"/>
      <c r="H233" s="206">
        <f>SUM(H234:H235)</f>
        <v>4207.3</v>
      </c>
      <c r="I233" s="206">
        <f>SUM(I234:I235)</f>
        <v>4158.7</v>
      </c>
    </row>
    <row r="234" spans="1:9" ht="93.75" x14ac:dyDescent="0.3">
      <c r="A234" s="138"/>
      <c r="B234" s="373" t="s">
        <v>102</v>
      </c>
      <c r="C234" s="581" t="s">
        <v>94</v>
      </c>
      <c r="D234" s="582" t="s">
        <v>98</v>
      </c>
      <c r="E234" s="582" t="s">
        <v>149</v>
      </c>
      <c r="F234" s="583" t="s">
        <v>153</v>
      </c>
      <c r="G234" s="357" t="s">
        <v>103</v>
      </c>
      <c r="H234" s="206">
        <f>'прил13(ведом 20-21)'!M92</f>
        <v>4158.7</v>
      </c>
      <c r="I234" s="206">
        <f>'прил13(ведом 20-21)'!N92</f>
        <v>4158.7</v>
      </c>
    </row>
    <row r="235" spans="1:9" ht="37.5" x14ac:dyDescent="0.3">
      <c r="A235" s="138"/>
      <c r="B235" s="373" t="s">
        <v>108</v>
      </c>
      <c r="C235" s="581" t="s">
        <v>94</v>
      </c>
      <c r="D235" s="582" t="s">
        <v>98</v>
      </c>
      <c r="E235" s="582" t="s">
        <v>149</v>
      </c>
      <c r="F235" s="583" t="s">
        <v>153</v>
      </c>
      <c r="G235" s="357" t="s">
        <v>109</v>
      </c>
      <c r="H235" s="206">
        <f>'прил13(ведом 20-21)'!M93</f>
        <v>48.6</v>
      </c>
      <c r="I235" s="206">
        <f>'прил13(ведом 20-21)'!N93</f>
        <v>0</v>
      </c>
    </row>
    <row r="236" spans="1:9" ht="18.75" x14ac:dyDescent="0.3">
      <c r="A236" s="138"/>
      <c r="B236" s="112"/>
      <c r="C236" s="130"/>
      <c r="D236" s="116"/>
      <c r="E236" s="116"/>
      <c r="F236" s="117"/>
      <c r="G236" s="115"/>
      <c r="H236" s="206"/>
      <c r="I236" s="206"/>
    </row>
    <row r="237" spans="1:9" ht="37.5" x14ac:dyDescent="0.3">
      <c r="A237" s="149">
        <v>12</v>
      </c>
      <c r="B237" s="247" t="s">
        <v>199</v>
      </c>
      <c r="C237" s="136" t="s">
        <v>200</v>
      </c>
      <c r="D237" s="136" t="s">
        <v>95</v>
      </c>
      <c r="E237" s="136" t="s">
        <v>96</v>
      </c>
      <c r="F237" s="136" t="s">
        <v>97</v>
      </c>
      <c r="G237" s="146"/>
      <c r="H237" s="205">
        <f>H238</f>
        <v>3798.6000000000004</v>
      </c>
      <c r="I237" s="205">
        <f>I238</f>
        <v>3798.6000000000004</v>
      </c>
    </row>
    <row r="238" spans="1:9" ht="56.25" x14ac:dyDescent="0.3">
      <c r="A238" s="151"/>
      <c r="B238" s="101" t="s">
        <v>202</v>
      </c>
      <c r="C238" s="347" t="s">
        <v>200</v>
      </c>
      <c r="D238" s="509" t="s">
        <v>98</v>
      </c>
      <c r="E238" s="509" t="s">
        <v>96</v>
      </c>
      <c r="F238" s="510" t="s">
        <v>97</v>
      </c>
      <c r="G238" s="100"/>
      <c r="H238" s="206">
        <f>H239+H242</f>
        <v>3798.6000000000004</v>
      </c>
      <c r="I238" s="206">
        <f>I239+I242</f>
        <v>3798.6000000000004</v>
      </c>
    </row>
    <row r="239" spans="1:9" ht="37.5" x14ac:dyDescent="0.3">
      <c r="A239" s="151"/>
      <c r="B239" s="98" t="s">
        <v>201</v>
      </c>
      <c r="C239" s="347" t="s">
        <v>200</v>
      </c>
      <c r="D239" s="509" t="s">
        <v>98</v>
      </c>
      <c r="E239" s="509" t="s">
        <v>90</v>
      </c>
      <c r="F239" s="510" t="s">
        <v>97</v>
      </c>
      <c r="G239" s="100"/>
      <c r="H239" s="206">
        <f>H240</f>
        <v>1182.7</v>
      </c>
      <c r="I239" s="206">
        <f>I240</f>
        <v>1182.7</v>
      </c>
    </row>
    <row r="240" spans="1:9" ht="37.5" x14ac:dyDescent="0.3">
      <c r="A240" s="151"/>
      <c r="B240" s="98" t="s">
        <v>100</v>
      </c>
      <c r="C240" s="347" t="s">
        <v>200</v>
      </c>
      <c r="D240" s="509" t="s">
        <v>98</v>
      </c>
      <c r="E240" s="509" t="s">
        <v>90</v>
      </c>
      <c r="F240" s="510" t="s">
        <v>101</v>
      </c>
      <c r="G240" s="100"/>
      <c r="H240" s="206">
        <f>H241</f>
        <v>1182.7</v>
      </c>
      <c r="I240" s="206">
        <f>I241</f>
        <v>1182.7</v>
      </c>
    </row>
    <row r="241" spans="1:9" ht="93.75" x14ac:dyDescent="0.3">
      <c r="A241" s="151"/>
      <c r="B241" s="101" t="s">
        <v>102</v>
      </c>
      <c r="C241" s="347" t="s">
        <v>200</v>
      </c>
      <c r="D241" s="509" t="s">
        <v>98</v>
      </c>
      <c r="E241" s="509" t="s">
        <v>90</v>
      </c>
      <c r="F241" s="510" t="s">
        <v>101</v>
      </c>
      <c r="G241" s="100" t="s">
        <v>103</v>
      </c>
      <c r="H241" s="206">
        <f>'прил13(ведом 20-21)'!M119</f>
        <v>1182.7</v>
      </c>
      <c r="I241" s="206">
        <f>'прил13(ведом 20-21)'!N119</f>
        <v>1182.7</v>
      </c>
    </row>
    <row r="242" spans="1:9" ht="37.5" x14ac:dyDescent="0.3">
      <c r="A242" s="151"/>
      <c r="B242" s="98" t="s">
        <v>203</v>
      </c>
      <c r="C242" s="347" t="s">
        <v>200</v>
      </c>
      <c r="D242" s="509" t="s">
        <v>98</v>
      </c>
      <c r="E242" s="509" t="s">
        <v>92</v>
      </c>
      <c r="F242" s="510" t="s">
        <v>97</v>
      </c>
      <c r="G242" s="100"/>
      <c r="H242" s="206">
        <f>H243</f>
        <v>2615.9</v>
      </c>
      <c r="I242" s="206">
        <f>I243</f>
        <v>2615.9</v>
      </c>
    </row>
    <row r="243" spans="1:9" ht="37.5" x14ac:dyDescent="0.3">
      <c r="A243" s="151"/>
      <c r="B243" s="98" t="s">
        <v>100</v>
      </c>
      <c r="C243" s="347" t="s">
        <v>200</v>
      </c>
      <c r="D243" s="509" t="s">
        <v>98</v>
      </c>
      <c r="E243" s="509" t="s">
        <v>92</v>
      </c>
      <c r="F243" s="510" t="s">
        <v>101</v>
      </c>
      <c r="G243" s="100"/>
      <c r="H243" s="206">
        <f>SUM(H244:H244)</f>
        <v>2615.9</v>
      </c>
      <c r="I243" s="206">
        <f>SUM(I244:I244)</f>
        <v>2615.9</v>
      </c>
    </row>
    <row r="244" spans="1:9" ht="93.75" x14ac:dyDescent="0.3">
      <c r="A244" s="151"/>
      <c r="B244" s="98" t="s">
        <v>102</v>
      </c>
      <c r="C244" s="347" t="s">
        <v>200</v>
      </c>
      <c r="D244" s="509" t="s">
        <v>98</v>
      </c>
      <c r="E244" s="509" t="s">
        <v>92</v>
      </c>
      <c r="F244" s="510" t="s">
        <v>101</v>
      </c>
      <c r="G244" s="100" t="s">
        <v>103</v>
      </c>
      <c r="H244" s="206">
        <f>'прил13(ведом 20-21)'!M122</f>
        <v>2615.9</v>
      </c>
      <c r="I244" s="206">
        <f>'прил13(ведом 20-21)'!N122</f>
        <v>2615.9</v>
      </c>
    </row>
    <row r="245" spans="1:9" s="54" customFormat="1" ht="18.75" x14ac:dyDescent="0.3">
      <c r="A245" s="151"/>
      <c r="B245" s="243"/>
      <c r="C245" s="140"/>
      <c r="D245" s="140"/>
      <c r="E245" s="140"/>
      <c r="F245" s="140"/>
      <c r="G245" s="142"/>
      <c r="H245" s="206"/>
      <c r="I245" s="206"/>
    </row>
    <row r="246" spans="1:9" s="52" customFormat="1" ht="37.5" x14ac:dyDescent="0.3">
      <c r="A246" s="149">
        <v>13</v>
      </c>
      <c r="B246" s="247" t="s">
        <v>124</v>
      </c>
      <c r="C246" s="136" t="s">
        <v>125</v>
      </c>
      <c r="D246" s="136" t="s">
        <v>95</v>
      </c>
      <c r="E246" s="136" t="s">
        <v>96</v>
      </c>
      <c r="F246" s="136" t="s">
        <v>97</v>
      </c>
      <c r="G246" s="146"/>
      <c r="H246" s="205">
        <f t="shared" ref="H246:I249" si="4">H247</f>
        <v>3000</v>
      </c>
      <c r="I246" s="205">
        <f t="shared" si="4"/>
        <v>3000</v>
      </c>
    </row>
    <row r="247" spans="1:9" ht="37.5" x14ac:dyDescent="0.3">
      <c r="A247" s="151"/>
      <c r="B247" s="101" t="s">
        <v>126</v>
      </c>
      <c r="C247" s="347" t="s">
        <v>125</v>
      </c>
      <c r="D247" s="509" t="s">
        <v>98</v>
      </c>
      <c r="E247" s="509" t="s">
        <v>96</v>
      </c>
      <c r="F247" s="510" t="s">
        <v>97</v>
      </c>
      <c r="G247" s="100"/>
      <c r="H247" s="206">
        <f t="shared" si="4"/>
        <v>3000</v>
      </c>
      <c r="I247" s="206">
        <f t="shared" si="4"/>
        <v>3000</v>
      </c>
    </row>
    <row r="248" spans="1:9" ht="18.75" x14ac:dyDescent="0.3">
      <c r="A248" s="151"/>
      <c r="B248" s="98" t="s">
        <v>122</v>
      </c>
      <c r="C248" s="347" t="s">
        <v>125</v>
      </c>
      <c r="D248" s="509" t="s">
        <v>98</v>
      </c>
      <c r="E248" s="509" t="s">
        <v>90</v>
      </c>
      <c r="F248" s="510" t="s">
        <v>97</v>
      </c>
      <c r="G248" s="100"/>
      <c r="H248" s="206">
        <f t="shared" si="4"/>
        <v>3000</v>
      </c>
      <c r="I248" s="206">
        <f t="shared" si="4"/>
        <v>3000</v>
      </c>
    </row>
    <row r="249" spans="1:9" ht="18.75" x14ac:dyDescent="0.3">
      <c r="A249" s="151"/>
      <c r="B249" s="98" t="s">
        <v>127</v>
      </c>
      <c r="C249" s="347" t="s">
        <v>125</v>
      </c>
      <c r="D249" s="509" t="s">
        <v>98</v>
      </c>
      <c r="E249" s="509" t="s">
        <v>90</v>
      </c>
      <c r="F249" s="510" t="s">
        <v>128</v>
      </c>
      <c r="G249" s="100"/>
      <c r="H249" s="206">
        <f t="shared" si="4"/>
        <v>3000</v>
      </c>
      <c r="I249" s="206">
        <f t="shared" si="4"/>
        <v>3000</v>
      </c>
    </row>
    <row r="250" spans="1:9" ht="18.75" x14ac:dyDescent="0.3">
      <c r="A250" s="151"/>
      <c r="B250" s="98" t="s">
        <v>110</v>
      </c>
      <c r="C250" s="347" t="s">
        <v>125</v>
      </c>
      <c r="D250" s="509" t="s">
        <v>98</v>
      </c>
      <c r="E250" s="509" t="s">
        <v>90</v>
      </c>
      <c r="F250" s="510" t="s">
        <v>128</v>
      </c>
      <c r="G250" s="100" t="s">
        <v>111</v>
      </c>
      <c r="H250" s="206">
        <f>'прил13(ведом 20-21)'!M53</f>
        <v>3000</v>
      </c>
      <c r="I250" s="206">
        <f>'прил13(ведом 20-21)'!N53</f>
        <v>3000</v>
      </c>
    </row>
    <row r="251" spans="1:9" ht="18.75" x14ac:dyDescent="0.3">
      <c r="A251" s="151"/>
      <c r="B251" s="98"/>
      <c r="C251" s="347"/>
      <c r="D251" s="509"/>
      <c r="E251" s="509"/>
      <c r="F251" s="510"/>
      <c r="G251" s="100"/>
      <c r="H251" s="206"/>
      <c r="I251" s="206"/>
    </row>
    <row r="252" spans="1:9" s="52" customFormat="1" ht="18.75" x14ac:dyDescent="0.3">
      <c r="A252" s="3">
        <v>14</v>
      </c>
      <c r="B252" s="248" t="s">
        <v>546</v>
      </c>
      <c r="C252" s="229"/>
      <c r="D252" s="230"/>
      <c r="E252" s="230"/>
      <c r="F252" s="231"/>
      <c r="G252" s="86"/>
      <c r="H252" s="205">
        <f>H253</f>
        <v>25033.4</v>
      </c>
      <c r="I252" s="205">
        <f>I253</f>
        <v>48806.5</v>
      </c>
    </row>
    <row r="253" spans="1:9" ht="18.75" x14ac:dyDescent="0.3">
      <c r="A253" s="177"/>
      <c r="B253" s="249" t="s">
        <v>546</v>
      </c>
      <c r="C253" s="347"/>
      <c r="D253" s="509"/>
      <c r="E253" s="509"/>
      <c r="F253" s="510"/>
      <c r="G253" s="100"/>
      <c r="H253" s="228">
        <f>'прил13(ведом 20-21)'!M342</f>
        <v>25033.4</v>
      </c>
      <c r="I253" s="228">
        <f>'прил13(ведом 20-21)'!N342</f>
        <v>48806.5</v>
      </c>
    </row>
    <row r="254" spans="1:9" ht="18.75" x14ac:dyDescent="0.3">
      <c r="A254" s="46"/>
      <c r="B254" s="47"/>
      <c r="C254" s="48"/>
      <c r="D254" s="48"/>
      <c r="E254" s="48"/>
      <c r="F254" s="49"/>
      <c r="G254" s="55"/>
    </row>
    <row r="255" spans="1:9" ht="18.75" x14ac:dyDescent="0.3">
      <c r="A255" s="46"/>
      <c r="B255" s="47"/>
      <c r="C255" s="48"/>
      <c r="D255" s="48"/>
      <c r="E255" s="48"/>
      <c r="F255" s="49"/>
      <c r="G255" s="55"/>
    </row>
    <row r="256" spans="1:9" ht="18.75" x14ac:dyDescent="0.3">
      <c r="A256" s="265" t="s">
        <v>588</v>
      </c>
      <c r="B256" s="47"/>
      <c r="C256" s="48"/>
      <c r="D256" s="48"/>
      <c r="E256" s="48"/>
      <c r="F256" s="49"/>
      <c r="G256" s="55"/>
    </row>
    <row r="257" spans="1:9" ht="18.75" x14ac:dyDescent="0.3">
      <c r="A257" s="265" t="s">
        <v>589</v>
      </c>
      <c r="B257" s="47"/>
      <c r="C257" s="48"/>
      <c r="D257" s="48"/>
      <c r="E257" s="48"/>
      <c r="F257" s="49"/>
      <c r="G257" s="55"/>
    </row>
    <row r="258" spans="1:9" ht="18.75" x14ac:dyDescent="0.3">
      <c r="A258" s="266" t="s">
        <v>590</v>
      </c>
      <c r="B258" s="47"/>
      <c r="C258" s="42"/>
      <c r="D258" s="48"/>
      <c r="E258" s="48"/>
      <c r="F258" s="49"/>
      <c r="G258" s="42"/>
      <c r="H258" s="42"/>
      <c r="I258" s="38" t="s">
        <v>643</v>
      </c>
    </row>
    <row r="259" spans="1:9" x14ac:dyDescent="0.25">
      <c r="A259" s="46"/>
      <c r="B259" s="47"/>
      <c r="C259" s="48"/>
      <c r="D259" s="48"/>
      <c r="E259" s="48"/>
      <c r="F259" s="49"/>
    </row>
    <row r="260" spans="1:9" x14ac:dyDescent="0.25">
      <c r="A260" s="46"/>
      <c r="B260" s="47"/>
      <c r="C260" s="48"/>
      <c r="D260" s="48"/>
      <c r="E260" s="48"/>
      <c r="F260" s="49"/>
    </row>
    <row r="261" spans="1:9" x14ac:dyDescent="0.25">
      <c r="A261" s="46"/>
      <c r="B261" s="47"/>
      <c r="C261" s="48"/>
      <c r="D261" s="48"/>
      <c r="E261" s="48"/>
      <c r="F261" s="49"/>
    </row>
    <row r="262" spans="1:9" ht="18.75" x14ac:dyDescent="0.3">
      <c r="A262" s="46"/>
      <c r="B262" s="47"/>
      <c r="C262" s="48"/>
      <c r="D262" s="48"/>
      <c r="E262" s="48"/>
      <c r="F262" s="49"/>
      <c r="G262" s="55"/>
    </row>
    <row r="263" spans="1:9" x14ac:dyDescent="0.25">
      <c r="B263" s="40" t="s">
        <v>317</v>
      </c>
      <c r="H263" s="44">
        <f>H206+H200+H191+H152+H142+H132+H117+H104+H91+H72+H15</f>
        <v>1195645.7999999998</v>
      </c>
      <c r="I263" s="44">
        <f>I206+I200+I191+I152+I142+I132+I117+I104+I91+I72+I15</f>
        <v>1169531.6000000001</v>
      </c>
    </row>
    <row r="265" spans="1:9" x14ac:dyDescent="0.25">
      <c r="H265" s="44">
        <f>(H263/H14)*100</f>
        <v>97.406714809831996</v>
      </c>
      <c r="I265" s="44">
        <f>(I263/I14)*100</f>
        <v>95.4613146435006</v>
      </c>
    </row>
    <row r="266" spans="1:9" x14ac:dyDescent="0.25">
      <c r="H266" s="44"/>
      <c r="I266" s="44"/>
    </row>
    <row r="267" spans="1:9" x14ac:dyDescent="0.25">
      <c r="B267" s="40" t="s">
        <v>318</v>
      </c>
      <c r="H267" s="44">
        <f>H246+H237</f>
        <v>6798.6</v>
      </c>
      <c r="I267" s="44">
        <f>I246+I237</f>
        <v>6798.6</v>
      </c>
    </row>
    <row r="268" spans="1:9" x14ac:dyDescent="0.25">
      <c r="H268" s="44">
        <f>(H267/H272)*100</f>
        <v>0.55386745080033228</v>
      </c>
      <c r="I268" s="44">
        <f>(I267/I272)*100</f>
        <v>0.55492582990942962</v>
      </c>
    </row>
    <row r="269" spans="1:9" x14ac:dyDescent="0.25">
      <c r="H269" s="44"/>
      <c r="I269" s="44"/>
    </row>
    <row r="270" spans="1:9" x14ac:dyDescent="0.25">
      <c r="B270" s="40" t="s">
        <v>548</v>
      </c>
      <c r="H270" s="44">
        <f>H252</f>
        <v>25033.4</v>
      </c>
      <c r="I270" s="44">
        <f>I252</f>
        <v>48806.5</v>
      </c>
    </row>
    <row r="271" spans="1:9" x14ac:dyDescent="0.25">
      <c r="H271" s="44">
        <f>(H270/H272)*100</f>
        <v>2.0394177393676696</v>
      </c>
      <c r="I271" s="44">
        <f>(I270/I272)*100</f>
        <v>3.9837595265899708</v>
      </c>
    </row>
    <row r="272" spans="1:9" x14ac:dyDescent="0.25">
      <c r="B272" s="40" t="s">
        <v>281</v>
      </c>
      <c r="H272" s="44">
        <f>H267+H263+H270</f>
        <v>1227477.7999999998</v>
      </c>
      <c r="I272" s="44">
        <f>I267+I263+I270</f>
        <v>1225136.7000000002</v>
      </c>
    </row>
  </sheetData>
  <autoFilter ref="A4:I272"/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86614173228346458" bottom="0.86614173228346458" header="0" footer="0"/>
  <pageSetup paperSize="9" scale="73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O673"/>
  <sheetViews>
    <sheetView zoomScale="80" zoomScaleNormal="80" workbookViewId="0">
      <pane ySplit="4" topLeftCell="A5" activePane="bottomLeft" state="frozen"/>
      <selection activeCell="M15" sqref="M15"/>
      <selection pane="bottomLeft" activeCell="M516" sqref="M516"/>
    </sheetView>
  </sheetViews>
  <sheetFormatPr defaultColWidth="8.85546875" defaultRowHeight="15" x14ac:dyDescent="0.25"/>
  <cols>
    <col min="1" max="1" width="4.7109375" style="348" customWidth="1"/>
    <col min="2" max="2" width="54.42578125" style="348" customWidth="1"/>
    <col min="3" max="3" width="5.5703125" style="348" customWidth="1"/>
    <col min="4" max="4" width="3.7109375" style="348" customWidth="1"/>
    <col min="5" max="5" width="4" style="348" customWidth="1"/>
    <col min="6" max="6" width="3.28515625" style="348" customWidth="1"/>
    <col min="7" max="7" width="2.42578125" style="348" customWidth="1"/>
    <col min="8" max="8" width="2.7109375" style="348" customWidth="1"/>
    <col min="9" max="9" width="10.140625" style="348" customWidth="1"/>
    <col min="10" max="10" width="5" style="348" customWidth="1"/>
    <col min="11" max="11" width="15.28515625" style="484" hidden="1" customWidth="1"/>
    <col min="12" max="12" width="15" style="545" customWidth="1"/>
    <col min="13" max="13" width="15.28515625" style="484" customWidth="1"/>
    <col min="14" max="16384" width="8.85546875" style="348"/>
  </cols>
  <sheetData>
    <row r="1" spans="1:13" s="219" customFormat="1" ht="18.75" x14ac:dyDescent="0.3">
      <c r="K1" s="1" t="s">
        <v>497</v>
      </c>
      <c r="M1" s="1" t="s">
        <v>825</v>
      </c>
    </row>
    <row r="2" spans="1:13" s="219" customFormat="1" ht="18.75" x14ac:dyDescent="0.3">
      <c r="K2" s="1" t="s">
        <v>0</v>
      </c>
      <c r="M2" s="1" t="s">
        <v>0</v>
      </c>
    </row>
    <row r="3" spans="1:13" s="219" customFormat="1" ht="18.75" x14ac:dyDescent="0.3">
      <c r="K3" s="1"/>
      <c r="M3" s="1"/>
    </row>
    <row r="4" spans="1:13" s="74" customFormat="1" ht="18.75" x14ac:dyDescent="0.3">
      <c r="K4" s="183" t="s">
        <v>756</v>
      </c>
      <c r="L4" s="546"/>
      <c r="M4" s="183" t="s">
        <v>756</v>
      </c>
    </row>
    <row r="5" spans="1:13" s="74" customFormat="1" ht="18.75" x14ac:dyDescent="0.3">
      <c r="K5" s="183" t="s">
        <v>0</v>
      </c>
      <c r="L5" s="546"/>
      <c r="M5" s="1" t="s">
        <v>821</v>
      </c>
    </row>
    <row r="6" spans="1:13" s="74" customFormat="1" x14ac:dyDescent="0.25">
      <c r="K6" s="212"/>
      <c r="L6" s="546"/>
      <c r="M6" s="212"/>
    </row>
    <row r="7" spans="1:13" s="74" customFormat="1" x14ac:dyDescent="0.25">
      <c r="K7" s="212"/>
      <c r="L7" s="546"/>
      <c r="M7" s="212"/>
    </row>
    <row r="8" spans="1:13" s="74" customFormat="1" ht="21" customHeight="1" x14ac:dyDescent="0.3">
      <c r="A8" s="993" t="s">
        <v>755</v>
      </c>
      <c r="B8" s="993"/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</row>
    <row r="9" spans="1:13" s="74" customFormat="1" ht="18.75" x14ac:dyDescent="0.3">
      <c r="A9" s="574"/>
      <c r="B9" s="574"/>
      <c r="C9" s="574"/>
      <c r="D9" s="574"/>
      <c r="E9" s="574"/>
      <c r="F9" s="574"/>
      <c r="G9" s="574"/>
      <c r="H9" s="574"/>
      <c r="I9" s="910"/>
      <c r="J9" s="574"/>
      <c r="L9" s="575"/>
    </row>
    <row r="10" spans="1:13" s="74" customFormat="1" ht="18.75" x14ac:dyDescent="0.3">
      <c r="A10" s="532"/>
      <c r="B10" s="532"/>
      <c r="C10" s="532"/>
      <c r="D10" s="532"/>
      <c r="E10" s="532"/>
      <c r="F10" s="532"/>
      <c r="G10" s="532"/>
      <c r="H10" s="532"/>
      <c r="I10" s="910"/>
      <c r="J10" s="532"/>
      <c r="K10" s="544"/>
      <c r="L10" s="546"/>
      <c r="M10" s="544"/>
    </row>
    <row r="11" spans="1:13" ht="18.75" x14ac:dyDescent="0.3">
      <c r="A11" s="349"/>
      <c r="B11" s="350"/>
      <c r="C11" s="351"/>
      <c r="D11" s="351"/>
      <c r="E11" s="351"/>
      <c r="F11" s="351"/>
      <c r="G11" s="349"/>
      <c r="H11" s="352"/>
      <c r="I11" s="353"/>
      <c r="J11" s="354"/>
      <c r="K11" s="487" t="s">
        <v>75</v>
      </c>
      <c r="L11" s="547"/>
      <c r="M11" s="487" t="s">
        <v>75</v>
      </c>
    </row>
    <row r="12" spans="1:13" ht="18.75" x14ac:dyDescent="0.3">
      <c r="A12" s="1007" t="s">
        <v>76</v>
      </c>
      <c r="B12" s="1009" t="s">
        <v>77</v>
      </c>
      <c r="C12" s="1011" t="s">
        <v>78</v>
      </c>
      <c r="D12" s="1011" t="s">
        <v>79</v>
      </c>
      <c r="E12" s="1011" t="s">
        <v>80</v>
      </c>
      <c r="F12" s="1013" t="s">
        <v>81</v>
      </c>
      <c r="G12" s="1014"/>
      <c r="H12" s="1014"/>
      <c r="I12" s="1015"/>
      <c r="J12" s="1011" t="s">
        <v>82</v>
      </c>
      <c r="K12" s="1002" t="s">
        <v>820</v>
      </c>
      <c r="L12" s="1000" t="s">
        <v>515</v>
      </c>
      <c r="M12" s="1001"/>
    </row>
    <row r="13" spans="1:13" ht="37.5" x14ac:dyDescent="0.3">
      <c r="A13" s="1008"/>
      <c r="B13" s="1010"/>
      <c r="C13" s="1012"/>
      <c r="D13" s="1012"/>
      <c r="E13" s="1012"/>
      <c r="F13" s="1016"/>
      <c r="G13" s="1017"/>
      <c r="H13" s="1017"/>
      <c r="I13" s="1018"/>
      <c r="J13" s="1012"/>
      <c r="K13" s="1003"/>
      <c r="L13" s="548" t="s">
        <v>606</v>
      </c>
      <c r="M13" s="488" t="s">
        <v>569</v>
      </c>
    </row>
    <row r="14" spans="1:13" ht="18.75" x14ac:dyDescent="0.3">
      <c r="A14" s="355">
        <v>1</v>
      </c>
      <c r="B14" s="356">
        <v>2</v>
      </c>
      <c r="C14" s="357" t="s">
        <v>83</v>
      </c>
      <c r="D14" s="357" t="s">
        <v>84</v>
      </c>
      <c r="E14" s="357" t="s">
        <v>85</v>
      </c>
      <c r="F14" s="1004" t="s">
        <v>86</v>
      </c>
      <c r="G14" s="1005"/>
      <c r="H14" s="1005"/>
      <c r="I14" s="1006"/>
      <c r="J14" s="357" t="s">
        <v>87</v>
      </c>
      <c r="K14" s="865"/>
      <c r="L14" s="555">
        <v>8</v>
      </c>
      <c r="M14" s="498">
        <v>9</v>
      </c>
    </row>
    <row r="15" spans="1:13" ht="18.75" x14ac:dyDescent="0.25">
      <c r="A15" s="358"/>
      <c r="B15" s="359" t="s">
        <v>281</v>
      </c>
      <c r="C15" s="360"/>
      <c r="D15" s="361"/>
      <c r="E15" s="361"/>
      <c r="F15" s="362"/>
      <c r="G15" s="363"/>
      <c r="H15" s="363"/>
      <c r="I15" s="364"/>
      <c r="J15" s="361"/>
      <c r="K15" s="518">
        <f>K16+K188+K215+K232+K312+K443+K502+K538+K558</f>
        <v>1299647.7999999998</v>
      </c>
      <c r="L15" s="518">
        <f>L16+L188+L215+L232+L312+L443+L502+L538+L558</f>
        <v>16299.400849999987</v>
      </c>
      <c r="M15" s="518">
        <f>M16+M188+M215+M232+M312+M443+M502+M538+M558</f>
        <v>1315947.2208499999</v>
      </c>
    </row>
    <row r="16" spans="1:13" s="372" customFormat="1" ht="37.5" x14ac:dyDescent="0.3">
      <c r="A16" s="365">
        <v>1</v>
      </c>
      <c r="B16" s="366" t="s">
        <v>4</v>
      </c>
      <c r="C16" s="367" t="s">
        <v>13</v>
      </c>
      <c r="D16" s="368"/>
      <c r="E16" s="368"/>
      <c r="F16" s="369"/>
      <c r="G16" s="370"/>
      <c r="H16" s="370"/>
      <c r="I16" s="371"/>
      <c r="J16" s="368"/>
      <c r="K16" s="519">
        <f>K17+K77+K107+K162+K149+K180</f>
        <v>109496.6</v>
      </c>
      <c r="L16" s="519">
        <f>L17+L77+L107+L162+L149+L180</f>
        <v>3488.5490800000002</v>
      </c>
      <c r="M16" s="519">
        <f>M17+M77+M107+M162+M149+M180</f>
        <v>112985.14907999999</v>
      </c>
    </row>
    <row r="17" spans="1:13" s="378" customFormat="1" ht="18.75" x14ac:dyDescent="0.3">
      <c r="A17" s="358"/>
      <c r="B17" s="373" t="s">
        <v>89</v>
      </c>
      <c r="C17" s="374" t="s">
        <v>13</v>
      </c>
      <c r="D17" s="357" t="s">
        <v>90</v>
      </c>
      <c r="E17" s="357"/>
      <c r="F17" s="375"/>
      <c r="G17" s="376"/>
      <c r="H17" s="376"/>
      <c r="I17" s="913"/>
      <c r="J17" s="377"/>
      <c r="K17" s="377">
        <f>K18+K24+K52+K58+K46</f>
        <v>72893.3</v>
      </c>
      <c r="L17" s="377">
        <f>L18+L24+L52+L58+L46</f>
        <v>763.84900000000027</v>
      </c>
      <c r="M17" s="377">
        <f>M18+M24+M52+M58+M46</f>
        <v>73657.14899999999</v>
      </c>
    </row>
    <row r="18" spans="1:13" s="379" customFormat="1" ht="56.25" x14ac:dyDescent="0.3">
      <c r="A18" s="358"/>
      <c r="B18" s="373" t="s">
        <v>91</v>
      </c>
      <c r="C18" s="374" t="s">
        <v>13</v>
      </c>
      <c r="D18" s="357" t="s">
        <v>90</v>
      </c>
      <c r="E18" s="357" t="s">
        <v>92</v>
      </c>
      <c r="F18" s="375"/>
      <c r="G18" s="376"/>
      <c r="H18" s="376"/>
      <c r="I18" s="913"/>
      <c r="J18" s="357"/>
      <c r="K18" s="377">
        <f t="shared" ref="K18:M22" si="0">K19</f>
        <v>1971.5</v>
      </c>
      <c r="L18" s="377">
        <f t="shared" si="0"/>
        <v>0</v>
      </c>
      <c r="M18" s="377">
        <f t="shared" si="0"/>
        <v>1971.5</v>
      </c>
    </row>
    <row r="19" spans="1:13" s="379" customFormat="1" ht="75" x14ac:dyDescent="0.3">
      <c r="A19" s="358"/>
      <c r="B19" s="373" t="s">
        <v>93</v>
      </c>
      <c r="C19" s="374" t="s">
        <v>13</v>
      </c>
      <c r="D19" s="357" t="s">
        <v>90</v>
      </c>
      <c r="E19" s="357" t="s">
        <v>92</v>
      </c>
      <c r="F19" s="375" t="s">
        <v>94</v>
      </c>
      <c r="G19" s="376" t="s">
        <v>95</v>
      </c>
      <c r="H19" s="376" t="s">
        <v>96</v>
      </c>
      <c r="I19" s="913" t="s">
        <v>97</v>
      </c>
      <c r="J19" s="357"/>
      <c r="K19" s="377">
        <f>K20</f>
        <v>1971.5</v>
      </c>
      <c r="L19" s="377">
        <f>L20</f>
        <v>0</v>
      </c>
      <c r="M19" s="377">
        <f>M20</f>
        <v>1971.5</v>
      </c>
    </row>
    <row r="20" spans="1:13" s="379" customFormat="1" ht="37.5" x14ac:dyDescent="0.3">
      <c r="A20" s="358"/>
      <c r="B20" s="373" t="s">
        <v>491</v>
      </c>
      <c r="C20" s="374" t="s">
        <v>13</v>
      </c>
      <c r="D20" s="357" t="s">
        <v>90</v>
      </c>
      <c r="E20" s="357" t="s">
        <v>92</v>
      </c>
      <c r="F20" s="375" t="s">
        <v>94</v>
      </c>
      <c r="G20" s="376" t="s">
        <v>98</v>
      </c>
      <c r="H20" s="376" t="s">
        <v>96</v>
      </c>
      <c r="I20" s="913" t="s">
        <v>97</v>
      </c>
      <c r="J20" s="357"/>
      <c r="K20" s="377">
        <f t="shared" si="0"/>
        <v>1971.5</v>
      </c>
      <c r="L20" s="377">
        <f t="shared" si="0"/>
        <v>0</v>
      </c>
      <c r="M20" s="377">
        <f t="shared" si="0"/>
        <v>1971.5</v>
      </c>
    </row>
    <row r="21" spans="1:13" s="379" customFormat="1" ht="56.25" x14ac:dyDescent="0.3">
      <c r="A21" s="358"/>
      <c r="B21" s="373" t="s">
        <v>99</v>
      </c>
      <c r="C21" s="374" t="s">
        <v>13</v>
      </c>
      <c r="D21" s="357" t="s">
        <v>90</v>
      </c>
      <c r="E21" s="357" t="s">
        <v>92</v>
      </c>
      <c r="F21" s="375" t="s">
        <v>94</v>
      </c>
      <c r="G21" s="376" t="s">
        <v>98</v>
      </c>
      <c r="H21" s="376" t="s">
        <v>90</v>
      </c>
      <c r="I21" s="913" t="s">
        <v>97</v>
      </c>
      <c r="J21" s="357"/>
      <c r="K21" s="377">
        <f t="shared" si="0"/>
        <v>1971.5</v>
      </c>
      <c r="L21" s="377">
        <f t="shared" si="0"/>
        <v>0</v>
      </c>
      <c r="M21" s="377">
        <f t="shared" si="0"/>
        <v>1971.5</v>
      </c>
    </row>
    <row r="22" spans="1:13" s="379" customFormat="1" ht="37.5" x14ac:dyDescent="0.3">
      <c r="A22" s="358"/>
      <c r="B22" s="373" t="s">
        <v>100</v>
      </c>
      <c r="C22" s="374" t="s">
        <v>13</v>
      </c>
      <c r="D22" s="357" t="s">
        <v>90</v>
      </c>
      <c r="E22" s="357" t="s">
        <v>92</v>
      </c>
      <c r="F22" s="375" t="s">
        <v>94</v>
      </c>
      <c r="G22" s="376" t="s">
        <v>98</v>
      </c>
      <c r="H22" s="376" t="s">
        <v>90</v>
      </c>
      <c r="I22" s="913" t="s">
        <v>101</v>
      </c>
      <c r="J22" s="357"/>
      <c r="K22" s="377">
        <f t="shared" si="0"/>
        <v>1971.5</v>
      </c>
      <c r="L22" s="377">
        <f t="shared" si="0"/>
        <v>0</v>
      </c>
      <c r="M22" s="377">
        <f t="shared" si="0"/>
        <v>1971.5</v>
      </c>
    </row>
    <row r="23" spans="1:13" s="379" customFormat="1" ht="112.5" x14ac:dyDescent="0.3">
      <c r="A23" s="358"/>
      <c r="B23" s="373" t="s">
        <v>102</v>
      </c>
      <c r="C23" s="374" t="s">
        <v>13</v>
      </c>
      <c r="D23" s="357" t="s">
        <v>90</v>
      </c>
      <c r="E23" s="357" t="s">
        <v>92</v>
      </c>
      <c r="F23" s="375" t="s">
        <v>94</v>
      </c>
      <c r="G23" s="376" t="s">
        <v>98</v>
      </c>
      <c r="H23" s="376" t="s">
        <v>90</v>
      </c>
      <c r="I23" s="913" t="s">
        <v>101</v>
      </c>
      <c r="J23" s="357" t="s">
        <v>103</v>
      </c>
      <c r="K23" s="377">
        <v>1971.5</v>
      </c>
      <c r="L23" s="252">
        <f>M23-K23</f>
        <v>0</v>
      </c>
      <c r="M23" s="377">
        <v>1971.5</v>
      </c>
    </row>
    <row r="24" spans="1:13" s="378" customFormat="1" ht="93.75" x14ac:dyDescent="0.3">
      <c r="A24" s="358"/>
      <c r="B24" s="373" t="s">
        <v>104</v>
      </c>
      <c r="C24" s="374" t="s">
        <v>13</v>
      </c>
      <c r="D24" s="357" t="s">
        <v>90</v>
      </c>
      <c r="E24" s="357" t="s">
        <v>105</v>
      </c>
      <c r="F24" s="375"/>
      <c r="G24" s="376"/>
      <c r="H24" s="376"/>
      <c r="I24" s="913"/>
      <c r="J24" s="357"/>
      <c r="K24" s="377">
        <f t="shared" ref="K24:M25" si="1">K25</f>
        <v>65435.3</v>
      </c>
      <c r="L24" s="377">
        <f t="shared" si="1"/>
        <v>42.149000000000342</v>
      </c>
      <c r="M24" s="377">
        <f t="shared" si="1"/>
        <v>65477.449000000001</v>
      </c>
    </row>
    <row r="25" spans="1:13" s="378" customFormat="1" ht="56.25" x14ac:dyDescent="0.3">
      <c r="A25" s="358"/>
      <c r="B25" s="373" t="s">
        <v>106</v>
      </c>
      <c r="C25" s="374" t="s">
        <v>13</v>
      </c>
      <c r="D25" s="357" t="s">
        <v>90</v>
      </c>
      <c r="E25" s="357" t="s">
        <v>105</v>
      </c>
      <c r="F25" s="375" t="s">
        <v>94</v>
      </c>
      <c r="G25" s="376" t="s">
        <v>95</v>
      </c>
      <c r="H25" s="376" t="s">
        <v>96</v>
      </c>
      <c r="I25" s="913" t="s">
        <v>97</v>
      </c>
      <c r="J25" s="357"/>
      <c r="K25" s="377">
        <f t="shared" si="1"/>
        <v>65435.3</v>
      </c>
      <c r="L25" s="377">
        <f t="shared" si="1"/>
        <v>42.149000000000342</v>
      </c>
      <c r="M25" s="377">
        <f t="shared" si="1"/>
        <v>65477.449000000001</v>
      </c>
    </row>
    <row r="26" spans="1:13" s="354" customFormat="1" ht="37.5" x14ac:dyDescent="0.3">
      <c r="A26" s="358"/>
      <c r="B26" s="373" t="s">
        <v>491</v>
      </c>
      <c r="C26" s="374" t="s">
        <v>13</v>
      </c>
      <c r="D26" s="357" t="s">
        <v>90</v>
      </c>
      <c r="E26" s="357" t="s">
        <v>105</v>
      </c>
      <c r="F26" s="375" t="s">
        <v>94</v>
      </c>
      <c r="G26" s="376" t="s">
        <v>98</v>
      </c>
      <c r="H26" s="376" t="s">
        <v>96</v>
      </c>
      <c r="I26" s="913" t="s">
        <v>97</v>
      </c>
      <c r="J26" s="357"/>
      <c r="K26" s="377">
        <f>K27+K43</f>
        <v>65435.3</v>
      </c>
      <c r="L26" s="377">
        <f>L27+L43</f>
        <v>42.149000000000342</v>
      </c>
      <c r="M26" s="377">
        <f>M27+M43</f>
        <v>65477.449000000001</v>
      </c>
    </row>
    <row r="27" spans="1:13" s="354" customFormat="1" ht="37.5" x14ac:dyDescent="0.3">
      <c r="A27" s="358"/>
      <c r="B27" s="373" t="s">
        <v>107</v>
      </c>
      <c r="C27" s="374" t="s">
        <v>13</v>
      </c>
      <c r="D27" s="357" t="s">
        <v>90</v>
      </c>
      <c r="E27" s="357" t="s">
        <v>105</v>
      </c>
      <c r="F27" s="375" t="s">
        <v>94</v>
      </c>
      <c r="G27" s="376" t="s">
        <v>98</v>
      </c>
      <c r="H27" s="376" t="s">
        <v>92</v>
      </c>
      <c r="I27" s="913" t="s">
        <v>97</v>
      </c>
      <c r="J27" s="357"/>
      <c r="K27" s="377">
        <f>K28+K34+K36+K39+K32+K41</f>
        <v>65393.700000000004</v>
      </c>
      <c r="L27" s="377">
        <f>L28+L34+L36+L39+L32+L41</f>
        <v>42.149000000000342</v>
      </c>
      <c r="M27" s="377">
        <f>M28+M34+M36+M39+M32+M41</f>
        <v>65435.849000000002</v>
      </c>
    </row>
    <row r="28" spans="1:13" s="379" customFormat="1" ht="37.5" x14ac:dyDescent="0.3">
      <c r="A28" s="358"/>
      <c r="B28" s="373" t="s">
        <v>100</v>
      </c>
      <c r="C28" s="374" t="s">
        <v>13</v>
      </c>
      <c r="D28" s="357" t="s">
        <v>90</v>
      </c>
      <c r="E28" s="357" t="s">
        <v>105</v>
      </c>
      <c r="F28" s="375" t="s">
        <v>94</v>
      </c>
      <c r="G28" s="376" t="s">
        <v>98</v>
      </c>
      <c r="H28" s="376" t="s">
        <v>92</v>
      </c>
      <c r="I28" s="913" t="s">
        <v>101</v>
      </c>
      <c r="J28" s="357"/>
      <c r="K28" s="377">
        <f>K29+K30+K31</f>
        <v>61528.600000000006</v>
      </c>
      <c r="L28" s="377">
        <f>L29+L30+L31</f>
        <v>42.149000000000342</v>
      </c>
      <c r="M28" s="377">
        <f>M29+M30+M31</f>
        <v>61570.749000000003</v>
      </c>
    </row>
    <row r="29" spans="1:13" s="379" customFormat="1" ht="112.5" x14ac:dyDescent="0.3">
      <c r="A29" s="358"/>
      <c r="B29" s="373" t="s">
        <v>102</v>
      </c>
      <c r="C29" s="374" t="s">
        <v>13</v>
      </c>
      <c r="D29" s="357" t="s">
        <v>90</v>
      </c>
      <c r="E29" s="357" t="s">
        <v>105</v>
      </c>
      <c r="F29" s="375" t="s">
        <v>94</v>
      </c>
      <c r="G29" s="376" t="s">
        <v>98</v>
      </c>
      <c r="H29" s="376" t="s">
        <v>92</v>
      </c>
      <c r="I29" s="913" t="s">
        <v>101</v>
      </c>
      <c r="J29" s="357" t="s">
        <v>103</v>
      </c>
      <c r="K29" s="377">
        <v>55633.4</v>
      </c>
      <c r="L29" s="252">
        <f t="shared" ref="L29:L31" si="2">M29-K29</f>
        <v>0</v>
      </c>
      <c r="M29" s="377">
        <v>55633.4</v>
      </c>
    </row>
    <row r="30" spans="1:13" s="354" customFormat="1" ht="56.25" x14ac:dyDescent="0.3">
      <c r="A30" s="358"/>
      <c r="B30" s="373" t="s">
        <v>108</v>
      </c>
      <c r="C30" s="374" t="s">
        <v>13</v>
      </c>
      <c r="D30" s="357" t="s">
        <v>90</v>
      </c>
      <c r="E30" s="357" t="s">
        <v>105</v>
      </c>
      <c r="F30" s="375" t="s">
        <v>94</v>
      </c>
      <c r="G30" s="376" t="s">
        <v>98</v>
      </c>
      <c r="H30" s="376" t="s">
        <v>92</v>
      </c>
      <c r="I30" s="913" t="s">
        <v>101</v>
      </c>
      <c r="J30" s="357" t="s">
        <v>109</v>
      </c>
      <c r="K30" s="590">
        <f>5063.2+591.6</f>
        <v>5654.8</v>
      </c>
      <c r="L30" s="252">
        <f t="shared" si="2"/>
        <v>42.149000000000342</v>
      </c>
      <c r="M30" s="590">
        <f>5063.2+591.6+3.3+38.849</f>
        <v>5696.9490000000005</v>
      </c>
    </row>
    <row r="31" spans="1:13" s="379" customFormat="1" ht="18.75" x14ac:dyDescent="0.3">
      <c r="A31" s="358"/>
      <c r="B31" s="373" t="s">
        <v>110</v>
      </c>
      <c r="C31" s="374" t="s">
        <v>13</v>
      </c>
      <c r="D31" s="357" t="s">
        <v>90</v>
      </c>
      <c r="E31" s="357" t="s">
        <v>105</v>
      </c>
      <c r="F31" s="375" t="s">
        <v>94</v>
      </c>
      <c r="G31" s="376" t="s">
        <v>98</v>
      </c>
      <c r="H31" s="376" t="s">
        <v>92</v>
      </c>
      <c r="I31" s="913" t="s">
        <v>101</v>
      </c>
      <c r="J31" s="357" t="s">
        <v>111</v>
      </c>
      <c r="K31" s="377">
        <v>240.4</v>
      </c>
      <c r="L31" s="252">
        <f t="shared" si="2"/>
        <v>0</v>
      </c>
      <c r="M31" s="377">
        <v>240.4</v>
      </c>
    </row>
    <row r="32" spans="1:13" s="378" customFormat="1" ht="93.75" x14ac:dyDescent="0.3">
      <c r="A32" s="358"/>
      <c r="B32" s="373" t="s">
        <v>117</v>
      </c>
      <c r="C32" s="374" t="s">
        <v>13</v>
      </c>
      <c r="D32" s="357" t="s">
        <v>90</v>
      </c>
      <c r="E32" s="357" t="s">
        <v>105</v>
      </c>
      <c r="F32" s="375" t="s">
        <v>94</v>
      </c>
      <c r="G32" s="376" t="s">
        <v>98</v>
      </c>
      <c r="H32" s="376" t="s">
        <v>92</v>
      </c>
      <c r="I32" s="913" t="s">
        <v>370</v>
      </c>
      <c r="J32" s="357"/>
      <c r="K32" s="377">
        <f>K33</f>
        <v>66</v>
      </c>
      <c r="L32" s="377">
        <f>L33</f>
        <v>0</v>
      </c>
      <c r="M32" s="377">
        <f>M33</f>
        <v>66</v>
      </c>
    </row>
    <row r="33" spans="1:13" s="378" customFormat="1" ht="56.25" x14ac:dyDescent="0.3">
      <c r="A33" s="358"/>
      <c r="B33" s="373" t="s">
        <v>108</v>
      </c>
      <c r="C33" s="374" t="s">
        <v>13</v>
      </c>
      <c r="D33" s="357" t="s">
        <v>90</v>
      </c>
      <c r="E33" s="357" t="s">
        <v>105</v>
      </c>
      <c r="F33" s="375" t="s">
        <v>94</v>
      </c>
      <c r="G33" s="376" t="s">
        <v>98</v>
      </c>
      <c r="H33" s="376" t="s">
        <v>92</v>
      </c>
      <c r="I33" s="913" t="s">
        <v>370</v>
      </c>
      <c r="J33" s="357" t="s">
        <v>109</v>
      </c>
      <c r="K33" s="377">
        <v>66</v>
      </c>
      <c r="L33" s="252">
        <f>M33-K33</f>
        <v>0</v>
      </c>
      <c r="M33" s="377">
        <v>66</v>
      </c>
    </row>
    <row r="34" spans="1:13" s="378" customFormat="1" ht="225" x14ac:dyDescent="0.3">
      <c r="A34" s="358"/>
      <c r="B34" s="373" t="s">
        <v>812</v>
      </c>
      <c r="C34" s="374" t="s">
        <v>13</v>
      </c>
      <c r="D34" s="357" t="s">
        <v>90</v>
      </c>
      <c r="E34" s="357" t="s">
        <v>105</v>
      </c>
      <c r="F34" s="375" t="s">
        <v>94</v>
      </c>
      <c r="G34" s="376" t="s">
        <v>98</v>
      </c>
      <c r="H34" s="376" t="s">
        <v>92</v>
      </c>
      <c r="I34" s="913" t="s">
        <v>112</v>
      </c>
      <c r="J34" s="357"/>
      <c r="K34" s="377">
        <f>K35</f>
        <v>617.1</v>
      </c>
      <c r="L34" s="377">
        <f>L35</f>
        <v>0</v>
      </c>
      <c r="M34" s="377">
        <f>M35</f>
        <v>617.1</v>
      </c>
    </row>
    <row r="35" spans="1:13" s="378" customFormat="1" ht="112.5" x14ac:dyDescent="0.3">
      <c r="A35" s="358"/>
      <c r="B35" s="373" t="s">
        <v>102</v>
      </c>
      <c r="C35" s="374" t="s">
        <v>13</v>
      </c>
      <c r="D35" s="357" t="s">
        <v>90</v>
      </c>
      <c r="E35" s="357" t="s">
        <v>105</v>
      </c>
      <c r="F35" s="375" t="s">
        <v>94</v>
      </c>
      <c r="G35" s="376" t="s">
        <v>98</v>
      </c>
      <c r="H35" s="376" t="s">
        <v>92</v>
      </c>
      <c r="I35" s="913" t="s">
        <v>112</v>
      </c>
      <c r="J35" s="357" t="s">
        <v>103</v>
      </c>
      <c r="K35" s="377">
        <v>617.1</v>
      </c>
      <c r="L35" s="252">
        <f>M35-K35</f>
        <v>0</v>
      </c>
      <c r="M35" s="377">
        <v>617.1</v>
      </c>
    </row>
    <row r="36" spans="1:13" s="378" customFormat="1" ht="75" x14ac:dyDescent="0.3">
      <c r="A36" s="358"/>
      <c r="B36" s="373" t="s">
        <v>113</v>
      </c>
      <c r="C36" s="374" t="s">
        <v>13</v>
      </c>
      <c r="D36" s="357" t="s">
        <v>90</v>
      </c>
      <c r="E36" s="357" t="s">
        <v>105</v>
      </c>
      <c r="F36" s="375" t="s">
        <v>94</v>
      </c>
      <c r="G36" s="376" t="s">
        <v>98</v>
      </c>
      <c r="H36" s="376" t="s">
        <v>92</v>
      </c>
      <c r="I36" s="913" t="s">
        <v>114</v>
      </c>
      <c r="J36" s="357"/>
      <c r="K36" s="377">
        <f>SUM(K37:K38)</f>
        <v>2498.7000000000003</v>
      </c>
      <c r="L36" s="377">
        <f>SUM(L37:L38)</f>
        <v>0</v>
      </c>
      <c r="M36" s="377">
        <f>SUM(M37:M38)</f>
        <v>2498.7000000000003</v>
      </c>
    </row>
    <row r="37" spans="1:13" s="378" customFormat="1" ht="112.5" x14ac:dyDescent="0.3">
      <c r="A37" s="358"/>
      <c r="B37" s="373" t="s">
        <v>102</v>
      </c>
      <c r="C37" s="374" t="s">
        <v>13</v>
      </c>
      <c r="D37" s="357" t="s">
        <v>90</v>
      </c>
      <c r="E37" s="357" t="s">
        <v>105</v>
      </c>
      <c r="F37" s="375" t="s">
        <v>94</v>
      </c>
      <c r="G37" s="376" t="s">
        <v>98</v>
      </c>
      <c r="H37" s="376" t="s">
        <v>92</v>
      </c>
      <c r="I37" s="913" t="s">
        <v>114</v>
      </c>
      <c r="J37" s="357" t="s">
        <v>103</v>
      </c>
      <c r="K37" s="377">
        <v>2399.8000000000002</v>
      </c>
      <c r="L37" s="252">
        <f t="shared" ref="L37:L38" si="3">M37-K37</f>
        <v>0</v>
      </c>
      <c r="M37" s="377">
        <v>2399.8000000000002</v>
      </c>
    </row>
    <row r="38" spans="1:13" s="378" customFormat="1" ht="56.25" x14ac:dyDescent="0.3">
      <c r="A38" s="358"/>
      <c r="B38" s="373" t="s">
        <v>108</v>
      </c>
      <c r="C38" s="374" t="s">
        <v>13</v>
      </c>
      <c r="D38" s="357" t="s">
        <v>90</v>
      </c>
      <c r="E38" s="357" t="s">
        <v>105</v>
      </c>
      <c r="F38" s="375" t="s">
        <v>94</v>
      </c>
      <c r="G38" s="376" t="s">
        <v>98</v>
      </c>
      <c r="H38" s="376" t="s">
        <v>92</v>
      </c>
      <c r="I38" s="913" t="s">
        <v>114</v>
      </c>
      <c r="J38" s="357" t="s">
        <v>109</v>
      </c>
      <c r="K38" s="591">
        <f>89.9+9</f>
        <v>98.9</v>
      </c>
      <c r="L38" s="252">
        <f t="shared" si="3"/>
        <v>0</v>
      </c>
      <c r="M38" s="591">
        <f>89.9+9</f>
        <v>98.9</v>
      </c>
    </row>
    <row r="39" spans="1:13" s="378" customFormat="1" ht="75" x14ac:dyDescent="0.3">
      <c r="A39" s="358"/>
      <c r="B39" s="373" t="s">
        <v>115</v>
      </c>
      <c r="C39" s="374" t="s">
        <v>13</v>
      </c>
      <c r="D39" s="357" t="s">
        <v>90</v>
      </c>
      <c r="E39" s="357" t="s">
        <v>105</v>
      </c>
      <c r="F39" s="375" t="s">
        <v>94</v>
      </c>
      <c r="G39" s="376" t="s">
        <v>98</v>
      </c>
      <c r="H39" s="376" t="s">
        <v>92</v>
      </c>
      <c r="I39" s="913" t="s">
        <v>116</v>
      </c>
      <c r="J39" s="357"/>
      <c r="K39" s="377">
        <f>K40</f>
        <v>617.29999999999995</v>
      </c>
      <c r="L39" s="377">
        <f>L40</f>
        <v>0</v>
      </c>
      <c r="M39" s="377">
        <f>M40</f>
        <v>617.29999999999995</v>
      </c>
    </row>
    <row r="40" spans="1:13" s="378" customFormat="1" ht="112.5" x14ac:dyDescent="0.3">
      <c r="A40" s="358"/>
      <c r="B40" s="373" t="s">
        <v>102</v>
      </c>
      <c r="C40" s="374" t="s">
        <v>13</v>
      </c>
      <c r="D40" s="357" t="s">
        <v>90</v>
      </c>
      <c r="E40" s="357" t="s">
        <v>105</v>
      </c>
      <c r="F40" s="375" t="s">
        <v>94</v>
      </c>
      <c r="G40" s="376" t="s">
        <v>98</v>
      </c>
      <c r="H40" s="376" t="s">
        <v>92</v>
      </c>
      <c r="I40" s="913" t="s">
        <v>116</v>
      </c>
      <c r="J40" s="357" t="s">
        <v>103</v>
      </c>
      <c r="K40" s="377">
        <v>617.29999999999995</v>
      </c>
      <c r="L40" s="252">
        <f>M40-K40</f>
        <v>0</v>
      </c>
      <c r="M40" s="377">
        <v>617.29999999999995</v>
      </c>
    </row>
    <row r="41" spans="1:13" s="378" customFormat="1" ht="206.25" x14ac:dyDescent="0.3">
      <c r="A41" s="358"/>
      <c r="B41" s="373" t="s">
        <v>584</v>
      </c>
      <c r="C41" s="374" t="s">
        <v>13</v>
      </c>
      <c r="D41" s="357" t="s">
        <v>90</v>
      </c>
      <c r="E41" s="357" t="s">
        <v>105</v>
      </c>
      <c r="F41" s="375" t="s">
        <v>94</v>
      </c>
      <c r="G41" s="376" t="s">
        <v>98</v>
      </c>
      <c r="H41" s="376" t="s">
        <v>92</v>
      </c>
      <c r="I41" s="913" t="s">
        <v>583</v>
      </c>
      <c r="J41" s="357"/>
      <c r="K41" s="377">
        <f>K42</f>
        <v>66</v>
      </c>
      <c r="L41" s="377">
        <f>L42</f>
        <v>0</v>
      </c>
      <c r="M41" s="377">
        <f>M42</f>
        <v>66</v>
      </c>
    </row>
    <row r="42" spans="1:13" s="378" customFormat="1" ht="56.25" x14ac:dyDescent="0.3">
      <c r="A42" s="358"/>
      <c r="B42" s="373" t="s">
        <v>108</v>
      </c>
      <c r="C42" s="374" t="s">
        <v>13</v>
      </c>
      <c r="D42" s="357" t="s">
        <v>90</v>
      </c>
      <c r="E42" s="357" t="s">
        <v>105</v>
      </c>
      <c r="F42" s="375" t="s">
        <v>94</v>
      </c>
      <c r="G42" s="376" t="s">
        <v>98</v>
      </c>
      <c r="H42" s="376" t="s">
        <v>92</v>
      </c>
      <c r="I42" s="913" t="s">
        <v>583</v>
      </c>
      <c r="J42" s="357" t="s">
        <v>109</v>
      </c>
      <c r="K42" s="377">
        <v>66</v>
      </c>
      <c r="L42" s="252">
        <f>M42-K42</f>
        <v>0</v>
      </c>
      <c r="M42" s="377">
        <v>66</v>
      </c>
    </row>
    <row r="43" spans="1:13" s="354" customFormat="1" ht="18.75" x14ac:dyDescent="0.3">
      <c r="A43" s="358"/>
      <c r="B43" s="373" t="s">
        <v>118</v>
      </c>
      <c r="C43" s="374" t="s">
        <v>13</v>
      </c>
      <c r="D43" s="357" t="s">
        <v>90</v>
      </c>
      <c r="E43" s="357" t="s">
        <v>105</v>
      </c>
      <c r="F43" s="375" t="s">
        <v>94</v>
      </c>
      <c r="G43" s="376" t="s">
        <v>98</v>
      </c>
      <c r="H43" s="376" t="s">
        <v>119</v>
      </c>
      <c r="I43" s="913" t="s">
        <v>97</v>
      </c>
      <c r="J43" s="357"/>
      <c r="K43" s="377">
        <f t="shared" ref="K43:M44" si="4">K44</f>
        <v>41.6</v>
      </c>
      <c r="L43" s="377">
        <f t="shared" si="4"/>
        <v>0</v>
      </c>
      <c r="M43" s="377">
        <f t="shared" si="4"/>
        <v>41.6</v>
      </c>
    </row>
    <row r="44" spans="1:13" s="379" customFormat="1" ht="37.5" x14ac:dyDescent="0.3">
      <c r="A44" s="358"/>
      <c r="B44" s="373" t="s">
        <v>100</v>
      </c>
      <c r="C44" s="374" t="s">
        <v>13</v>
      </c>
      <c r="D44" s="357" t="s">
        <v>90</v>
      </c>
      <c r="E44" s="357" t="s">
        <v>105</v>
      </c>
      <c r="F44" s="375" t="s">
        <v>94</v>
      </c>
      <c r="G44" s="376" t="s">
        <v>98</v>
      </c>
      <c r="H44" s="376" t="s">
        <v>119</v>
      </c>
      <c r="I44" s="913" t="s">
        <v>101</v>
      </c>
      <c r="J44" s="357"/>
      <c r="K44" s="377">
        <f t="shared" si="4"/>
        <v>41.6</v>
      </c>
      <c r="L44" s="377">
        <f t="shared" si="4"/>
        <v>0</v>
      </c>
      <c r="M44" s="377">
        <f t="shared" si="4"/>
        <v>41.6</v>
      </c>
    </row>
    <row r="45" spans="1:13" s="354" customFormat="1" ht="56.25" x14ac:dyDescent="0.3">
      <c r="A45" s="358"/>
      <c r="B45" s="373" t="s">
        <v>108</v>
      </c>
      <c r="C45" s="374" t="s">
        <v>13</v>
      </c>
      <c r="D45" s="357" t="s">
        <v>90</v>
      </c>
      <c r="E45" s="357" t="s">
        <v>105</v>
      </c>
      <c r="F45" s="375" t="s">
        <v>94</v>
      </c>
      <c r="G45" s="376" t="s">
        <v>98</v>
      </c>
      <c r="H45" s="376" t="s">
        <v>119</v>
      </c>
      <c r="I45" s="913" t="s">
        <v>101</v>
      </c>
      <c r="J45" s="357" t="s">
        <v>109</v>
      </c>
      <c r="K45" s="252">
        <v>41.6</v>
      </c>
      <c r="L45" s="252">
        <f>M45-K45</f>
        <v>0</v>
      </c>
      <c r="M45" s="252">
        <v>41.6</v>
      </c>
    </row>
    <row r="46" spans="1:13" s="354" customFormat="1" ht="18.75" x14ac:dyDescent="0.3">
      <c r="A46" s="358"/>
      <c r="B46" s="373" t="s">
        <v>634</v>
      </c>
      <c r="C46" s="374" t="s">
        <v>13</v>
      </c>
      <c r="D46" s="357" t="s">
        <v>90</v>
      </c>
      <c r="E46" s="357" t="s">
        <v>121</v>
      </c>
      <c r="F46" s="375"/>
      <c r="G46" s="376"/>
      <c r="H46" s="376"/>
      <c r="I46" s="913"/>
      <c r="J46" s="357"/>
      <c r="K46" s="377">
        <f t="shared" ref="K46:M50" si="5">K47</f>
        <v>10.4</v>
      </c>
      <c r="L46" s="377">
        <f t="shared" si="5"/>
        <v>0</v>
      </c>
      <c r="M46" s="377">
        <f t="shared" si="5"/>
        <v>10.4</v>
      </c>
    </row>
    <row r="47" spans="1:13" s="354" customFormat="1" ht="56.25" x14ac:dyDescent="0.3">
      <c r="A47" s="358"/>
      <c r="B47" s="373" t="s">
        <v>106</v>
      </c>
      <c r="C47" s="374" t="s">
        <v>13</v>
      </c>
      <c r="D47" s="357" t="s">
        <v>90</v>
      </c>
      <c r="E47" s="357" t="s">
        <v>121</v>
      </c>
      <c r="F47" s="375" t="s">
        <v>94</v>
      </c>
      <c r="G47" s="376" t="s">
        <v>95</v>
      </c>
      <c r="H47" s="376" t="s">
        <v>96</v>
      </c>
      <c r="I47" s="913" t="s">
        <v>97</v>
      </c>
      <c r="J47" s="357"/>
      <c r="K47" s="377">
        <f t="shared" si="5"/>
        <v>10.4</v>
      </c>
      <c r="L47" s="377">
        <f t="shared" si="5"/>
        <v>0</v>
      </c>
      <c r="M47" s="377">
        <f t="shared" si="5"/>
        <v>10.4</v>
      </c>
    </row>
    <row r="48" spans="1:13" s="354" customFormat="1" ht="37.5" x14ac:dyDescent="0.3">
      <c r="A48" s="358"/>
      <c r="B48" s="373" t="s">
        <v>491</v>
      </c>
      <c r="C48" s="374" t="s">
        <v>13</v>
      </c>
      <c r="D48" s="357" t="s">
        <v>90</v>
      </c>
      <c r="E48" s="357" t="s">
        <v>121</v>
      </c>
      <c r="F48" s="375" t="s">
        <v>94</v>
      </c>
      <c r="G48" s="376" t="s">
        <v>98</v>
      </c>
      <c r="H48" s="376" t="s">
        <v>96</v>
      </c>
      <c r="I48" s="913" t="s">
        <v>97</v>
      </c>
      <c r="J48" s="357"/>
      <c r="K48" s="377">
        <f t="shared" si="5"/>
        <v>10.4</v>
      </c>
      <c r="L48" s="377">
        <f t="shared" si="5"/>
        <v>0</v>
      </c>
      <c r="M48" s="377">
        <f t="shared" si="5"/>
        <v>10.4</v>
      </c>
    </row>
    <row r="49" spans="1:13" s="354" customFormat="1" ht="37.5" x14ac:dyDescent="0.3">
      <c r="A49" s="358"/>
      <c r="B49" s="373" t="s">
        <v>107</v>
      </c>
      <c r="C49" s="374" t="s">
        <v>13</v>
      </c>
      <c r="D49" s="357" t="s">
        <v>90</v>
      </c>
      <c r="E49" s="357" t="s">
        <v>121</v>
      </c>
      <c r="F49" s="375" t="s">
        <v>94</v>
      </c>
      <c r="G49" s="376" t="s">
        <v>98</v>
      </c>
      <c r="H49" s="376" t="s">
        <v>92</v>
      </c>
      <c r="I49" s="913" t="s">
        <v>97</v>
      </c>
      <c r="J49" s="357"/>
      <c r="K49" s="377">
        <f t="shared" si="5"/>
        <v>10.4</v>
      </c>
      <c r="L49" s="377">
        <f t="shared" si="5"/>
        <v>0</v>
      </c>
      <c r="M49" s="377">
        <f t="shared" si="5"/>
        <v>10.4</v>
      </c>
    </row>
    <row r="50" spans="1:13" s="354" customFormat="1" ht="93.75" x14ac:dyDescent="0.3">
      <c r="A50" s="358"/>
      <c r="B50" s="373" t="s">
        <v>636</v>
      </c>
      <c r="C50" s="374" t="s">
        <v>13</v>
      </c>
      <c r="D50" s="357" t="s">
        <v>90</v>
      </c>
      <c r="E50" s="357" t="s">
        <v>121</v>
      </c>
      <c r="F50" s="375" t="s">
        <v>94</v>
      </c>
      <c r="G50" s="376" t="s">
        <v>98</v>
      </c>
      <c r="H50" s="376" t="s">
        <v>92</v>
      </c>
      <c r="I50" s="913" t="s">
        <v>635</v>
      </c>
      <c r="J50" s="357"/>
      <c r="K50" s="377">
        <f t="shared" si="5"/>
        <v>10.4</v>
      </c>
      <c r="L50" s="377">
        <f t="shared" si="5"/>
        <v>0</v>
      </c>
      <c r="M50" s="377">
        <f t="shared" si="5"/>
        <v>10.4</v>
      </c>
    </row>
    <row r="51" spans="1:13" s="354" customFormat="1" ht="56.25" x14ac:dyDescent="0.3">
      <c r="A51" s="358"/>
      <c r="B51" s="373" t="s">
        <v>108</v>
      </c>
      <c r="C51" s="374" t="s">
        <v>13</v>
      </c>
      <c r="D51" s="357" t="s">
        <v>90</v>
      </c>
      <c r="E51" s="357" t="s">
        <v>121</v>
      </c>
      <c r="F51" s="375" t="s">
        <v>94</v>
      </c>
      <c r="G51" s="376" t="s">
        <v>98</v>
      </c>
      <c r="H51" s="376" t="s">
        <v>92</v>
      </c>
      <c r="I51" s="913" t="s">
        <v>635</v>
      </c>
      <c r="J51" s="357" t="s">
        <v>109</v>
      </c>
      <c r="K51" s="591">
        <f>5.9+4.5</f>
        <v>10.4</v>
      </c>
      <c r="L51" s="252">
        <f>M51-K51</f>
        <v>0</v>
      </c>
      <c r="M51" s="591">
        <f>5.9+4.5</f>
        <v>10.4</v>
      </c>
    </row>
    <row r="52" spans="1:13" s="379" customFormat="1" ht="18.75" x14ac:dyDescent="0.3">
      <c r="A52" s="358"/>
      <c r="B52" s="373" t="s">
        <v>122</v>
      </c>
      <c r="C52" s="374" t="s">
        <v>13</v>
      </c>
      <c r="D52" s="357" t="s">
        <v>90</v>
      </c>
      <c r="E52" s="357" t="s">
        <v>123</v>
      </c>
      <c r="F52" s="375"/>
      <c r="G52" s="376"/>
      <c r="H52" s="376"/>
      <c r="I52" s="913"/>
      <c r="J52" s="357"/>
      <c r="K52" s="377">
        <f t="shared" ref="K52:M56" si="6">K53</f>
        <v>3000</v>
      </c>
      <c r="L52" s="377">
        <f t="shared" si="6"/>
        <v>0</v>
      </c>
      <c r="M52" s="377">
        <f t="shared" si="6"/>
        <v>3000</v>
      </c>
    </row>
    <row r="53" spans="1:13" s="379" customFormat="1" ht="37.5" x14ac:dyDescent="0.3">
      <c r="A53" s="358"/>
      <c r="B53" s="373" t="s">
        <v>124</v>
      </c>
      <c r="C53" s="374" t="s">
        <v>13</v>
      </c>
      <c r="D53" s="357" t="s">
        <v>90</v>
      </c>
      <c r="E53" s="357" t="s">
        <v>123</v>
      </c>
      <c r="F53" s="375" t="s">
        <v>125</v>
      </c>
      <c r="G53" s="376" t="s">
        <v>95</v>
      </c>
      <c r="H53" s="376" t="s">
        <v>96</v>
      </c>
      <c r="I53" s="913" t="s">
        <v>97</v>
      </c>
      <c r="J53" s="357"/>
      <c r="K53" s="377">
        <f t="shared" si="6"/>
        <v>3000</v>
      </c>
      <c r="L53" s="377">
        <f t="shared" si="6"/>
        <v>0</v>
      </c>
      <c r="M53" s="377">
        <f t="shared" si="6"/>
        <v>3000</v>
      </c>
    </row>
    <row r="54" spans="1:13" s="379" customFormat="1" ht="37.5" x14ac:dyDescent="0.3">
      <c r="A54" s="358"/>
      <c r="B54" s="380" t="s">
        <v>126</v>
      </c>
      <c r="C54" s="374" t="s">
        <v>13</v>
      </c>
      <c r="D54" s="357" t="s">
        <v>90</v>
      </c>
      <c r="E54" s="357" t="s">
        <v>123</v>
      </c>
      <c r="F54" s="375" t="s">
        <v>125</v>
      </c>
      <c r="G54" s="376" t="s">
        <v>98</v>
      </c>
      <c r="H54" s="376" t="s">
        <v>96</v>
      </c>
      <c r="I54" s="913" t="s">
        <v>97</v>
      </c>
      <c r="J54" s="357"/>
      <c r="K54" s="377">
        <f t="shared" si="6"/>
        <v>3000</v>
      </c>
      <c r="L54" s="377">
        <f t="shared" si="6"/>
        <v>0</v>
      </c>
      <c r="M54" s="377">
        <f t="shared" si="6"/>
        <v>3000</v>
      </c>
    </row>
    <row r="55" spans="1:13" s="379" customFormat="1" ht="18.75" x14ac:dyDescent="0.3">
      <c r="A55" s="358"/>
      <c r="B55" s="373" t="s">
        <v>122</v>
      </c>
      <c r="C55" s="374" t="s">
        <v>13</v>
      </c>
      <c r="D55" s="357" t="s">
        <v>90</v>
      </c>
      <c r="E55" s="357" t="s">
        <v>123</v>
      </c>
      <c r="F55" s="375" t="s">
        <v>125</v>
      </c>
      <c r="G55" s="376" t="s">
        <v>98</v>
      </c>
      <c r="H55" s="376" t="s">
        <v>90</v>
      </c>
      <c r="I55" s="913" t="s">
        <v>97</v>
      </c>
      <c r="J55" s="357"/>
      <c r="K55" s="377">
        <f t="shared" si="6"/>
        <v>3000</v>
      </c>
      <c r="L55" s="377">
        <f t="shared" si="6"/>
        <v>0</v>
      </c>
      <c r="M55" s="377">
        <f t="shared" si="6"/>
        <v>3000</v>
      </c>
    </row>
    <row r="56" spans="1:13" s="379" customFormat="1" ht="18.75" x14ac:dyDescent="0.3">
      <c r="A56" s="358"/>
      <c r="B56" s="373" t="s">
        <v>127</v>
      </c>
      <c r="C56" s="374" t="s">
        <v>13</v>
      </c>
      <c r="D56" s="357" t="s">
        <v>90</v>
      </c>
      <c r="E56" s="357" t="s">
        <v>123</v>
      </c>
      <c r="F56" s="375" t="s">
        <v>125</v>
      </c>
      <c r="G56" s="376" t="s">
        <v>98</v>
      </c>
      <c r="H56" s="376" t="s">
        <v>90</v>
      </c>
      <c r="I56" s="913" t="s">
        <v>128</v>
      </c>
      <c r="J56" s="357"/>
      <c r="K56" s="377">
        <f t="shared" si="6"/>
        <v>3000</v>
      </c>
      <c r="L56" s="377">
        <f t="shared" si="6"/>
        <v>0</v>
      </c>
      <c r="M56" s="377">
        <f t="shared" si="6"/>
        <v>3000</v>
      </c>
    </row>
    <row r="57" spans="1:13" s="379" customFormat="1" ht="18.75" x14ac:dyDescent="0.3">
      <c r="A57" s="358"/>
      <c r="B57" s="373" t="s">
        <v>110</v>
      </c>
      <c r="C57" s="374" t="s">
        <v>13</v>
      </c>
      <c r="D57" s="357" t="s">
        <v>90</v>
      </c>
      <c r="E57" s="357" t="s">
        <v>123</v>
      </c>
      <c r="F57" s="375" t="s">
        <v>125</v>
      </c>
      <c r="G57" s="376" t="s">
        <v>98</v>
      </c>
      <c r="H57" s="376" t="s">
        <v>90</v>
      </c>
      <c r="I57" s="913" t="s">
        <v>128</v>
      </c>
      <c r="J57" s="357" t="s">
        <v>111</v>
      </c>
      <c r="K57" s="252">
        <v>3000</v>
      </c>
      <c r="L57" s="252">
        <f>M57-K57</f>
        <v>0</v>
      </c>
      <c r="M57" s="252">
        <v>3000</v>
      </c>
    </row>
    <row r="58" spans="1:13" s="379" customFormat="1" ht="18.75" x14ac:dyDescent="0.3">
      <c r="A58" s="358"/>
      <c r="B58" s="373" t="s">
        <v>129</v>
      </c>
      <c r="C58" s="374" t="s">
        <v>13</v>
      </c>
      <c r="D58" s="357" t="s">
        <v>90</v>
      </c>
      <c r="E58" s="357" t="s">
        <v>130</v>
      </c>
      <c r="F58" s="375"/>
      <c r="G58" s="376"/>
      <c r="H58" s="376"/>
      <c r="I58" s="913"/>
      <c r="J58" s="357"/>
      <c r="K58" s="377">
        <f t="shared" ref="K58" si="7">K64+K59</f>
        <v>2476.1000000000004</v>
      </c>
      <c r="L58" s="377">
        <f t="shared" ref="L58:M58" si="8">L64+L59</f>
        <v>721.69999999999993</v>
      </c>
      <c r="M58" s="377">
        <f t="shared" si="8"/>
        <v>3197.8000000000006</v>
      </c>
    </row>
    <row r="59" spans="1:13" s="379" customFormat="1" ht="75" x14ac:dyDescent="0.3">
      <c r="A59" s="358"/>
      <c r="B59" s="373" t="s">
        <v>131</v>
      </c>
      <c r="C59" s="374" t="s">
        <v>13</v>
      </c>
      <c r="D59" s="357" t="s">
        <v>90</v>
      </c>
      <c r="E59" s="357" t="s">
        <v>130</v>
      </c>
      <c r="F59" s="375" t="s">
        <v>132</v>
      </c>
      <c r="G59" s="376" t="s">
        <v>95</v>
      </c>
      <c r="H59" s="376" t="s">
        <v>96</v>
      </c>
      <c r="I59" s="913" t="s">
        <v>97</v>
      </c>
      <c r="J59" s="357"/>
      <c r="K59" s="377">
        <f t="shared" ref="K59:M62" si="9">K60</f>
        <v>189.8</v>
      </c>
      <c r="L59" s="377">
        <f t="shared" si="9"/>
        <v>0</v>
      </c>
      <c r="M59" s="377">
        <f t="shared" si="9"/>
        <v>189.8</v>
      </c>
    </row>
    <row r="60" spans="1:13" s="379" customFormat="1" ht="37.5" x14ac:dyDescent="0.3">
      <c r="A60" s="358"/>
      <c r="B60" s="373" t="s">
        <v>491</v>
      </c>
      <c r="C60" s="374" t="s">
        <v>13</v>
      </c>
      <c r="D60" s="357" t="s">
        <v>90</v>
      </c>
      <c r="E60" s="357" t="s">
        <v>130</v>
      </c>
      <c r="F60" s="375" t="s">
        <v>132</v>
      </c>
      <c r="G60" s="376" t="s">
        <v>98</v>
      </c>
      <c r="H60" s="376" t="s">
        <v>96</v>
      </c>
      <c r="I60" s="913" t="s">
        <v>97</v>
      </c>
      <c r="J60" s="357"/>
      <c r="K60" s="377">
        <f t="shared" si="9"/>
        <v>189.8</v>
      </c>
      <c r="L60" s="377">
        <f t="shared" si="9"/>
        <v>0</v>
      </c>
      <c r="M60" s="377">
        <f t="shared" si="9"/>
        <v>189.8</v>
      </c>
    </row>
    <row r="61" spans="1:13" s="379" customFormat="1" ht="56.25" x14ac:dyDescent="0.3">
      <c r="A61" s="358"/>
      <c r="B61" s="380" t="s">
        <v>371</v>
      </c>
      <c r="C61" s="374" t="s">
        <v>13</v>
      </c>
      <c r="D61" s="357" t="s">
        <v>90</v>
      </c>
      <c r="E61" s="357" t="s">
        <v>130</v>
      </c>
      <c r="F61" s="375" t="s">
        <v>132</v>
      </c>
      <c r="G61" s="376" t="s">
        <v>98</v>
      </c>
      <c r="H61" s="376" t="s">
        <v>90</v>
      </c>
      <c r="I61" s="913" t="s">
        <v>97</v>
      </c>
      <c r="J61" s="357"/>
      <c r="K61" s="377">
        <f t="shared" si="9"/>
        <v>189.8</v>
      </c>
      <c r="L61" s="377">
        <f t="shared" si="9"/>
        <v>0</v>
      </c>
      <c r="M61" s="377">
        <f t="shared" si="9"/>
        <v>189.8</v>
      </c>
    </row>
    <row r="62" spans="1:13" s="379" customFormat="1" ht="56.25" x14ac:dyDescent="0.3">
      <c r="A62" s="358"/>
      <c r="B62" s="380" t="s">
        <v>133</v>
      </c>
      <c r="C62" s="374" t="s">
        <v>13</v>
      </c>
      <c r="D62" s="357" t="s">
        <v>90</v>
      </c>
      <c r="E62" s="357" t="s">
        <v>130</v>
      </c>
      <c r="F62" s="375" t="s">
        <v>132</v>
      </c>
      <c r="G62" s="376" t="s">
        <v>98</v>
      </c>
      <c r="H62" s="376" t="s">
        <v>90</v>
      </c>
      <c r="I62" s="913" t="s">
        <v>134</v>
      </c>
      <c r="J62" s="357"/>
      <c r="K62" s="377">
        <f t="shared" si="9"/>
        <v>189.8</v>
      </c>
      <c r="L62" s="377">
        <f t="shared" si="9"/>
        <v>0</v>
      </c>
      <c r="M62" s="377">
        <f t="shared" si="9"/>
        <v>189.8</v>
      </c>
    </row>
    <row r="63" spans="1:13" s="379" customFormat="1" ht="56.25" x14ac:dyDescent="0.3">
      <c r="A63" s="358"/>
      <c r="B63" s="381" t="s">
        <v>135</v>
      </c>
      <c r="C63" s="374" t="s">
        <v>13</v>
      </c>
      <c r="D63" s="357" t="s">
        <v>90</v>
      </c>
      <c r="E63" s="357" t="s">
        <v>130</v>
      </c>
      <c r="F63" s="375" t="s">
        <v>132</v>
      </c>
      <c r="G63" s="376" t="s">
        <v>98</v>
      </c>
      <c r="H63" s="376" t="s">
        <v>90</v>
      </c>
      <c r="I63" s="913" t="s">
        <v>134</v>
      </c>
      <c r="J63" s="357" t="s">
        <v>136</v>
      </c>
      <c r="K63" s="377">
        <v>189.8</v>
      </c>
      <c r="L63" s="252">
        <f>M63-K63</f>
        <v>0</v>
      </c>
      <c r="M63" s="377">
        <v>189.8</v>
      </c>
    </row>
    <row r="64" spans="1:13" s="379" customFormat="1" ht="56.25" x14ac:dyDescent="0.3">
      <c r="A64" s="358"/>
      <c r="B64" s="373" t="s">
        <v>93</v>
      </c>
      <c r="C64" s="374" t="s">
        <v>13</v>
      </c>
      <c r="D64" s="357" t="s">
        <v>90</v>
      </c>
      <c r="E64" s="357" t="s">
        <v>130</v>
      </c>
      <c r="F64" s="375" t="s">
        <v>94</v>
      </c>
      <c r="G64" s="376" t="s">
        <v>95</v>
      </c>
      <c r="H64" s="376" t="s">
        <v>96</v>
      </c>
      <c r="I64" s="913" t="s">
        <v>97</v>
      </c>
      <c r="J64" s="357"/>
      <c r="K64" s="377">
        <f>K65</f>
        <v>2286.3000000000002</v>
      </c>
      <c r="L64" s="377">
        <f>L65</f>
        <v>721.69999999999993</v>
      </c>
      <c r="M64" s="377">
        <f>M65</f>
        <v>3008.0000000000005</v>
      </c>
    </row>
    <row r="65" spans="1:13" s="379" customFormat="1" ht="37.5" x14ac:dyDescent="0.3">
      <c r="A65" s="358"/>
      <c r="B65" s="373" t="s">
        <v>491</v>
      </c>
      <c r="C65" s="374" t="s">
        <v>13</v>
      </c>
      <c r="D65" s="357" t="s">
        <v>90</v>
      </c>
      <c r="E65" s="357" t="s">
        <v>130</v>
      </c>
      <c r="F65" s="375" t="s">
        <v>94</v>
      </c>
      <c r="G65" s="376" t="s">
        <v>98</v>
      </c>
      <c r="H65" s="376" t="s">
        <v>96</v>
      </c>
      <c r="I65" s="913" t="s">
        <v>97</v>
      </c>
      <c r="J65" s="357"/>
      <c r="K65" s="377">
        <f t="shared" ref="K65" si="10">K72+K69+K66</f>
        <v>2286.3000000000002</v>
      </c>
      <c r="L65" s="377">
        <f>L72+L69+L66</f>
        <v>721.69999999999993</v>
      </c>
      <c r="M65" s="377">
        <f>M72+M69+M66</f>
        <v>3008.0000000000005</v>
      </c>
    </row>
    <row r="66" spans="1:13" s="379" customFormat="1" ht="37.5" x14ac:dyDescent="0.3">
      <c r="A66" s="869"/>
      <c r="B66" s="802" t="s">
        <v>107</v>
      </c>
      <c r="C66" s="871" t="s">
        <v>13</v>
      </c>
      <c r="D66" s="872" t="s">
        <v>90</v>
      </c>
      <c r="E66" s="872" t="s">
        <v>130</v>
      </c>
      <c r="F66" s="873" t="s">
        <v>94</v>
      </c>
      <c r="G66" s="874" t="s">
        <v>98</v>
      </c>
      <c r="H66" s="874" t="s">
        <v>92</v>
      </c>
      <c r="I66" s="875" t="s">
        <v>97</v>
      </c>
      <c r="J66" s="872"/>
      <c r="K66" s="876"/>
      <c r="L66" s="876">
        <f>L67</f>
        <v>103.9</v>
      </c>
      <c r="M66" s="876">
        <f>M67</f>
        <v>103.9</v>
      </c>
    </row>
    <row r="67" spans="1:13" s="379" customFormat="1" ht="18.75" x14ac:dyDescent="0.3">
      <c r="A67" s="869"/>
      <c r="B67" s="870" t="s">
        <v>823</v>
      </c>
      <c r="C67" s="871" t="s">
        <v>13</v>
      </c>
      <c r="D67" s="872" t="s">
        <v>90</v>
      </c>
      <c r="E67" s="872" t="s">
        <v>130</v>
      </c>
      <c r="F67" s="873" t="s">
        <v>94</v>
      </c>
      <c r="G67" s="874" t="s">
        <v>98</v>
      </c>
      <c r="H67" s="874" t="s">
        <v>92</v>
      </c>
      <c r="I67" s="875" t="s">
        <v>822</v>
      </c>
      <c r="J67" s="872"/>
      <c r="K67" s="876"/>
      <c r="L67" s="876">
        <f>L68</f>
        <v>103.9</v>
      </c>
      <c r="M67" s="876">
        <f>M68</f>
        <v>103.9</v>
      </c>
    </row>
    <row r="68" spans="1:13" s="379" customFormat="1" ht="56.25" x14ac:dyDescent="0.3">
      <c r="A68" s="869"/>
      <c r="B68" s="373" t="s">
        <v>108</v>
      </c>
      <c r="C68" s="871" t="s">
        <v>13</v>
      </c>
      <c r="D68" s="872" t="s">
        <v>90</v>
      </c>
      <c r="E68" s="872" t="s">
        <v>130</v>
      </c>
      <c r="F68" s="873" t="s">
        <v>94</v>
      </c>
      <c r="G68" s="874" t="s">
        <v>98</v>
      </c>
      <c r="H68" s="874" t="s">
        <v>92</v>
      </c>
      <c r="I68" s="875" t="s">
        <v>822</v>
      </c>
      <c r="J68" s="872" t="s">
        <v>109</v>
      </c>
      <c r="K68" s="876"/>
      <c r="L68" s="252">
        <f>M68-K68</f>
        <v>103.9</v>
      </c>
      <c r="M68" s="876">
        <v>103.9</v>
      </c>
    </row>
    <row r="69" spans="1:13" s="379" customFormat="1" ht="18.75" x14ac:dyDescent="0.3">
      <c r="A69" s="358"/>
      <c r="B69" s="373" t="s">
        <v>118</v>
      </c>
      <c r="C69" s="374" t="s">
        <v>13</v>
      </c>
      <c r="D69" s="357" t="s">
        <v>90</v>
      </c>
      <c r="E69" s="357" t="s">
        <v>130</v>
      </c>
      <c r="F69" s="375" t="s">
        <v>94</v>
      </c>
      <c r="G69" s="376" t="s">
        <v>98</v>
      </c>
      <c r="H69" s="376" t="s">
        <v>119</v>
      </c>
      <c r="I69" s="913" t="s">
        <v>97</v>
      </c>
      <c r="J69" s="357"/>
      <c r="K69" s="377">
        <f t="shared" ref="K69:M70" si="11">K70</f>
        <v>551.20000000000005</v>
      </c>
      <c r="L69" s="377">
        <f t="shared" si="11"/>
        <v>250</v>
      </c>
      <c r="M69" s="377">
        <f t="shared" si="11"/>
        <v>801.2</v>
      </c>
    </row>
    <row r="70" spans="1:13" s="379" customFormat="1" ht="75" x14ac:dyDescent="0.3">
      <c r="A70" s="358"/>
      <c r="B70" s="373" t="s">
        <v>616</v>
      </c>
      <c r="C70" s="374" t="s">
        <v>13</v>
      </c>
      <c r="D70" s="357" t="s">
        <v>90</v>
      </c>
      <c r="E70" s="357" t="s">
        <v>130</v>
      </c>
      <c r="F70" s="375" t="s">
        <v>94</v>
      </c>
      <c r="G70" s="376" t="s">
        <v>98</v>
      </c>
      <c r="H70" s="376" t="s">
        <v>119</v>
      </c>
      <c r="I70" s="913" t="s">
        <v>615</v>
      </c>
      <c r="J70" s="357"/>
      <c r="K70" s="377">
        <f t="shared" si="11"/>
        <v>551.20000000000005</v>
      </c>
      <c r="L70" s="377">
        <f t="shared" si="11"/>
        <v>250</v>
      </c>
      <c r="M70" s="377">
        <f t="shared" si="11"/>
        <v>801.2</v>
      </c>
    </row>
    <row r="71" spans="1:13" s="379" customFormat="1" ht="56.25" x14ac:dyDescent="0.3">
      <c r="A71" s="358"/>
      <c r="B71" s="373" t="s">
        <v>108</v>
      </c>
      <c r="C71" s="374" t="s">
        <v>13</v>
      </c>
      <c r="D71" s="357" t="s">
        <v>90</v>
      </c>
      <c r="E71" s="357" t="s">
        <v>130</v>
      </c>
      <c r="F71" s="375" t="s">
        <v>94</v>
      </c>
      <c r="G71" s="376" t="s">
        <v>98</v>
      </c>
      <c r="H71" s="376" t="s">
        <v>119</v>
      </c>
      <c r="I71" s="913" t="s">
        <v>615</v>
      </c>
      <c r="J71" s="357" t="s">
        <v>109</v>
      </c>
      <c r="K71" s="377">
        <v>551.20000000000005</v>
      </c>
      <c r="L71" s="252">
        <f>M71-K71</f>
        <v>250</v>
      </c>
      <c r="M71" s="377">
        <f>551.2+250</f>
        <v>801.2</v>
      </c>
    </row>
    <row r="72" spans="1:13" s="379" customFormat="1" ht="18.75" x14ac:dyDescent="0.3">
      <c r="A72" s="358"/>
      <c r="B72" s="373" t="s">
        <v>120</v>
      </c>
      <c r="C72" s="374" t="s">
        <v>13</v>
      </c>
      <c r="D72" s="357" t="s">
        <v>90</v>
      </c>
      <c r="E72" s="357" t="s">
        <v>130</v>
      </c>
      <c r="F72" s="375" t="s">
        <v>94</v>
      </c>
      <c r="G72" s="376" t="s">
        <v>98</v>
      </c>
      <c r="H72" s="376" t="s">
        <v>105</v>
      </c>
      <c r="I72" s="913" t="s">
        <v>97</v>
      </c>
      <c r="J72" s="357"/>
      <c r="K72" s="377">
        <f>K73+K75</f>
        <v>1735.1</v>
      </c>
      <c r="L72" s="377">
        <f>L73+L75</f>
        <v>367.79999999999995</v>
      </c>
      <c r="M72" s="377">
        <f>M73+M75</f>
        <v>2102.9</v>
      </c>
    </row>
    <row r="73" spans="1:13" s="379" customFormat="1" ht="75" x14ac:dyDescent="0.3">
      <c r="A73" s="358"/>
      <c r="B73" s="382" t="s">
        <v>522</v>
      </c>
      <c r="C73" s="374" t="s">
        <v>13</v>
      </c>
      <c r="D73" s="357" t="s">
        <v>90</v>
      </c>
      <c r="E73" s="357" t="s">
        <v>130</v>
      </c>
      <c r="F73" s="375" t="s">
        <v>94</v>
      </c>
      <c r="G73" s="376" t="s">
        <v>98</v>
      </c>
      <c r="H73" s="376" t="s">
        <v>105</v>
      </c>
      <c r="I73" s="913" t="s">
        <v>168</v>
      </c>
      <c r="J73" s="357"/>
      <c r="K73" s="377">
        <f>K74</f>
        <v>185.3</v>
      </c>
      <c r="L73" s="377">
        <f>L74</f>
        <v>0</v>
      </c>
      <c r="M73" s="377">
        <f>M74</f>
        <v>185.3</v>
      </c>
    </row>
    <row r="74" spans="1:13" s="379" customFormat="1" ht="56.25" x14ac:dyDescent="0.3">
      <c r="A74" s="358"/>
      <c r="B74" s="373" t="s">
        <v>108</v>
      </c>
      <c r="C74" s="374" t="s">
        <v>13</v>
      </c>
      <c r="D74" s="357" t="s">
        <v>90</v>
      </c>
      <c r="E74" s="357" t="s">
        <v>130</v>
      </c>
      <c r="F74" s="375" t="s">
        <v>94</v>
      </c>
      <c r="G74" s="376" t="s">
        <v>98</v>
      </c>
      <c r="H74" s="376" t="s">
        <v>105</v>
      </c>
      <c r="I74" s="913" t="s">
        <v>168</v>
      </c>
      <c r="J74" s="357" t="s">
        <v>109</v>
      </c>
      <c r="K74" s="377">
        <v>185.3</v>
      </c>
      <c r="L74" s="252">
        <f>M74-K74</f>
        <v>0</v>
      </c>
      <c r="M74" s="377">
        <v>185.3</v>
      </c>
    </row>
    <row r="75" spans="1:13" s="379" customFormat="1" ht="56.25" x14ac:dyDescent="0.3">
      <c r="A75" s="358"/>
      <c r="B75" s="373" t="s">
        <v>524</v>
      </c>
      <c r="C75" s="374" t="s">
        <v>13</v>
      </c>
      <c r="D75" s="357" t="s">
        <v>90</v>
      </c>
      <c r="E75" s="357" t="s">
        <v>130</v>
      </c>
      <c r="F75" s="375" t="s">
        <v>94</v>
      </c>
      <c r="G75" s="376" t="s">
        <v>98</v>
      </c>
      <c r="H75" s="376" t="s">
        <v>105</v>
      </c>
      <c r="I75" s="913" t="s">
        <v>523</v>
      </c>
      <c r="J75" s="357"/>
      <c r="K75" s="377">
        <f>K76</f>
        <v>1549.8</v>
      </c>
      <c r="L75" s="377">
        <f>L76</f>
        <v>367.79999999999995</v>
      </c>
      <c r="M75" s="377">
        <f>M76</f>
        <v>1917.6</v>
      </c>
    </row>
    <row r="76" spans="1:13" s="379" customFormat="1" ht="56.25" x14ac:dyDescent="0.3">
      <c r="A76" s="358"/>
      <c r="B76" s="373" t="s">
        <v>108</v>
      </c>
      <c r="C76" s="374" t="s">
        <v>13</v>
      </c>
      <c r="D76" s="357" t="s">
        <v>90</v>
      </c>
      <c r="E76" s="357" t="s">
        <v>130</v>
      </c>
      <c r="F76" s="375" t="s">
        <v>94</v>
      </c>
      <c r="G76" s="376" t="s">
        <v>98</v>
      </c>
      <c r="H76" s="376" t="s">
        <v>105</v>
      </c>
      <c r="I76" s="913" t="s">
        <v>523</v>
      </c>
      <c r="J76" s="357" t="s">
        <v>109</v>
      </c>
      <c r="K76" s="252">
        <v>1549.8</v>
      </c>
      <c r="L76" s="252">
        <f>M76-K76</f>
        <v>367.79999999999995</v>
      </c>
      <c r="M76" s="252">
        <f>1549.8+367.8</f>
        <v>1917.6</v>
      </c>
    </row>
    <row r="77" spans="1:13" s="379" customFormat="1" ht="37.5" x14ac:dyDescent="0.3">
      <c r="A77" s="358"/>
      <c r="B77" s="373" t="s">
        <v>137</v>
      </c>
      <c r="C77" s="374" t="s">
        <v>13</v>
      </c>
      <c r="D77" s="357" t="s">
        <v>119</v>
      </c>
      <c r="E77" s="357"/>
      <c r="F77" s="375"/>
      <c r="G77" s="376"/>
      <c r="H77" s="376"/>
      <c r="I77" s="913"/>
      <c r="J77" s="357"/>
      <c r="K77" s="377">
        <f t="shared" ref="K77" si="12">K78+K90</f>
        <v>10655.8</v>
      </c>
      <c r="L77" s="377">
        <f t="shared" ref="L77:M77" si="13">L78+L90</f>
        <v>1120.9706799999999</v>
      </c>
      <c r="M77" s="377">
        <f t="shared" si="13"/>
        <v>11776.77068</v>
      </c>
    </row>
    <row r="78" spans="1:13" s="379" customFormat="1" ht="75" x14ac:dyDescent="0.3">
      <c r="A78" s="358"/>
      <c r="B78" s="373" t="s">
        <v>138</v>
      </c>
      <c r="C78" s="374" t="s">
        <v>13</v>
      </c>
      <c r="D78" s="357" t="s">
        <v>119</v>
      </c>
      <c r="E78" s="357" t="s">
        <v>139</v>
      </c>
      <c r="F78" s="375"/>
      <c r="G78" s="376"/>
      <c r="H78" s="376"/>
      <c r="I78" s="913"/>
      <c r="J78" s="357"/>
      <c r="K78" s="377">
        <f t="shared" ref="K78:M80" si="14">K79</f>
        <v>3023.2</v>
      </c>
      <c r="L78" s="377">
        <f t="shared" si="14"/>
        <v>1053.6166800000001</v>
      </c>
      <c r="M78" s="377">
        <f t="shared" si="14"/>
        <v>4076.8166799999999</v>
      </c>
    </row>
    <row r="79" spans="1:13" s="379" customFormat="1" ht="56.25" x14ac:dyDescent="0.3">
      <c r="A79" s="358"/>
      <c r="B79" s="373" t="s">
        <v>140</v>
      </c>
      <c r="C79" s="374" t="s">
        <v>13</v>
      </c>
      <c r="D79" s="357" t="s">
        <v>119</v>
      </c>
      <c r="E79" s="357" t="s">
        <v>139</v>
      </c>
      <c r="F79" s="375" t="s">
        <v>141</v>
      </c>
      <c r="G79" s="376" t="s">
        <v>95</v>
      </c>
      <c r="H79" s="376" t="s">
        <v>96</v>
      </c>
      <c r="I79" s="913" t="s">
        <v>97</v>
      </c>
      <c r="J79" s="357"/>
      <c r="K79" s="377">
        <f t="shared" si="14"/>
        <v>3023.2</v>
      </c>
      <c r="L79" s="377">
        <f t="shared" si="14"/>
        <v>1053.6166800000001</v>
      </c>
      <c r="M79" s="377">
        <f t="shared" si="14"/>
        <v>4076.8166799999999</v>
      </c>
    </row>
    <row r="80" spans="1:13" s="379" customFormat="1" ht="75" x14ac:dyDescent="0.3">
      <c r="A80" s="358"/>
      <c r="B80" s="383" t="s">
        <v>142</v>
      </c>
      <c r="C80" s="374" t="s">
        <v>13</v>
      </c>
      <c r="D80" s="357" t="s">
        <v>119</v>
      </c>
      <c r="E80" s="357" t="s">
        <v>139</v>
      </c>
      <c r="F80" s="375" t="s">
        <v>141</v>
      </c>
      <c r="G80" s="376" t="s">
        <v>98</v>
      </c>
      <c r="H80" s="376" t="s">
        <v>96</v>
      </c>
      <c r="I80" s="913" t="s">
        <v>97</v>
      </c>
      <c r="J80" s="357"/>
      <c r="K80" s="377">
        <f t="shared" si="14"/>
        <v>3023.2</v>
      </c>
      <c r="L80" s="377">
        <f t="shared" si="14"/>
        <v>1053.6166800000001</v>
      </c>
      <c r="M80" s="377">
        <f t="shared" si="14"/>
        <v>4076.8166799999999</v>
      </c>
    </row>
    <row r="81" spans="1:13" s="379" customFormat="1" ht="93.75" x14ac:dyDescent="0.3">
      <c r="A81" s="358"/>
      <c r="B81" s="373" t="s">
        <v>143</v>
      </c>
      <c r="C81" s="374" t="s">
        <v>13</v>
      </c>
      <c r="D81" s="357" t="s">
        <v>119</v>
      </c>
      <c r="E81" s="357" t="s">
        <v>139</v>
      </c>
      <c r="F81" s="375" t="s">
        <v>141</v>
      </c>
      <c r="G81" s="376" t="s">
        <v>98</v>
      </c>
      <c r="H81" s="376" t="s">
        <v>90</v>
      </c>
      <c r="I81" s="913" t="s">
        <v>97</v>
      </c>
      <c r="J81" s="357"/>
      <c r="K81" s="377">
        <f>K82+K84+K86+K88</f>
        <v>3023.2</v>
      </c>
      <c r="L81" s="377">
        <f>L82+L84+L86+L88</f>
        <v>1053.6166800000001</v>
      </c>
      <c r="M81" s="377">
        <f>M82+M84+M86+M88</f>
        <v>4076.8166799999999</v>
      </c>
    </row>
    <row r="82" spans="1:13" s="379" customFormat="1" ht="93.75" x14ac:dyDescent="0.3">
      <c r="A82" s="358"/>
      <c r="B82" s="383" t="s">
        <v>144</v>
      </c>
      <c r="C82" s="374" t="s">
        <v>13</v>
      </c>
      <c r="D82" s="357" t="s">
        <v>119</v>
      </c>
      <c r="E82" s="357" t="s">
        <v>139</v>
      </c>
      <c r="F82" s="375" t="s">
        <v>141</v>
      </c>
      <c r="G82" s="376" t="s">
        <v>98</v>
      </c>
      <c r="H82" s="376" t="s">
        <v>90</v>
      </c>
      <c r="I82" s="913" t="s">
        <v>145</v>
      </c>
      <c r="J82" s="357"/>
      <c r="K82" s="377">
        <f>K83</f>
        <v>298.39999999999998</v>
      </c>
      <c r="L82" s="377">
        <f>L83</f>
        <v>1053.6166800000001</v>
      </c>
      <c r="M82" s="377">
        <f>M83</f>
        <v>1352.01668</v>
      </c>
    </row>
    <row r="83" spans="1:13" s="379" customFormat="1" ht="56.25" x14ac:dyDescent="0.3">
      <c r="A83" s="358"/>
      <c r="B83" s="373" t="s">
        <v>108</v>
      </c>
      <c r="C83" s="374" t="s">
        <v>13</v>
      </c>
      <c r="D83" s="357" t="s">
        <v>119</v>
      </c>
      <c r="E83" s="357" t="s">
        <v>139</v>
      </c>
      <c r="F83" s="375" t="s">
        <v>141</v>
      </c>
      <c r="G83" s="376" t="s">
        <v>98</v>
      </c>
      <c r="H83" s="376" t="s">
        <v>90</v>
      </c>
      <c r="I83" s="913" t="s">
        <v>145</v>
      </c>
      <c r="J83" s="357" t="s">
        <v>109</v>
      </c>
      <c r="K83" s="377">
        <v>298.39999999999998</v>
      </c>
      <c r="L83" s="252">
        <f>M83-K83</f>
        <v>1053.6166800000001</v>
      </c>
      <c r="M83" s="377">
        <f>298.4+864.61668+189</f>
        <v>1352.01668</v>
      </c>
    </row>
    <row r="84" spans="1:13" s="379" customFormat="1" ht="56.25" x14ac:dyDescent="0.3">
      <c r="A84" s="358"/>
      <c r="B84" s="373" t="s">
        <v>146</v>
      </c>
      <c r="C84" s="374" t="s">
        <v>13</v>
      </c>
      <c r="D84" s="357" t="s">
        <v>119</v>
      </c>
      <c r="E84" s="357" t="s">
        <v>139</v>
      </c>
      <c r="F84" s="375" t="s">
        <v>141</v>
      </c>
      <c r="G84" s="376" t="s">
        <v>98</v>
      </c>
      <c r="H84" s="376" t="s">
        <v>90</v>
      </c>
      <c r="I84" s="913" t="s">
        <v>147</v>
      </c>
      <c r="J84" s="357"/>
      <c r="K84" s="377">
        <f>K85</f>
        <v>63.9</v>
      </c>
      <c r="L84" s="377">
        <f>L85</f>
        <v>0</v>
      </c>
      <c r="M84" s="377">
        <f>M85</f>
        <v>63.9</v>
      </c>
    </row>
    <row r="85" spans="1:13" s="379" customFormat="1" ht="56.25" x14ac:dyDescent="0.3">
      <c r="A85" s="358"/>
      <c r="B85" s="373" t="s">
        <v>108</v>
      </c>
      <c r="C85" s="374" t="s">
        <v>13</v>
      </c>
      <c r="D85" s="357" t="s">
        <v>119</v>
      </c>
      <c r="E85" s="357" t="s">
        <v>139</v>
      </c>
      <c r="F85" s="375" t="s">
        <v>141</v>
      </c>
      <c r="G85" s="376" t="s">
        <v>98</v>
      </c>
      <c r="H85" s="376" t="s">
        <v>90</v>
      </c>
      <c r="I85" s="913" t="s">
        <v>147</v>
      </c>
      <c r="J85" s="357" t="s">
        <v>109</v>
      </c>
      <c r="K85" s="377">
        <v>63.9</v>
      </c>
      <c r="L85" s="252">
        <f>M85-K85</f>
        <v>0</v>
      </c>
      <c r="M85" s="377">
        <v>63.9</v>
      </c>
    </row>
    <row r="86" spans="1:13" s="379" customFormat="1" ht="112.5" x14ac:dyDescent="0.3">
      <c r="A86" s="358"/>
      <c r="B86" s="373" t="s">
        <v>492</v>
      </c>
      <c r="C86" s="374" t="s">
        <v>13</v>
      </c>
      <c r="D86" s="357" t="s">
        <v>119</v>
      </c>
      <c r="E86" s="357" t="s">
        <v>139</v>
      </c>
      <c r="F86" s="375" t="s">
        <v>141</v>
      </c>
      <c r="G86" s="376" t="s">
        <v>98</v>
      </c>
      <c r="H86" s="376" t="s">
        <v>90</v>
      </c>
      <c r="I86" s="913" t="s">
        <v>471</v>
      </c>
      <c r="J86" s="357"/>
      <c r="K86" s="377">
        <f>K87</f>
        <v>2643.1</v>
      </c>
      <c r="L86" s="377">
        <f>L87</f>
        <v>0</v>
      </c>
      <c r="M86" s="377">
        <f>M87</f>
        <v>2643.1</v>
      </c>
    </row>
    <row r="87" spans="1:13" s="379" customFormat="1" ht="18.75" x14ac:dyDescent="0.3">
      <c r="A87" s="358"/>
      <c r="B87" s="373" t="s">
        <v>186</v>
      </c>
      <c r="C87" s="374" t="s">
        <v>13</v>
      </c>
      <c r="D87" s="357" t="s">
        <v>119</v>
      </c>
      <c r="E87" s="357" t="s">
        <v>139</v>
      </c>
      <c r="F87" s="375" t="s">
        <v>141</v>
      </c>
      <c r="G87" s="376" t="s">
        <v>98</v>
      </c>
      <c r="H87" s="376" t="s">
        <v>90</v>
      </c>
      <c r="I87" s="913" t="s">
        <v>471</v>
      </c>
      <c r="J87" s="357" t="s">
        <v>187</v>
      </c>
      <c r="K87" s="377">
        <v>2643.1</v>
      </c>
      <c r="L87" s="252">
        <f>M87-K87</f>
        <v>0</v>
      </c>
      <c r="M87" s="377">
        <v>2643.1</v>
      </c>
    </row>
    <row r="88" spans="1:13" s="379" customFormat="1" ht="131.25" x14ac:dyDescent="0.3">
      <c r="A88" s="358"/>
      <c r="B88" s="373" t="s">
        <v>495</v>
      </c>
      <c r="C88" s="374" t="s">
        <v>13</v>
      </c>
      <c r="D88" s="357" t="s">
        <v>119</v>
      </c>
      <c r="E88" s="357" t="s">
        <v>139</v>
      </c>
      <c r="F88" s="375" t="s">
        <v>141</v>
      </c>
      <c r="G88" s="376" t="s">
        <v>98</v>
      </c>
      <c r="H88" s="376" t="s">
        <v>90</v>
      </c>
      <c r="I88" s="913" t="s">
        <v>472</v>
      </c>
      <c r="J88" s="357"/>
      <c r="K88" s="377">
        <f>K89</f>
        <v>17.800000000000004</v>
      </c>
      <c r="L88" s="377">
        <f>L89</f>
        <v>0</v>
      </c>
      <c r="M88" s="377">
        <f>M89</f>
        <v>17.800000000000004</v>
      </c>
    </row>
    <row r="89" spans="1:13" s="379" customFormat="1" ht="18.75" x14ac:dyDescent="0.3">
      <c r="A89" s="358"/>
      <c r="B89" s="373" t="s">
        <v>186</v>
      </c>
      <c r="C89" s="374" t="s">
        <v>13</v>
      </c>
      <c r="D89" s="357" t="s">
        <v>119</v>
      </c>
      <c r="E89" s="357" t="s">
        <v>139</v>
      </c>
      <c r="F89" s="375" t="s">
        <v>141</v>
      </c>
      <c r="G89" s="376" t="s">
        <v>98</v>
      </c>
      <c r="H89" s="376" t="s">
        <v>90</v>
      </c>
      <c r="I89" s="913" t="s">
        <v>472</v>
      </c>
      <c r="J89" s="357" t="s">
        <v>187</v>
      </c>
      <c r="K89" s="590">
        <f>36.2-18.4</f>
        <v>17.800000000000004</v>
      </c>
      <c r="L89" s="252">
        <f>M89-K89</f>
        <v>0</v>
      </c>
      <c r="M89" s="590">
        <f>36.2-18.4</f>
        <v>17.800000000000004</v>
      </c>
    </row>
    <row r="90" spans="1:13" s="379" customFormat="1" ht="56.25" x14ac:dyDescent="0.3">
      <c r="A90" s="358"/>
      <c r="B90" s="382" t="s">
        <v>148</v>
      </c>
      <c r="C90" s="374" t="s">
        <v>13</v>
      </c>
      <c r="D90" s="357" t="s">
        <v>119</v>
      </c>
      <c r="E90" s="357" t="s">
        <v>149</v>
      </c>
      <c r="F90" s="375"/>
      <c r="G90" s="376"/>
      <c r="H90" s="376"/>
      <c r="I90" s="913"/>
      <c r="J90" s="357"/>
      <c r="K90" s="377">
        <f>K91</f>
        <v>7632.6</v>
      </c>
      <c r="L90" s="377">
        <f>L91</f>
        <v>67.353999999999814</v>
      </c>
      <c r="M90" s="377">
        <f>M91</f>
        <v>7699.9539999999997</v>
      </c>
    </row>
    <row r="91" spans="1:13" s="379" customFormat="1" ht="56.25" x14ac:dyDescent="0.3">
      <c r="A91" s="358"/>
      <c r="B91" s="373" t="s">
        <v>140</v>
      </c>
      <c r="C91" s="374" t="s">
        <v>13</v>
      </c>
      <c r="D91" s="357" t="s">
        <v>119</v>
      </c>
      <c r="E91" s="357" t="s">
        <v>149</v>
      </c>
      <c r="F91" s="375" t="s">
        <v>141</v>
      </c>
      <c r="G91" s="376" t="s">
        <v>95</v>
      </c>
      <c r="H91" s="376" t="s">
        <v>96</v>
      </c>
      <c r="I91" s="913" t="s">
        <v>97</v>
      </c>
      <c r="J91" s="357"/>
      <c r="K91" s="377">
        <f>K92+K101</f>
        <v>7632.6</v>
      </c>
      <c r="L91" s="377">
        <f>L92+L101</f>
        <v>67.353999999999814</v>
      </c>
      <c r="M91" s="377">
        <f>M92+M101</f>
        <v>7699.9539999999997</v>
      </c>
    </row>
    <row r="92" spans="1:13" s="379" customFormat="1" ht="37.5" x14ac:dyDescent="0.3">
      <c r="A92" s="358"/>
      <c r="B92" s="382" t="s">
        <v>188</v>
      </c>
      <c r="C92" s="374" t="s">
        <v>13</v>
      </c>
      <c r="D92" s="357" t="s">
        <v>119</v>
      </c>
      <c r="E92" s="357" t="s">
        <v>149</v>
      </c>
      <c r="F92" s="375" t="s">
        <v>141</v>
      </c>
      <c r="G92" s="376" t="s">
        <v>150</v>
      </c>
      <c r="H92" s="376" t="s">
        <v>96</v>
      </c>
      <c r="I92" s="913" t="s">
        <v>97</v>
      </c>
      <c r="J92" s="357"/>
      <c r="K92" s="377">
        <f>K98+K93</f>
        <v>413.5</v>
      </c>
      <c r="L92" s="377">
        <f>L98+L93</f>
        <v>0</v>
      </c>
      <c r="M92" s="377">
        <f>M98+M93</f>
        <v>413.5</v>
      </c>
    </row>
    <row r="93" spans="1:13" s="379" customFormat="1" ht="56.25" x14ac:dyDescent="0.3">
      <c r="A93" s="358"/>
      <c r="B93" s="382" t="s">
        <v>377</v>
      </c>
      <c r="C93" s="374" t="s">
        <v>13</v>
      </c>
      <c r="D93" s="357" t="s">
        <v>119</v>
      </c>
      <c r="E93" s="357" t="s">
        <v>149</v>
      </c>
      <c r="F93" s="375" t="s">
        <v>141</v>
      </c>
      <c r="G93" s="376" t="s">
        <v>150</v>
      </c>
      <c r="H93" s="376" t="s">
        <v>90</v>
      </c>
      <c r="I93" s="913" t="s">
        <v>97</v>
      </c>
      <c r="J93" s="357"/>
      <c r="K93" s="377">
        <f>K96+K94</f>
        <v>166.5</v>
      </c>
      <c r="L93" s="377">
        <f>L96+L94</f>
        <v>0</v>
      </c>
      <c r="M93" s="377">
        <f>M96+M94</f>
        <v>166.5</v>
      </c>
    </row>
    <row r="94" spans="1:13" s="379" customFormat="1" ht="37.5" x14ac:dyDescent="0.3">
      <c r="A94" s="358"/>
      <c r="B94" s="380" t="s">
        <v>190</v>
      </c>
      <c r="C94" s="374" t="s">
        <v>13</v>
      </c>
      <c r="D94" s="357" t="s">
        <v>119</v>
      </c>
      <c r="E94" s="357" t="s">
        <v>149</v>
      </c>
      <c r="F94" s="375" t="s">
        <v>141</v>
      </c>
      <c r="G94" s="376" t="s">
        <v>150</v>
      </c>
      <c r="H94" s="376" t="s">
        <v>90</v>
      </c>
      <c r="I94" s="913" t="s">
        <v>152</v>
      </c>
      <c r="J94" s="357"/>
      <c r="K94" s="377">
        <f>K95</f>
        <v>20.100000000000001</v>
      </c>
      <c r="L94" s="377">
        <f>L95</f>
        <v>0</v>
      </c>
      <c r="M94" s="377">
        <f>M95</f>
        <v>20.100000000000001</v>
      </c>
    </row>
    <row r="95" spans="1:13" s="379" customFormat="1" ht="56.25" x14ac:dyDescent="0.3">
      <c r="A95" s="358"/>
      <c r="B95" s="373" t="s">
        <v>108</v>
      </c>
      <c r="C95" s="374" t="s">
        <v>13</v>
      </c>
      <c r="D95" s="357" t="s">
        <v>119</v>
      </c>
      <c r="E95" s="357" t="s">
        <v>149</v>
      </c>
      <c r="F95" s="375" t="s">
        <v>141</v>
      </c>
      <c r="G95" s="376" t="s">
        <v>150</v>
      </c>
      <c r="H95" s="376" t="s">
        <v>90</v>
      </c>
      <c r="I95" s="913" t="s">
        <v>152</v>
      </c>
      <c r="J95" s="357" t="s">
        <v>109</v>
      </c>
      <c r="K95" s="377">
        <v>20.100000000000001</v>
      </c>
      <c r="L95" s="252">
        <f>M95-K95</f>
        <v>0</v>
      </c>
      <c r="M95" s="377">
        <v>20.100000000000001</v>
      </c>
    </row>
    <row r="96" spans="1:13" s="379" customFormat="1" ht="112.5" x14ac:dyDescent="0.3">
      <c r="A96" s="358"/>
      <c r="B96" s="382" t="s">
        <v>493</v>
      </c>
      <c r="C96" s="374" t="s">
        <v>13</v>
      </c>
      <c r="D96" s="357" t="s">
        <v>119</v>
      </c>
      <c r="E96" s="357" t="s">
        <v>149</v>
      </c>
      <c r="F96" s="375" t="s">
        <v>141</v>
      </c>
      <c r="G96" s="376" t="s">
        <v>150</v>
      </c>
      <c r="H96" s="376" t="s">
        <v>90</v>
      </c>
      <c r="I96" s="913" t="s">
        <v>473</v>
      </c>
      <c r="J96" s="357"/>
      <c r="K96" s="377">
        <f>K97</f>
        <v>146.4</v>
      </c>
      <c r="L96" s="377">
        <f>L97</f>
        <v>0</v>
      </c>
      <c r="M96" s="377">
        <f>M97</f>
        <v>146.4</v>
      </c>
    </row>
    <row r="97" spans="1:13" s="379" customFormat="1" ht="18.75" x14ac:dyDescent="0.3">
      <c r="A97" s="358"/>
      <c r="B97" s="382" t="s">
        <v>186</v>
      </c>
      <c r="C97" s="374" t="s">
        <v>13</v>
      </c>
      <c r="D97" s="357" t="s">
        <v>119</v>
      </c>
      <c r="E97" s="357" t="s">
        <v>149</v>
      </c>
      <c r="F97" s="375" t="s">
        <v>141</v>
      </c>
      <c r="G97" s="376" t="s">
        <v>150</v>
      </c>
      <c r="H97" s="376" t="s">
        <v>90</v>
      </c>
      <c r="I97" s="913" t="s">
        <v>473</v>
      </c>
      <c r="J97" s="357" t="s">
        <v>187</v>
      </c>
      <c r="K97" s="590">
        <f>177-30.6</f>
        <v>146.4</v>
      </c>
      <c r="L97" s="252">
        <f>M97-K97</f>
        <v>0</v>
      </c>
      <c r="M97" s="590">
        <f>177-30.6</f>
        <v>146.4</v>
      </c>
    </row>
    <row r="98" spans="1:13" s="379" customFormat="1" ht="56.25" x14ac:dyDescent="0.3">
      <c r="A98" s="358"/>
      <c r="B98" s="380" t="s">
        <v>189</v>
      </c>
      <c r="C98" s="374" t="s">
        <v>13</v>
      </c>
      <c r="D98" s="357" t="s">
        <v>119</v>
      </c>
      <c r="E98" s="357" t="s">
        <v>149</v>
      </c>
      <c r="F98" s="375" t="s">
        <v>141</v>
      </c>
      <c r="G98" s="376" t="s">
        <v>150</v>
      </c>
      <c r="H98" s="376" t="s">
        <v>92</v>
      </c>
      <c r="I98" s="913" t="s">
        <v>97</v>
      </c>
      <c r="J98" s="357"/>
      <c r="K98" s="377">
        <f t="shared" ref="K98:M99" si="15">K99</f>
        <v>247</v>
      </c>
      <c r="L98" s="377">
        <f t="shared" si="15"/>
        <v>0</v>
      </c>
      <c r="M98" s="377">
        <f t="shared" si="15"/>
        <v>247</v>
      </c>
    </row>
    <row r="99" spans="1:13" s="379" customFormat="1" ht="37.5" x14ac:dyDescent="0.3">
      <c r="A99" s="358"/>
      <c r="B99" s="380" t="s">
        <v>190</v>
      </c>
      <c r="C99" s="374" t="s">
        <v>13</v>
      </c>
      <c r="D99" s="357" t="s">
        <v>119</v>
      </c>
      <c r="E99" s="357" t="s">
        <v>149</v>
      </c>
      <c r="F99" s="375" t="s">
        <v>141</v>
      </c>
      <c r="G99" s="376" t="s">
        <v>150</v>
      </c>
      <c r="H99" s="376" t="s">
        <v>92</v>
      </c>
      <c r="I99" s="913" t="s">
        <v>152</v>
      </c>
      <c r="J99" s="357"/>
      <c r="K99" s="377">
        <f t="shared" si="15"/>
        <v>247</v>
      </c>
      <c r="L99" s="377">
        <f t="shared" si="15"/>
        <v>0</v>
      </c>
      <c r="M99" s="377">
        <f t="shared" si="15"/>
        <v>247</v>
      </c>
    </row>
    <row r="100" spans="1:13" s="379" customFormat="1" ht="56.25" x14ac:dyDescent="0.3">
      <c r="A100" s="358"/>
      <c r="B100" s="373" t="s">
        <v>108</v>
      </c>
      <c r="C100" s="374" t="s">
        <v>13</v>
      </c>
      <c r="D100" s="357" t="s">
        <v>119</v>
      </c>
      <c r="E100" s="357" t="s">
        <v>149</v>
      </c>
      <c r="F100" s="375" t="s">
        <v>141</v>
      </c>
      <c r="G100" s="376" t="s">
        <v>150</v>
      </c>
      <c r="H100" s="376" t="s">
        <v>92</v>
      </c>
      <c r="I100" s="913" t="s">
        <v>152</v>
      </c>
      <c r="J100" s="357" t="s">
        <v>109</v>
      </c>
      <c r="K100" s="377">
        <v>247</v>
      </c>
      <c r="L100" s="252">
        <f>M100-K100</f>
        <v>0</v>
      </c>
      <c r="M100" s="377">
        <v>247</v>
      </c>
    </row>
    <row r="101" spans="1:13" s="379" customFormat="1" ht="75" x14ac:dyDescent="0.3">
      <c r="A101" s="358"/>
      <c r="B101" s="382" t="s">
        <v>563</v>
      </c>
      <c r="C101" s="374" t="s">
        <v>13</v>
      </c>
      <c r="D101" s="357" t="s">
        <v>119</v>
      </c>
      <c r="E101" s="357" t="s">
        <v>149</v>
      </c>
      <c r="F101" s="375" t="s">
        <v>141</v>
      </c>
      <c r="G101" s="376" t="s">
        <v>83</v>
      </c>
      <c r="H101" s="376" t="s">
        <v>96</v>
      </c>
      <c r="I101" s="913" t="s">
        <v>97</v>
      </c>
      <c r="J101" s="357"/>
      <c r="K101" s="377">
        <f>K102</f>
        <v>7219.1</v>
      </c>
      <c r="L101" s="377">
        <f>L102</f>
        <v>67.353999999999814</v>
      </c>
      <c r="M101" s="377">
        <f>M102</f>
        <v>7286.4539999999997</v>
      </c>
    </row>
    <row r="102" spans="1:13" s="379" customFormat="1" ht="93.75" x14ac:dyDescent="0.3">
      <c r="A102" s="358"/>
      <c r="B102" s="380" t="s">
        <v>464</v>
      </c>
      <c r="C102" s="374" t="s">
        <v>13</v>
      </c>
      <c r="D102" s="357" t="s">
        <v>119</v>
      </c>
      <c r="E102" s="357" t="s">
        <v>149</v>
      </c>
      <c r="F102" s="375" t="s">
        <v>141</v>
      </c>
      <c r="G102" s="376" t="s">
        <v>83</v>
      </c>
      <c r="H102" s="376" t="s">
        <v>90</v>
      </c>
      <c r="I102" s="913" t="s">
        <v>97</v>
      </c>
      <c r="J102" s="357"/>
      <c r="K102" s="377">
        <f t="shared" ref="K102:M102" si="16">K103</f>
        <v>7219.1</v>
      </c>
      <c r="L102" s="377">
        <f t="shared" si="16"/>
        <v>67.353999999999814</v>
      </c>
      <c r="M102" s="377">
        <f t="shared" si="16"/>
        <v>7286.4539999999997</v>
      </c>
    </row>
    <row r="103" spans="1:13" s="379" customFormat="1" ht="93.75" x14ac:dyDescent="0.3">
      <c r="A103" s="358"/>
      <c r="B103" s="380" t="s">
        <v>151</v>
      </c>
      <c r="C103" s="374" t="s">
        <v>13</v>
      </c>
      <c r="D103" s="357" t="s">
        <v>119</v>
      </c>
      <c r="E103" s="357" t="s">
        <v>149</v>
      </c>
      <c r="F103" s="375" t="s">
        <v>141</v>
      </c>
      <c r="G103" s="376" t="s">
        <v>83</v>
      </c>
      <c r="H103" s="376" t="s">
        <v>90</v>
      </c>
      <c r="I103" s="913" t="s">
        <v>153</v>
      </c>
      <c r="J103" s="357"/>
      <c r="K103" s="377">
        <f>K104+K105+K106</f>
        <v>7219.1</v>
      </c>
      <c r="L103" s="377">
        <f>L104+L105+L106</f>
        <v>67.353999999999814</v>
      </c>
      <c r="M103" s="377">
        <f>M104+M105+M106</f>
        <v>7286.4539999999997</v>
      </c>
    </row>
    <row r="104" spans="1:13" s="379" customFormat="1" ht="112.5" x14ac:dyDescent="0.3">
      <c r="A104" s="358"/>
      <c r="B104" s="373" t="s">
        <v>102</v>
      </c>
      <c r="C104" s="374" t="s">
        <v>13</v>
      </c>
      <c r="D104" s="357" t="s">
        <v>119</v>
      </c>
      <c r="E104" s="357" t="s">
        <v>149</v>
      </c>
      <c r="F104" s="375" t="s">
        <v>141</v>
      </c>
      <c r="G104" s="376" t="s">
        <v>83</v>
      </c>
      <c r="H104" s="376" t="s">
        <v>90</v>
      </c>
      <c r="I104" s="913" t="s">
        <v>153</v>
      </c>
      <c r="J104" s="357" t="s">
        <v>103</v>
      </c>
      <c r="K104" s="377">
        <v>6116.6</v>
      </c>
      <c r="L104" s="252">
        <f t="shared" ref="L104:L106" si="17">M104-K104</f>
        <v>0</v>
      </c>
      <c r="M104" s="377">
        <v>6116.6</v>
      </c>
    </row>
    <row r="105" spans="1:13" s="379" customFormat="1" ht="56.25" x14ac:dyDescent="0.3">
      <c r="A105" s="358"/>
      <c r="B105" s="373" t="s">
        <v>108</v>
      </c>
      <c r="C105" s="374" t="s">
        <v>13</v>
      </c>
      <c r="D105" s="357" t="s">
        <v>119</v>
      </c>
      <c r="E105" s="357" t="s">
        <v>149</v>
      </c>
      <c r="F105" s="375" t="s">
        <v>141</v>
      </c>
      <c r="G105" s="376" t="s">
        <v>83</v>
      </c>
      <c r="H105" s="376" t="s">
        <v>90</v>
      </c>
      <c r="I105" s="913" t="s">
        <v>153</v>
      </c>
      <c r="J105" s="357" t="s">
        <v>109</v>
      </c>
      <c r="K105" s="590">
        <f>1002.7+62.4</f>
        <v>1065.1000000000001</v>
      </c>
      <c r="L105" s="252">
        <f t="shared" si="17"/>
        <v>67.353999999999814</v>
      </c>
      <c r="M105" s="590">
        <f>1002.7+62.4+0.754+66.6</f>
        <v>1132.454</v>
      </c>
    </row>
    <row r="106" spans="1:13" s="379" customFormat="1" ht="18.75" x14ac:dyDescent="0.3">
      <c r="A106" s="358"/>
      <c r="B106" s="373" t="s">
        <v>110</v>
      </c>
      <c r="C106" s="374" t="s">
        <v>13</v>
      </c>
      <c r="D106" s="357" t="s">
        <v>119</v>
      </c>
      <c r="E106" s="357" t="s">
        <v>149</v>
      </c>
      <c r="F106" s="375" t="s">
        <v>141</v>
      </c>
      <c r="G106" s="376" t="s">
        <v>83</v>
      </c>
      <c r="H106" s="376" t="s">
        <v>90</v>
      </c>
      <c r="I106" s="913" t="s">
        <v>153</v>
      </c>
      <c r="J106" s="357" t="s">
        <v>111</v>
      </c>
      <c r="K106" s="377">
        <v>37.4</v>
      </c>
      <c r="L106" s="252">
        <f t="shared" si="17"/>
        <v>0</v>
      </c>
      <c r="M106" s="377">
        <v>37.4</v>
      </c>
    </row>
    <row r="107" spans="1:13" s="379" customFormat="1" ht="18.75" x14ac:dyDescent="0.3">
      <c r="A107" s="358"/>
      <c r="B107" s="373" t="s">
        <v>154</v>
      </c>
      <c r="C107" s="374" t="s">
        <v>13</v>
      </c>
      <c r="D107" s="357" t="s">
        <v>105</v>
      </c>
      <c r="E107" s="357"/>
      <c r="F107" s="375"/>
      <c r="G107" s="376"/>
      <c r="H107" s="376"/>
      <c r="I107" s="913"/>
      <c r="J107" s="357"/>
      <c r="K107" s="377">
        <f t="shared" ref="K107" si="18">K108+K117+K123</f>
        <v>23094.2</v>
      </c>
      <c r="L107" s="377">
        <f t="shared" ref="L107:M107" si="19">L108+L117+L123</f>
        <v>1564.7294000000002</v>
      </c>
      <c r="M107" s="377">
        <f t="shared" si="19"/>
        <v>24658.929400000001</v>
      </c>
    </row>
    <row r="108" spans="1:13" s="354" customFormat="1" ht="18.75" x14ac:dyDescent="0.3">
      <c r="A108" s="358"/>
      <c r="B108" s="373" t="s">
        <v>155</v>
      </c>
      <c r="C108" s="374" t="s">
        <v>13</v>
      </c>
      <c r="D108" s="357" t="s">
        <v>105</v>
      </c>
      <c r="E108" s="357" t="s">
        <v>121</v>
      </c>
      <c r="F108" s="375"/>
      <c r="G108" s="376"/>
      <c r="H108" s="376"/>
      <c r="I108" s="913"/>
      <c r="J108" s="357"/>
      <c r="K108" s="377">
        <f t="shared" ref="K108:M109" si="20">K109</f>
        <v>11958.5</v>
      </c>
      <c r="L108" s="377">
        <f t="shared" si="20"/>
        <v>0</v>
      </c>
      <c r="M108" s="377">
        <f t="shared" si="20"/>
        <v>11958.5</v>
      </c>
    </row>
    <row r="109" spans="1:13" s="379" customFormat="1" ht="56.25" x14ac:dyDescent="0.3">
      <c r="A109" s="358"/>
      <c r="B109" s="373" t="s">
        <v>156</v>
      </c>
      <c r="C109" s="374" t="s">
        <v>13</v>
      </c>
      <c r="D109" s="357" t="s">
        <v>105</v>
      </c>
      <c r="E109" s="357" t="s">
        <v>121</v>
      </c>
      <c r="F109" s="375" t="s">
        <v>123</v>
      </c>
      <c r="G109" s="376" t="s">
        <v>95</v>
      </c>
      <c r="H109" s="376" t="s">
        <v>96</v>
      </c>
      <c r="I109" s="913" t="s">
        <v>97</v>
      </c>
      <c r="J109" s="357"/>
      <c r="K109" s="377">
        <f t="shared" si="20"/>
        <v>11958.5</v>
      </c>
      <c r="L109" s="377">
        <f t="shared" si="20"/>
        <v>0</v>
      </c>
      <c r="M109" s="377">
        <f t="shared" si="20"/>
        <v>11958.5</v>
      </c>
    </row>
    <row r="110" spans="1:13" s="354" customFormat="1" ht="37.5" x14ac:dyDescent="0.3">
      <c r="A110" s="358"/>
      <c r="B110" s="373" t="s">
        <v>491</v>
      </c>
      <c r="C110" s="374" t="s">
        <v>13</v>
      </c>
      <c r="D110" s="357" t="s">
        <v>105</v>
      </c>
      <c r="E110" s="357" t="s">
        <v>121</v>
      </c>
      <c r="F110" s="375" t="s">
        <v>123</v>
      </c>
      <c r="G110" s="376" t="s">
        <v>98</v>
      </c>
      <c r="H110" s="376" t="s">
        <v>96</v>
      </c>
      <c r="I110" s="913" t="s">
        <v>97</v>
      </c>
      <c r="J110" s="357"/>
      <c r="K110" s="377">
        <f>K111+K114</f>
        <v>11958.5</v>
      </c>
      <c r="L110" s="377">
        <f>L111+L114</f>
        <v>0</v>
      </c>
      <c r="M110" s="377">
        <f>M111+M114</f>
        <v>11958.5</v>
      </c>
    </row>
    <row r="111" spans="1:13" s="354" customFormat="1" ht="56.25" x14ac:dyDescent="0.3">
      <c r="A111" s="358"/>
      <c r="B111" s="373" t="s">
        <v>157</v>
      </c>
      <c r="C111" s="374" t="s">
        <v>13</v>
      </c>
      <c r="D111" s="357" t="s">
        <v>105</v>
      </c>
      <c r="E111" s="357" t="s">
        <v>121</v>
      </c>
      <c r="F111" s="375" t="s">
        <v>123</v>
      </c>
      <c r="G111" s="376" t="s">
        <v>98</v>
      </c>
      <c r="H111" s="376" t="s">
        <v>90</v>
      </c>
      <c r="I111" s="913" t="s">
        <v>97</v>
      </c>
      <c r="J111" s="357"/>
      <c r="K111" s="377">
        <f t="shared" ref="K111:M112" si="21">K112</f>
        <v>11860</v>
      </c>
      <c r="L111" s="377">
        <f t="shared" si="21"/>
        <v>0</v>
      </c>
      <c r="M111" s="377">
        <f t="shared" si="21"/>
        <v>11860</v>
      </c>
    </row>
    <row r="112" spans="1:13" s="354" customFormat="1" ht="187.5" x14ac:dyDescent="0.3">
      <c r="A112" s="358"/>
      <c r="B112" s="373" t="s">
        <v>587</v>
      </c>
      <c r="C112" s="374" t="s">
        <v>13</v>
      </c>
      <c r="D112" s="357" t="s">
        <v>105</v>
      </c>
      <c r="E112" s="357" t="s">
        <v>121</v>
      </c>
      <c r="F112" s="375" t="s">
        <v>123</v>
      </c>
      <c r="G112" s="376" t="s">
        <v>98</v>
      </c>
      <c r="H112" s="376" t="s">
        <v>90</v>
      </c>
      <c r="I112" s="913" t="s">
        <v>158</v>
      </c>
      <c r="J112" s="357"/>
      <c r="K112" s="377">
        <f t="shared" si="21"/>
        <v>11860</v>
      </c>
      <c r="L112" s="377">
        <f t="shared" si="21"/>
        <v>0</v>
      </c>
      <c r="M112" s="377">
        <f t="shared" si="21"/>
        <v>11860</v>
      </c>
    </row>
    <row r="113" spans="1:13" s="379" customFormat="1" ht="18.75" x14ac:dyDescent="0.3">
      <c r="A113" s="358"/>
      <c r="B113" s="373" t="s">
        <v>110</v>
      </c>
      <c r="C113" s="374" t="s">
        <v>13</v>
      </c>
      <c r="D113" s="357" t="s">
        <v>105</v>
      </c>
      <c r="E113" s="357" t="s">
        <v>121</v>
      </c>
      <c r="F113" s="375" t="s">
        <v>123</v>
      </c>
      <c r="G113" s="376" t="s">
        <v>98</v>
      </c>
      <c r="H113" s="376" t="s">
        <v>90</v>
      </c>
      <c r="I113" s="913" t="s">
        <v>158</v>
      </c>
      <c r="J113" s="357" t="s">
        <v>111</v>
      </c>
      <c r="K113" s="377">
        <v>11860</v>
      </c>
      <c r="L113" s="252">
        <f>M113-K113</f>
        <v>0</v>
      </c>
      <c r="M113" s="377">
        <v>11860</v>
      </c>
    </row>
    <row r="114" spans="1:13" s="354" customFormat="1" ht="75" x14ac:dyDescent="0.3">
      <c r="A114" s="358"/>
      <c r="B114" s="373" t="s">
        <v>159</v>
      </c>
      <c r="C114" s="374" t="s">
        <v>13</v>
      </c>
      <c r="D114" s="357" t="s">
        <v>105</v>
      </c>
      <c r="E114" s="357" t="s">
        <v>121</v>
      </c>
      <c r="F114" s="375" t="s">
        <v>123</v>
      </c>
      <c r="G114" s="376" t="s">
        <v>98</v>
      </c>
      <c r="H114" s="376" t="s">
        <v>92</v>
      </c>
      <c r="I114" s="913" t="s">
        <v>97</v>
      </c>
      <c r="J114" s="357"/>
      <c r="K114" s="377">
        <f t="shared" ref="K114:M115" si="22">K115</f>
        <v>98.5</v>
      </c>
      <c r="L114" s="377">
        <f t="shared" si="22"/>
        <v>0</v>
      </c>
      <c r="M114" s="377">
        <f t="shared" si="22"/>
        <v>98.5</v>
      </c>
    </row>
    <row r="115" spans="1:13" s="354" customFormat="1" ht="187.5" x14ac:dyDescent="0.3">
      <c r="A115" s="358"/>
      <c r="B115" s="373" t="s">
        <v>602</v>
      </c>
      <c r="C115" s="374" t="s">
        <v>13</v>
      </c>
      <c r="D115" s="357" t="s">
        <v>105</v>
      </c>
      <c r="E115" s="357" t="s">
        <v>121</v>
      </c>
      <c r="F115" s="375" t="s">
        <v>123</v>
      </c>
      <c r="G115" s="376" t="s">
        <v>98</v>
      </c>
      <c r="H115" s="376" t="s">
        <v>92</v>
      </c>
      <c r="I115" s="913" t="s">
        <v>160</v>
      </c>
      <c r="J115" s="357"/>
      <c r="K115" s="377">
        <f t="shared" si="22"/>
        <v>98.5</v>
      </c>
      <c r="L115" s="377">
        <f t="shared" si="22"/>
        <v>0</v>
      </c>
      <c r="M115" s="377">
        <f t="shared" si="22"/>
        <v>98.5</v>
      </c>
    </row>
    <row r="116" spans="1:13" s="379" customFormat="1" ht="56.25" x14ac:dyDescent="0.3">
      <c r="A116" s="358"/>
      <c r="B116" s="373" t="s">
        <v>108</v>
      </c>
      <c r="C116" s="374" t="s">
        <v>13</v>
      </c>
      <c r="D116" s="357" t="s">
        <v>105</v>
      </c>
      <c r="E116" s="357" t="s">
        <v>121</v>
      </c>
      <c r="F116" s="375" t="s">
        <v>123</v>
      </c>
      <c r="G116" s="376" t="s">
        <v>98</v>
      </c>
      <c r="H116" s="376" t="s">
        <v>92</v>
      </c>
      <c r="I116" s="913" t="s">
        <v>160</v>
      </c>
      <c r="J116" s="357" t="s">
        <v>109</v>
      </c>
      <c r="K116" s="252">
        <v>98.5</v>
      </c>
      <c r="L116" s="252">
        <f>M116-K116</f>
        <v>0</v>
      </c>
      <c r="M116" s="252">
        <v>98.5</v>
      </c>
    </row>
    <row r="117" spans="1:13" s="354" customFormat="1" ht="18.75" x14ac:dyDescent="0.3">
      <c r="A117" s="358"/>
      <c r="B117" s="382" t="s">
        <v>161</v>
      </c>
      <c r="C117" s="374" t="s">
        <v>13</v>
      </c>
      <c r="D117" s="357" t="s">
        <v>105</v>
      </c>
      <c r="E117" s="357" t="s">
        <v>139</v>
      </c>
      <c r="F117" s="375"/>
      <c r="G117" s="376"/>
      <c r="H117" s="376"/>
      <c r="I117" s="913"/>
      <c r="J117" s="357"/>
      <c r="K117" s="377">
        <f t="shared" ref="K117:M121" si="23">K118</f>
        <v>4108.3</v>
      </c>
      <c r="L117" s="377">
        <f t="shared" si="23"/>
        <v>1564.7294000000002</v>
      </c>
      <c r="M117" s="377">
        <f t="shared" si="23"/>
        <v>5673.0294000000004</v>
      </c>
    </row>
    <row r="118" spans="1:13" s="379" customFormat="1" ht="56.25" x14ac:dyDescent="0.3">
      <c r="A118" s="358"/>
      <c r="B118" s="373" t="s">
        <v>162</v>
      </c>
      <c r="C118" s="374" t="s">
        <v>13</v>
      </c>
      <c r="D118" s="357" t="s">
        <v>105</v>
      </c>
      <c r="E118" s="357" t="s">
        <v>139</v>
      </c>
      <c r="F118" s="375" t="s">
        <v>163</v>
      </c>
      <c r="G118" s="376" t="s">
        <v>95</v>
      </c>
      <c r="H118" s="376" t="s">
        <v>96</v>
      </c>
      <c r="I118" s="913" t="s">
        <v>97</v>
      </c>
      <c r="J118" s="357"/>
      <c r="K118" s="377">
        <f t="shared" si="23"/>
        <v>4108.3</v>
      </c>
      <c r="L118" s="377">
        <f t="shared" si="23"/>
        <v>1564.7294000000002</v>
      </c>
      <c r="M118" s="377">
        <f t="shared" si="23"/>
        <v>5673.0294000000004</v>
      </c>
    </row>
    <row r="119" spans="1:13" s="354" customFormat="1" ht="37.5" x14ac:dyDescent="0.3">
      <c r="A119" s="358"/>
      <c r="B119" s="373" t="s">
        <v>491</v>
      </c>
      <c r="C119" s="374" t="s">
        <v>13</v>
      </c>
      <c r="D119" s="357" t="s">
        <v>105</v>
      </c>
      <c r="E119" s="357" t="s">
        <v>139</v>
      </c>
      <c r="F119" s="375" t="s">
        <v>163</v>
      </c>
      <c r="G119" s="376" t="s">
        <v>98</v>
      </c>
      <c r="H119" s="376" t="s">
        <v>96</v>
      </c>
      <c r="I119" s="913" t="s">
        <v>97</v>
      </c>
      <c r="J119" s="357"/>
      <c r="K119" s="377">
        <f t="shared" si="23"/>
        <v>4108.3</v>
      </c>
      <c r="L119" s="377">
        <f t="shared" si="23"/>
        <v>1564.7294000000002</v>
      </c>
      <c r="M119" s="377">
        <f t="shared" si="23"/>
        <v>5673.0294000000004</v>
      </c>
    </row>
    <row r="120" spans="1:13" s="354" customFormat="1" ht="93.75" x14ac:dyDescent="0.3">
      <c r="A120" s="358"/>
      <c r="B120" s="373" t="s">
        <v>164</v>
      </c>
      <c r="C120" s="374" t="s">
        <v>13</v>
      </c>
      <c r="D120" s="357" t="s">
        <v>105</v>
      </c>
      <c r="E120" s="357" t="s">
        <v>139</v>
      </c>
      <c r="F120" s="375" t="s">
        <v>163</v>
      </c>
      <c r="G120" s="376" t="s">
        <v>98</v>
      </c>
      <c r="H120" s="376" t="s">
        <v>90</v>
      </c>
      <c r="I120" s="913" t="s">
        <v>97</v>
      </c>
      <c r="J120" s="357"/>
      <c r="K120" s="377">
        <f t="shared" si="23"/>
        <v>4108.3</v>
      </c>
      <c r="L120" s="377">
        <f t="shared" si="23"/>
        <v>1564.7294000000002</v>
      </c>
      <c r="M120" s="377">
        <f t="shared" si="23"/>
        <v>5673.0294000000004</v>
      </c>
    </row>
    <row r="121" spans="1:13" s="354" customFormat="1" ht="93.75" x14ac:dyDescent="0.3">
      <c r="A121" s="358"/>
      <c r="B121" s="383" t="s">
        <v>165</v>
      </c>
      <c r="C121" s="374" t="s">
        <v>13</v>
      </c>
      <c r="D121" s="357" t="s">
        <v>105</v>
      </c>
      <c r="E121" s="357" t="s">
        <v>139</v>
      </c>
      <c r="F121" s="375" t="s">
        <v>163</v>
      </c>
      <c r="G121" s="376" t="s">
        <v>98</v>
      </c>
      <c r="H121" s="376" t="s">
        <v>90</v>
      </c>
      <c r="I121" s="913" t="s">
        <v>166</v>
      </c>
      <c r="J121" s="357"/>
      <c r="K121" s="377">
        <f t="shared" si="23"/>
        <v>4108.3</v>
      </c>
      <c r="L121" s="377">
        <f t="shared" si="23"/>
        <v>1564.7294000000002</v>
      </c>
      <c r="M121" s="377">
        <f t="shared" si="23"/>
        <v>5673.0294000000004</v>
      </c>
    </row>
    <row r="122" spans="1:13" s="379" customFormat="1" ht="56.25" x14ac:dyDescent="0.3">
      <c r="A122" s="358"/>
      <c r="B122" s="373" t="s">
        <v>108</v>
      </c>
      <c r="C122" s="374" t="s">
        <v>13</v>
      </c>
      <c r="D122" s="357" t="s">
        <v>105</v>
      </c>
      <c r="E122" s="357" t="s">
        <v>139</v>
      </c>
      <c r="F122" s="375" t="s">
        <v>163</v>
      </c>
      <c r="G122" s="376" t="s">
        <v>98</v>
      </c>
      <c r="H122" s="376" t="s">
        <v>90</v>
      </c>
      <c r="I122" s="913" t="s">
        <v>166</v>
      </c>
      <c r="J122" s="357" t="s">
        <v>109</v>
      </c>
      <c r="K122" s="377">
        <v>4108.3</v>
      </c>
      <c r="L122" s="252">
        <f>M122-K122</f>
        <v>1564.7294000000002</v>
      </c>
      <c r="M122" s="377">
        <f>4108.3+141.015+1423.7144</f>
        <v>5673.0294000000004</v>
      </c>
    </row>
    <row r="123" spans="1:13" s="354" customFormat="1" ht="37.5" x14ac:dyDescent="0.3">
      <c r="A123" s="358"/>
      <c r="B123" s="382" t="s">
        <v>169</v>
      </c>
      <c r="C123" s="374" t="s">
        <v>13</v>
      </c>
      <c r="D123" s="357" t="s">
        <v>105</v>
      </c>
      <c r="E123" s="357" t="s">
        <v>163</v>
      </c>
      <c r="F123" s="375"/>
      <c r="G123" s="376"/>
      <c r="H123" s="376"/>
      <c r="I123" s="913"/>
      <c r="J123" s="357"/>
      <c r="K123" s="377">
        <f t="shared" ref="K123" si="24">K124+K133+K140</f>
        <v>7027.4000000000005</v>
      </c>
      <c r="L123" s="377">
        <f t="shared" ref="L123:M123" si="25">L124+L133+L140</f>
        <v>0</v>
      </c>
      <c r="M123" s="377">
        <f t="shared" si="25"/>
        <v>7027.4000000000005</v>
      </c>
    </row>
    <row r="124" spans="1:13" s="379" customFormat="1" ht="75" x14ac:dyDescent="0.3">
      <c r="A124" s="358"/>
      <c r="B124" s="373" t="s">
        <v>170</v>
      </c>
      <c r="C124" s="374" t="s">
        <v>13</v>
      </c>
      <c r="D124" s="357" t="s">
        <v>105</v>
      </c>
      <c r="E124" s="357" t="s">
        <v>163</v>
      </c>
      <c r="F124" s="375" t="s">
        <v>130</v>
      </c>
      <c r="G124" s="376" t="s">
        <v>95</v>
      </c>
      <c r="H124" s="376" t="s">
        <v>96</v>
      </c>
      <c r="I124" s="913" t="s">
        <v>97</v>
      </c>
      <c r="J124" s="357"/>
      <c r="K124" s="377">
        <f t="shared" ref="K124" si="26">K125+K129</f>
        <v>1157.8</v>
      </c>
      <c r="L124" s="377">
        <f t="shared" ref="L124:M124" si="27">L125+L129</f>
        <v>0</v>
      </c>
      <c r="M124" s="377">
        <f t="shared" si="27"/>
        <v>1157.8</v>
      </c>
    </row>
    <row r="125" spans="1:13" s="379" customFormat="1" ht="56.25" x14ac:dyDescent="0.3">
      <c r="A125" s="358"/>
      <c r="B125" s="382" t="s">
        <v>171</v>
      </c>
      <c r="C125" s="374" t="s">
        <v>13</v>
      </c>
      <c r="D125" s="357" t="s">
        <v>105</v>
      </c>
      <c r="E125" s="357" t="s">
        <v>163</v>
      </c>
      <c r="F125" s="375" t="s">
        <v>130</v>
      </c>
      <c r="G125" s="376" t="s">
        <v>98</v>
      </c>
      <c r="H125" s="376" t="s">
        <v>96</v>
      </c>
      <c r="I125" s="913" t="s">
        <v>97</v>
      </c>
      <c r="J125" s="357"/>
      <c r="K125" s="377">
        <f t="shared" ref="K125:M127" si="28">K126</f>
        <v>184.7</v>
      </c>
      <c r="L125" s="377">
        <f t="shared" si="28"/>
        <v>0</v>
      </c>
      <c r="M125" s="377">
        <f t="shared" si="28"/>
        <v>184.7</v>
      </c>
    </row>
    <row r="126" spans="1:13" s="354" customFormat="1" ht="37.5" x14ac:dyDescent="0.3">
      <c r="A126" s="358"/>
      <c r="B126" s="373" t="s">
        <v>172</v>
      </c>
      <c r="C126" s="374" t="s">
        <v>13</v>
      </c>
      <c r="D126" s="357" t="s">
        <v>105</v>
      </c>
      <c r="E126" s="357" t="s">
        <v>163</v>
      </c>
      <c r="F126" s="375" t="s">
        <v>130</v>
      </c>
      <c r="G126" s="376" t="s">
        <v>98</v>
      </c>
      <c r="H126" s="376" t="s">
        <v>90</v>
      </c>
      <c r="I126" s="913" t="s">
        <v>97</v>
      </c>
      <c r="J126" s="357"/>
      <c r="K126" s="377">
        <f t="shared" si="28"/>
        <v>184.7</v>
      </c>
      <c r="L126" s="377">
        <f t="shared" si="28"/>
        <v>0</v>
      </c>
      <c r="M126" s="377">
        <f t="shared" si="28"/>
        <v>184.7</v>
      </c>
    </row>
    <row r="127" spans="1:13" s="379" customFormat="1" ht="37.5" x14ac:dyDescent="0.3">
      <c r="A127" s="358"/>
      <c r="B127" s="382" t="s">
        <v>173</v>
      </c>
      <c r="C127" s="374" t="s">
        <v>13</v>
      </c>
      <c r="D127" s="357" t="s">
        <v>105</v>
      </c>
      <c r="E127" s="357" t="s">
        <v>163</v>
      </c>
      <c r="F127" s="375" t="s">
        <v>130</v>
      </c>
      <c r="G127" s="376" t="s">
        <v>98</v>
      </c>
      <c r="H127" s="376" t="s">
        <v>90</v>
      </c>
      <c r="I127" s="913" t="s">
        <v>174</v>
      </c>
      <c r="J127" s="357"/>
      <c r="K127" s="377">
        <f t="shared" si="28"/>
        <v>184.7</v>
      </c>
      <c r="L127" s="377">
        <f t="shared" si="28"/>
        <v>0</v>
      </c>
      <c r="M127" s="377">
        <f t="shared" si="28"/>
        <v>184.7</v>
      </c>
    </row>
    <row r="128" spans="1:13" s="354" customFormat="1" ht="56.25" x14ac:dyDescent="0.3">
      <c r="A128" s="358"/>
      <c r="B128" s="373" t="s">
        <v>108</v>
      </c>
      <c r="C128" s="374" t="s">
        <v>13</v>
      </c>
      <c r="D128" s="357" t="s">
        <v>105</v>
      </c>
      <c r="E128" s="357" t="s">
        <v>163</v>
      </c>
      <c r="F128" s="375" t="s">
        <v>130</v>
      </c>
      <c r="G128" s="376" t="s">
        <v>98</v>
      </c>
      <c r="H128" s="376" t="s">
        <v>90</v>
      </c>
      <c r="I128" s="913" t="s">
        <v>174</v>
      </c>
      <c r="J128" s="357" t="s">
        <v>109</v>
      </c>
      <c r="K128" s="377">
        <v>184.7</v>
      </c>
      <c r="L128" s="252">
        <f>M128-K128</f>
        <v>0</v>
      </c>
      <c r="M128" s="377">
        <v>184.7</v>
      </c>
    </row>
    <row r="129" spans="1:13" s="379" customFormat="1" ht="37.5" x14ac:dyDescent="0.3">
      <c r="A129" s="358"/>
      <c r="B129" s="382" t="s">
        <v>175</v>
      </c>
      <c r="C129" s="374" t="s">
        <v>13</v>
      </c>
      <c r="D129" s="357" t="s">
        <v>105</v>
      </c>
      <c r="E129" s="357" t="s">
        <v>163</v>
      </c>
      <c r="F129" s="375" t="s">
        <v>130</v>
      </c>
      <c r="G129" s="376" t="s">
        <v>150</v>
      </c>
      <c r="H129" s="376" t="s">
        <v>96</v>
      </c>
      <c r="I129" s="913" t="s">
        <v>97</v>
      </c>
      <c r="J129" s="357"/>
      <c r="K129" s="377">
        <f t="shared" ref="K129:M131" si="29">K130</f>
        <v>973.1</v>
      </c>
      <c r="L129" s="377">
        <f t="shared" si="29"/>
        <v>0</v>
      </c>
      <c r="M129" s="377">
        <f t="shared" si="29"/>
        <v>973.1</v>
      </c>
    </row>
    <row r="130" spans="1:13" s="354" customFormat="1" ht="56.25" x14ac:dyDescent="0.3">
      <c r="A130" s="358"/>
      <c r="B130" s="382" t="s">
        <v>176</v>
      </c>
      <c r="C130" s="374" t="s">
        <v>13</v>
      </c>
      <c r="D130" s="357" t="s">
        <v>105</v>
      </c>
      <c r="E130" s="357" t="s">
        <v>163</v>
      </c>
      <c r="F130" s="375" t="s">
        <v>130</v>
      </c>
      <c r="G130" s="376" t="s">
        <v>150</v>
      </c>
      <c r="H130" s="376" t="s">
        <v>90</v>
      </c>
      <c r="I130" s="913" t="s">
        <v>97</v>
      </c>
      <c r="J130" s="357"/>
      <c r="K130" s="377">
        <f t="shared" si="29"/>
        <v>973.1</v>
      </c>
      <c r="L130" s="377">
        <f t="shared" si="29"/>
        <v>0</v>
      </c>
      <c r="M130" s="377">
        <f t="shared" si="29"/>
        <v>973.1</v>
      </c>
    </row>
    <row r="131" spans="1:13" s="379" customFormat="1" ht="93.75" x14ac:dyDescent="0.3">
      <c r="A131" s="358"/>
      <c r="B131" s="382" t="s">
        <v>177</v>
      </c>
      <c r="C131" s="374" t="s">
        <v>13</v>
      </c>
      <c r="D131" s="357" t="s">
        <v>105</v>
      </c>
      <c r="E131" s="357" t="s">
        <v>163</v>
      </c>
      <c r="F131" s="375" t="s">
        <v>130</v>
      </c>
      <c r="G131" s="376" t="s">
        <v>150</v>
      </c>
      <c r="H131" s="376" t="s">
        <v>90</v>
      </c>
      <c r="I131" s="913" t="s">
        <v>178</v>
      </c>
      <c r="J131" s="357"/>
      <c r="K131" s="377">
        <f t="shared" si="29"/>
        <v>973.1</v>
      </c>
      <c r="L131" s="377">
        <f t="shared" si="29"/>
        <v>0</v>
      </c>
      <c r="M131" s="377">
        <f t="shared" si="29"/>
        <v>973.1</v>
      </c>
    </row>
    <row r="132" spans="1:13" s="354" customFormat="1" ht="56.25" x14ac:dyDescent="0.3">
      <c r="A132" s="358"/>
      <c r="B132" s="373" t="s">
        <v>108</v>
      </c>
      <c r="C132" s="374" t="s">
        <v>13</v>
      </c>
      <c r="D132" s="357" t="s">
        <v>105</v>
      </c>
      <c r="E132" s="357" t="s">
        <v>163</v>
      </c>
      <c r="F132" s="375" t="s">
        <v>130</v>
      </c>
      <c r="G132" s="376" t="s">
        <v>150</v>
      </c>
      <c r="H132" s="376" t="s">
        <v>90</v>
      </c>
      <c r="I132" s="913" t="s">
        <v>178</v>
      </c>
      <c r="J132" s="357" t="s">
        <v>109</v>
      </c>
      <c r="K132" s="590">
        <f>773.1+200</f>
        <v>973.1</v>
      </c>
      <c r="L132" s="252">
        <f>M132-K132</f>
        <v>0</v>
      </c>
      <c r="M132" s="590">
        <f>773.1+200</f>
        <v>973.1</v>
      </c>
    </row>
    <row r="133" spans="1:13" s="379" customFormat="1" ht="75" x14ac:dyDescent="0.3">
      <c r="A133" s="358"/>
      <c r="B133" s="373" t="s">
        <v>179</v>
      </c>
      <c r="C133" s="374" t="s">
        <v>13</v>
      </c>
      <c r="D133" s="357" t="s">
        <v>105</v>
      </c>
      <c r="E133" s="357" t="s">
        <v>163</v>
      </c>
      <c r="F133" s="375" t="s">
        <v>149</v>
      </c>
      <c r="G133" s="376" t="s">
        <v>95</v>
      </c>
      <c r="H133" s="376" t="s">
        <v>96</v>
      </c>
      <c r="I133" s="913" t="s">
        <v>97</v>
      </c>
      <c r="J133" s="357"/>
      <c r="K133" s="377">
        <f t="shared" ref="K133:M136" si="30">K134</f>
        <v>886.9</v>
      </c>
      <c r="L133" s="377">
        <f t="shared" si="30"/>
        <v>0</v>
      </c>
      <c r="M133" s="377">
        <f t="shared" si="30"/>
        <v>886.9</v>
      </c>
    </row>
    <row r="134" spans="1:13" s="379" customFormat="1" ht="37.5" x14ac:dyDescent="0.3">
      <c r="A134" s="358"/>
      <c r="B134" s="373" t="s">
        <v>491</v>
      </c>
      <c r="C134" s="374" t="s">
        <v>13</v>
      </c>
      <c r="D134" s="357" t="s">
        <v>105</v>
      </c>
      <c r="E134" s="357" t="s">
        <v>163</v>
      </c>
      <c r="F134" s="375" t="s">
        <v>149</v>
      </c>
      <c r="G134" s="376" t="s">
        <v>98</v>
      </c>
      <c r="H134" s="376" t="s">
        <v>96</v>
      </c>
      <c r="I134" s="913" t="s">
        <v>97</v>
      </c>
      <c r="J134" s="357"/>
      <c r="K134" s="377">
        <f t="shared" si="30"/>
        <v>886.9</v>
      </c>
      <c r="L134" s="377">
        <f t="shared" si="30"/>
        <v>0</v>
      </c>
      <c r="M134" s="377">
        <f t="shared" si="30"/>
        <v>886.9</v>
      </c>
    </row>
    <row r="135" spans="1:13" s="354" customFormat="1" ht="75" x14ac:dyDescent="0.3">
      <c r="A135" s="358"/>
      <c r="B135" s="382" t="s">
        <v>431</v>
      </c>
      <c r="C135" s="374" t="s">
        <v>13</v>
      </c>
      <c r="D135" s="357" t="s">
        <v>105</v>
      </c>
      <c r="E135" s="357" t="s">
        <v>163</v>
      </c>
      <c r="F135" s="375" t="s">
        <v>149</v>
      </c>
      <c r="G135" s="376" t="s">
        <v>98</v>
      </c>
      <c r="H135" s="376" t="s">
        <v>90</v>
      </c>
      <c r="I135" s="913" t="s">
        <v>97</v>
      </c>
      <c r="J135" s="357"/>
      <c r="K135" s="377">
        <f t="shared" ref="K135" si="31">K136+K138</f>
        <v>886.9</v>
      </c>
      <c r="L135" s="377">
        <f t="shared" ref="L135:M135" si="32">L136+L138</f>
        <v>0</v>
      </c>
      <c r="M135" s="377">
        <f t="shared" si="32"/>
        <v>886.9</v>
      </c>
    </row>
    <row r="136" spans="1:13" s="379" customFormat="1" ht="56.25" x14ac:dyDescent="0.3">
      <c r="A136" s="358"/>
      <c r="B136" s="382" t="s">
        <v>180</v>
      </c>
      <c r="C136" s="374" t="s">
        <v>13</v>
      </c>
      <c r="D136" s="357" t="s">
        <v>105</v>
      </c>
      <c r="E136" s="357" t="s">
        <v>163</v>
      </c>
      <c r="F136" s="375" t="s">
        <v>149</v>
      </c>
      <c r="G136" s="376" t="s">
        <v>98</v>
      </c>
      <c r="H136" s="376" t="s">
        <v>90</v>
      </c>
      <c r="I136" s="913" t="s">
        <v>181</v>
      </c>
      <c r="J136" s="357"/>
      <c r="K136" s="377">
        <f t="shared" si="30"/>
        <v>107.9</v>
      </c>
      <c r="L136" s="377">
        <f t="shared" si="30"/>
        <v>0</v>
      </c>
      <c r="M136" s="377">
        <f t="shared" si="30"/>
        <v>107.9</v>
      </c>
    </row>
    <row r="137" spans="1:13" s="354" customFormat="1" ht="56.25" x14ac:dyDescent="0.3">
      <c r="A137" s="358"/>
      <c r="B137" s="373" t="s">
        <v>108</v>
      </c>
      <c r="C137" s="374" t="s">
        <v>13</v>
      </c>
      <c r="D137" s="357" t="s">
        <v>105</v>
      </c>
      <c r="E137" s="357" t="s">
        <v>163</v>
      </c>
      <c r="F137" s="375" t="s">
        <v>149</v>
      </c>
      <c r="G137" s="376" t="s">
        <v>98</v>
      </c>
      <c r="H137" s="376" t="s">
        <v>90</v>
      </c>
      <c r="I137" s="913" t="s">
        <v>181</v>
      </c>
      <c r="J137" s="357" t="s">
        <v>109</v>
      </c>
      <c r="K137" s="252">
        <v>107.9</v>
      </c>
      <c r="L137" s="252">
        <f>M137-K137</f>
        <v>0</v>
      </c>
      <c r="M137" s="252">
        <v>107.9</v>
      </c>
    </row>
    <row r="138" spans="1:13" s="354" customFormat="1" ht="75" x14ac:dyDescent="0.3">
      <c r="A138" s="2"/>
      <c r="B138" s="232" t="s">
        <v>647</v>
      </c>
      <c r="C138" s="99" t="s">
        <v>13</v>
      </c>
      <c r="D138" s="100" t="s">
        <v>105</v>
      </c>
      <c r="E138" s="100" t="s">
        <v>163</v>
      </c>
      <c r="F138" s="347" t="s">
        <v>149</v>
      </c>
      <c r="G138" s="504" t="s">
        <v>98</v>
      </c>
      <c r="H138" s="504" t="s">
        <v>90</v>
      </c>
      <c r="I138" s="914" t="s">
        <v>646</v>
      </c>
      <c r="J138" s="100"/>
      <c r="K138" s="252">
        <f>K139</f>
        <v>779</v>
      </c>
      <c r="L138" s="252">
        <f>L139</f>
        <v>0</v>
      </c>
      <c r="M138" s="252">
        <f>M139</f>
        <v>779</v>
      </c>
    </row>
    <row r="139" spans="1:13" s="354" customFormat="1" ht="56.25" x14ac:dyDescent="0.3">
      <c r="A139" s="2"/>
      <c r="B139" s="232" t="s">
        <v>108</v>
      </c>
      <c r="C139" s="99" t="s">
        <v>13</v>
      </c>
      <c r="D139" s="100" t="s">
        <v>105</v>
      </c>
      <c r="E139" s="100" t="s">
        <v>163</v>
      </c>
      <c r="F139" s="347" t="s">
        <v>149</v>
      </c>
      <c r="G139" s="504" t="s">
        <v>98</v>
      </c>
      <c r="H139" s="504" t="s">
        <v>90</v>
      </c>
      <c r="I139" s="914" t="s">
        <v>646</v>
      </c>
      <c r="J139" s="100" t="s">
        <v>109</v>
      </c>
      <c r="K139" s="252">
        <v>779</v>
      </c>
      <c r="L139" s="252">
        <f>M139-K139</f>
        <v>0</v>
      </c>
      <c r="M139" s="252">
        <v>779</v>
      </c>
    </row>
    <row r="140" spans="1:13" s="354" customFormat="1" ht="56.25" x14ac:dyDescent="0.3">
      <c r="A140" s="358"/>
      <c r="B140" s="373" t="s">
        <v>93</v>
      </c>
      <c r="C140" s="374" t="s">
        <v>13</v>
      </c>
      <c r="D140" s="357" t="s">
        <v>105</v>
      </c>
      <c r="E140" s="357" t="s">
        <v>163</v>
      </c>
      <c r="F140" s="375" t="s">
        <v>94</v>
      </c>
      <c r="G140" s="376" t="s">
        <v>95</v>
      </c>
      <c r="H140" s="376" t="s">
        <v>96</v>
      </c>
      <c r="I140" s="913" t="s">
        <v>97</v>
      </c>
      <c r="J140" s="357"/>
      <c r="K140" s="377">
        <f t="shared" ref="K140:M141" si="33">K141</f>
        <v>4982.7000000000007</v>
      </c>
      <c r="L140" s="377">
        <f t="shared" si="33"/>
        <v>0</v>
      </c>
      <c r="M140" s="377">
        <f t="shared" si="33"/>
        <v>4982.7000000000007</v>
      </c>
    </row>
    <row r="141" spans="1:13" s="354" customFormat="1" ht="37.5" x14ac:dyDescent="0.3">
      <c r="A141" s="358"/>
      <c r="B141" s="373" t="s">
        <v>491</v>
      </c>
      <c r="C141" s="374" t="s">
        <v>13</v>
      </c>
      <c r="D141" s="357" t="s">
        <v>105</v>
      </c>
      <c r="E141" s="357" t="s">
        <v>163</v>
      </c>
      <c r="F141" s="375" t="s">
        <v>94</v>
      </c>
      <c r="G141" s="376" t="s">
        <v>98</v>
      </c>
      <c r="H141" s="376" t="s">
        <v>96</v>
      </c>
      <c r="I141" s="913" t="s">
        <v>97</v>
      </c>
      <c r="J141" s="357"/>
      <c r="K141" s="377">
        <f t="shared" si="33"/>
        <v>4982.7000000000007</v>
      </c>
      <c r="L141" s="377">
        <f t="shared" si="33"/>
        <v>0</v>
      </c>
      <c r="M141" s="377">
        <f t="shared" si="33"/>
        <v>4982.7000000000007</v>
      </c>
    </row>
    <row r="142" spans="1:13" s="354" customFormat="1" ht="56.25" x14ac:dyDescent="0.3">
      <c r="A142" s="358"/>
      <c r="B142" s="373" t="s">
        <v>474</v>
      </c>
      <c r="C142" s="374" t="s">
        <v>13</v>
      </c>
      <c r="D142" s="357" t="s">
        <v>105</v>
      </c>
      <c r="E142" s="357" t="s">
        <v>163</v>
      </c>
      <c r="F142" s="375" t="s">
        <v>94</v>
      </c>
      <c r="G142" s="376" t="s">
        <v>98</v>
      </c>
      <c r="H142" s="376" t="s">
        <v>149</v>
      </c>
      <c r="I142" s="913" t="s">
        <v>97</v>
      </c>
      <c r="J142" s="357"/>
      <c r="K142" s="377">
        <f>K147+K143</f>
        <v>4982.7000000000007</v>
      </c>
      <c r="L142" s="377">
        <f>L147+L143</f>
        <v>0</v>
      </c>
      <c r="M142" s="377">
        <f>M147+M143</f>
        <v>4982.7000000000007</v>
      </c>
    </row>
    <row r="143" spans="1:13" s="354" customFormat="1" ht="93.75" x14ac:dyDescent="0.3">
      <c r="A143" s="358"/>
      <c r="B143" s="380" t="s">
        <v>151</v>
      </c>
      <c r="C143" s="374" t="s">
        <v>13</v>
      </c>
      <c r="D143" s="357" t="s">
        <v>105</v>
      </c>
      <c r="E143" s="357" t="s">
        <v>163</v>
      </c>
      <c r="F143" s="375" t="s">
        <v>94</v>
      </c>
      <c r="G143" s="376" t="s">
        <v>98</v>
      </c>
      <c r="H143" s="376" t="s">
        <v>149</v>
      </c>
      <c r="I143" s="913" t="s">
        <v>153</v>
      </c>
      <c r="J143" s="357"/>
      <c r="K143" s="377">
        <f t="shared" ref="K143" si="34">SUM(K144:K146)</f>
        <v>4507.1000000000004</v>
      </c>
      <c r="L143" s="377">
        <f t="shared" ref="L143:M143" si="35">SUM(L144:L146)</f>
        <v>0</v>
      </c>
      <c r="M143" s="377">
        <f t="shared" si="35"/>
        <v>4507.1000000000004</v>
      </c>
    </row>
    <row r="144" spans="1:13" s="354" customFormat="1" ht="112.5" x14ac:dyDescent="0.3">
      <c r="A144" s="358"/>
      <c r="B144" s="373" t="s">
        <v>102</v>
      </c>
      <c r="C144" s="374" t="s">
        <v>13</v>
      </c>
      <c r="D144" s="357" t="s">
        <v>105</v>
      </c>
      <c r="E144" s="357" t="s">
        <v>163</v>
      </c>
      <c r="F144" s="375" t="s">
        <v>94</v>
      </c>
      <c r="G144" s="376" t="s">
        <v>98</v>
      </c>
      <c r="H144" s="376" t="s">
        <v>149</v>
      </c>
      <c r="I144" s="913" t="s">
        <v>153</v>
      </c>
      <c r="J144" s="357" t="s">
        <v>103</v>
      </c>
      <c r="K144" s="377">
        <v>4158.7</v>
      </c>
      <c r="L144" s="252">
        <f t="shared" ref="L144:L146" si="36">M144-K144</f>
        <v>0</v>
      </c>
      <c r="M144" s="377">
        <v>4158.7</v>
      </c>
    </row>
    <row r="145" spans="1:14" s="354" customFormat="1" ht="56.25" x14ac:dyDescent="0.3">
      <c r="A145" s="358"/>
      <c r="B145" s="373" t="s">
        <v>108</v>
      </c>
      <c r="C145" s="374" t="s">
        <v>13</v>
      </c>
      <c r="D145" s="357" t="s">
        <v>105</v>
      </c>
      <c r="E145" s="357" t="s">
        <v>163</v>
      </c>
      <c r="F145" s="375" t="s">
        <v>94</v>
      </c>
      <c r="G145" s="376" t="s">
        <v>98</v>
      </c>
      <c r="H145" s="376" t="s">
        <v>149</v>
      </c>
      <c r="I145" s="913" t="s">
        <v>153</v>
      </c>
      <c r="J145" s="357" t="s">
        <v>109</v>
      </c>
      <c r="K145" s="377">
        <v>299.8</v>
      </c>
      <c r="L145" s="252">
        <f t="shared" si="36"/>
        <v>0</v>
      </c>
      <c r="M145" s="377">
        <v>299.8</v>
      </c>
    </row>
    <row r="146" spans="1:14" s="354" customFormat="1" ht="18.75" x14ac:dyDescent="0.3">
      <c r="A146" s="358"/>
      <c r="B146" s="373" t="s">
        <v>110</v>
      </c>
      <c r="C146" s="374" t="s">
        <v>13</v>
      </c>
      <c r="D146" s="357" t="s">
        <v>105</v>
      </c>
      <c r="E146" s="357" t="s">
        <v>163</v>
      </c>
      <c r="F146" s="485" t="s">
        <v>94</v>
      </c>
      <c r="G146" s="486" t="s">
        <v>98</v>
      </c>
      <c r="H146" s="486" t="s">
        <v>149</v>
      </c>
      <c r="I146" s="913" t="s">
        <v>153</v>
      </c>
      <c r="J146" s="357" t="s">
        <v>111</v>
      </c>
      <c r="K146" s="377">
        <v>48.6</v>
      </c>
      <c r="L146" s="252">
        <f t="shared" si="36"/>
        <v>0</v>
      </c>
      <c r="M146" s="377">
        <v>48.6</v>
      </c>
    </row>
    <row r="147" spans="1:14" s="354" customFormat="1" ht="75" x14ac:dyDescent="0.3">
      <c r="A147" s="358"/>
      <c r="B147" s="373" t="s">
        <v>617</v>
      </c>
      <c r="C147" s="374" t="s">
        <v>13</v>
      </c>
      <c r="D147" s="357" t="s">
        <v>105</v>
      </c>
      <c r="E147" s="357" t="s">
        <v>163</v>
      </c>
      <c r="F147" s="375" t="s">
        <v>94</v>
      </c>
      <c r="G147" s="376" t="s">
        <v>98</v>
      </c>
      <c r="H147" s="376" t="s">
        <v>149</v>
      </c>
      <c r="I147" s="913" t="s">
        <v>475</v>
      </c>
      <c r="J147" s="357"/>
      <c r="K147" s="377">
        <f>K148</f>
        <v>475.59999999999997</v>
      </c>
      <c r="L147" s="377">
        <f>L148</f>
        <v>0</v>
      </c>
      <c r="M147" s="377">
        <f>M148</f>
        <v>475.59999999999997</v>
      </c>
    </row>
    <row r="148" spans="1:14" s="354" customFormat="1" ht="18.75" x14ac:dyDescent="0.3">
      <c r="A148" s="358"/>
      <c r="B148" s="373" t="s">
        <v>186</v>
      </c>
      <c r="C148" s="374" t="s">
        <v>13</v>
      </c>
      <c r="D148" s="357" t="s">
        <v>105</v>
      </c>
      <c r="E148" s="357" t="s">
        <v>163</v>
      </c>
      <c r="F148" s="375" t="s">
        <v>94</v>
      </c>
      <c r="G148" s="376" t="s">
        <v>98</v>
      </c>
      <c r="H148" s="376" t="s">
        <v>149</v>
      </c>
      <c r="I148" s="913" t="s">
        <v>475</v>
      </c>
      <c r="J148" s="357" t="s">
        <v>187</v>
      </c>
      <c r="K148" s="590">
        <f>419.2+56.4</f>
        <v>475.59999999999997</v>
      </c>
      <c r="L148" s="252">
        <f>M148-K148</f>
        <v>0</v>
      </c>
      <c r="M148" s="590">
        <f>419.2+56.4</f>
        <v>475.59999999999997</v>
      </c>
    </row>
    <row r="149" spans="1:14" s="354" customFormat="1" ht="18.75" x14ac:dyDescent="0.3">
      <c r="A149" s="358"/>
      <c r="B149" s="373" t="s">
        <v>252</v>
      </c>
      <c r="C149" s="374" t="s">
        <v>13</v>
      </c>
      <c r="D149" s="357" t="s">
        <v>121</v>
      </c>
      <c r="E149" s="357"/>
      <c r="F149" s="375"/>
      <c r="G149" s="376"/>
      <c r="H149" s="376"/>
      <c r="I149" s="913"/>
      <c r="J149" s="357"/>
      <c r="K149" s="377">
        <f>K156+K150</f>
        <v>371.7</v>
      </c>
      <c r="L149" s="377">
        <f>L156+L150</f>
        <v>0</v>
      </c>
      <c r="M149" s="377">
        <f>M156+M150</f>
        <v>371.7</v>
      </c>
    </row>
    <row r="150" spans="1:14" s="401" customFormat="1" ht="18.75" x14ac:dyDescent="0.3">
      <c r="A150" s="394"/>
      <c r="B150" s="386" t="s">
        <v>483</v>
      </c>
      <c r="C150" s="374" t="s">
        <v>13</v>
      </c>
      <c r="D150" s="396" t="s">
        <v>121</v>
      </c>
      <c r="E150" s="396" t="s">
        <v>92</v>
      </c>
      <c r="F150" s="406"/>
      <c r="G150" s="399"/>
      <c r="H150" s="399"/>
      <c r="I150" s="444"/>
      <c r="J150" s="397"/>
      <c r="K150" s="521">
        <f t="shared" ref="K150:M154" si="37">K151</f>
        <v>336</v>
      </c>
      <c r="L150" s="521">
        <f t="shared" si="37"/>
        <v>0</v>
      </c>
      <c r="M150" s="521">
        <f t="shared" si="37"/>
        <v>336</v>
      </c>
      <c r="N150" s="415"/>
    </row>
    <row r="151" spans="1:14" s="401" customFormat="1" ht="75" x14ac:dyDescent="0.3">
      <c r="A151" s="394"/>
      <c r="B151" s="445" t="s">
        <v>482</v>
      </c>
      <c r="C151" s="374" t="s">
        <v>13</v>
      </c>
      <c r="D151" s="396" t="s">
        <v>121</v>
      </c>
      <c r="E151" s="396" t="s">
        <v>92</v>
      </c>
      <c r="F151" s="406" t="s">
        <v>167</v>
      </c>
      <c r="G151" s="399" t="s">
        <v>95</v>
      </c>
      <c r="H151" s="399" t="s">
        <v>96</v>
      </c>
      <c r="I151" s="444" t="s">
        <v>97</v>
      </c>
      <c r="J151" s="397"/>
      <c r="K151" s="521">
        <f t="shared" si="37"/>
        <v>336</v>
      </c>
      <c r="L151" s="521">
        <f t="shared" si="37"/>
        <v>0</v>
      </c>
      <c r="M151" s="521">
        <f t="shared" si="37"/>
        <v>336</v>
      </c>
      <c r="N151" s="415"/>
    </row>
    <row r="152" spans="1:14" s="401" customFormat="1" ht="56.25" x14ac:dyDescent="0.3">
      <c r="A152" s="394"/>
      <c r="B152" s="373" t="s">
        <v>484</v>
      </c>
      <c r="C152" s="374" t="s">
        <v>13</v>
      </c>
      <c r="D152" s="396" t="s">
        <v>121</v>
      </c>
      <c r="E152" s="396" t="s">
        <v>92</v>
      </c>
      <c r="F152" s="406" t="s">
        <v>167</v>
      </c>
      <c r="G152" s="399" t="s">
        <v>98</v>
      </c>
      <c r="H152" s="399" t="s">
        <v>96</v>
      </c>
      <c r="I152" s="444" t="s">
        <v>97</v>
      </c>
      <c r="J152" s="397"/>
      <c r="K152" s="521">
        <f t="shared" si="37"/>
        <v>336</v>
      </c>
      <c r="L152" s="521">
        <f t="shared" si="37"/>
        <v>0</v>
      </c>
      <c r="M152" s="521">
        <f t="shared" si="37"/>
        <v>336</v>
      </c>
      <c r="N152" s="415"/>
    </row>
    <row r="153" spans="1:14" s="401" customFormat="1" ht="56.25" x14ac:dyDescent="0.3">
      <c r="A153" s="394"/>
      <c r="B153" s="373" t="s">
        <v>572</v>
      </c>
      <c r="C153" s="374" t="s">
        <v>13</v>
      </c>
      <c r="D153" s="396" t="s">
        <v>121</v>
      </c>
      <c r="E153" s="396" t="s">
        <v>92</v>
      </c>
      <c r="F153" s="406" t="s">
        <v>167</v>
      </c>
      <c r="G153" s="399" t="s">
        <v>98</v>
      </c>
      <c r="H153" s="399" t="s">
        <v>90</v>
      </c>
      <c r="I153" s="444" t="s">
        <v>97</v>
      </c>
      <c r="J153" s="397"/>
      <c r="K153" s="521">
        <f>K154</f>
        <v>336</v>
      </c>
      <c r="L153" s="521">
        <f>L154</f>
        <v>0</v>
      </c>
      <c r="M153" s="521">
        <f>M154</f>
        <v>336</v>
      </c>
      <c r="N153" s="415"/>
    </row>
    <row r="154" spans="1:14" s="401" customFormat="1" ht="75" x14ac:dyDescent="0.3">
      <c r="A154" s="394"/>
      <c r="B154" s="373" t="s">
        <v>485</v>
      </c>
      <c r="C154" s="374" t="s">
        <v>13</v>
      </c>
      <c r="D154" s="396" t="s">
        <v>121</v>
      </c>
      <c r="E154" s="396" t="s">
        <v>92</v>
      </c>
      <c r="F154" s="406" t="s">
        <v>167</v>
      </c>
      <c r="G154" s="399" t="s">
        <v>98</v>
      </c>
      <c r="H154" s="399" t="s">
        <v>90</v>
      </c>
      <c r="I154" s="444" t="s">
        <v>486</v>
      </c>
      <c r="J154" s="397"/>
      <c r="K154" s="521">
        <f t="shared" si="37"/>
        <v>336</v>
      </c>
      <c r="L154" s="521">
        <f t="shared" si="37"/>
        <v>0</v>
      </c>
      <c r="M154" s="521">
        <f t="shared" si="37"/>
        <v>336</v>
      </c>
      <c r="N154" s="415"/>
    </row>
    <row r="155" spans="1:14" s="401" customFormat="1" ht="56.25" x14ac:dyDescent="0.3">
      <c r="A155" s="394"/>
      <c r="B155" s="373" t="s">
        <v>282</v>
      </c>
      <c r="C155" s="374" t="s">
        <v>13</v>
      </c>
      <c r="D155" s="396" t="s">
        <v>121</v>
      </c>
      <c r="E155" s="396" t="s">
        <v>92</v>
      </c>
      <c r="F155" s="598" t="s">
        <v>167</v>
      </c>
      <c r="G155" s="599" t="s">
        <v>98</v>
      </c>
      <c r="H155" s="599" t="s">
        <v>90</v>
      </c>
      <c r="I155" s="600" t="s">
        <v>486</v>
      </c>
      <c r="J155" s="601" t="s">
        <v>283</v>
      </c>
      <c r="K155" s="596">
        <v>336</v>
      </c>
      <c r="L155" s="252">
        <f>M155-K155</f>
        <v>0</v>
      </c>
      <c r="M155" s="596">
        <v>336</v>
      </c>
      <c r="N155" s="415"/>
    </row>
    <row r="156" spans="1:14" s="354" customFormat="1" ht="37.5" x14ac:dyDescent="0.3">
      <c r="A156" s="358"/>
      <c r="B156" s="373" t="s">
        <v>476</v>
      </c>
      <c r="C156" s="374" t="s">
        <v>13</v>
      </c>
      <c r="D156" s="357" t="s">
        <v>121</v>
      </c>
      <c r="E156" s="357" t="s">
        <v>121</v>
      </c>
      <c r="F156" s="375"/>
      <c r="G156" s="376"/>
      <c r="H156" s="376"/>
      <c r="I156" s="913"/>
      <c r="J156" s="357"/>
      <c r="K156" s="377">
        <f t="shared" ref="K156:M160" si="38">K157</f>
        <v>35.700000000000003</v>
      </c>
      <c r="L156" s="377">
        <f t="shared" si="38"/>
        <v>0</v>
      </c>
      <c r="M156" s="377">
        <f t="shared" si="38"/>
        <v>35.700000000000003</v>
      </c>
    </row>
    <row r="157" spans="1:14" s="354" customFormat="1" ht="75" x14ac:dyDescent="0.3">
      <c r="A157" s="358"/>
      <c r="B157" s="373" t="s">
        <v>481</v>
      </c>
      <c r="C157" s="374" t="s">
        <v>13</v>
      </c>
      <c r="D157" s="357" t="s">
        <v>121</v>
      </c>
      <c r="E157" s="357" t="s">
        <v>121</v>
      </c>
      <c r="F157" s="375" t="s">
        <v>167</v>
      </c>
      <c r="G157" s="376" t="s">
        <v>95</v>
      </c>
      <c r="H157" s="376" t="s">
        <v>96</v>
      </c>
      <c r="I157" s="913" t="s">
        <v>97</v>
      </c>
      <c r="J157" s="357"/>
      <c r="K157" s="377">
        <f t="shared" si="38"/>
        <v>35.700000000000003</v>
      </c>
      <c r="L157" s="377">
        <f t="shared" si="38"/>
        <v>0</v>
      </c>
      <c r="M157" s="377">
        <f t="shared" si="38"/>
        <v>35.700000000000003</v>
      </c>
    </row>
    <row r="158" spans="1:14" s="354" customFormat="1" ht="37.5" x14ac:dyDescent="0.3">
      <c r="A158" s="358"/>
      <c r="B158" s="373" t="s">
        <v>491</v>
      </c>
      <c r="C158" s="374" t="s">
        <v>13</v>
      </c>
      <c r="D158" s="357" t="s">
        <v>121</v>
      </c>
      <c r="E158" s="357" t="s">
        <v>121</v>
      </c>
      <c r="F158" s="375" t="s">
        <v>167</v>
      </c>
      <c r="G158" s="376" t="s">
        <v>83</v>
      </c>
      <c r="H158" s="376" t="s">
        <v>96</v>
      </c>
      <c r="I158" s="913" t="s">
        <v>97</v>
      </c>
      <c r="J158" s="357"/>
      <c r="K158" s="377">
        <f t="shared" si="38"/>
        <v>35.700000000000003</v>
      </c>
      <c r="L158" s="377">
        <f t="shared" si="38"/>
        <v>0</v>
      </c>
      <c r="M158" s="377">
        <f t="shared" si="38"/>
        <v>35.700000000000003</v>
      </c>
    </row>
    <row r="159" spans="1:14" s="354" customFormat="1" ht="56.25" x14ac:dyDescent="0.3">
      <c r="A159" s="358"/>
      <c r="B159" s="373" t="s">
        <v>477</v>
      </c>
      <c r="C159" s="374" t="s">
        <v>13</v>
      </c>
      <c r="D159" s="357" t="s">
        <v>121</v>
      </c>
      <c r="E159" s="357" t="s">
        <v>121</v>
      </c>
      <c r="F159" s="375" t="s">
        <v>167</v>
      </c>
      <c r="G159" s="376" t="s">
        <v>83</v>
      </c>
      <c r="H159" s="376" t="s">
        <v>139</v>
      </c>
      <c r="I159" s="913" t="s">
        <v>97</v>
      </c>
      <c r="J159" s="357"/>
      <c r="K159" s="377">
        <f t="shared" si="38"/>
        <v>35.700000000000003</v>
      </c>
      <c r="L159" s="377">
        <f t="shared" si="38"/>
        <v>0</v>
      </c>
      <c r="M159" s="377">
        <f t="shared" si="38"/>
        <v>35.700000000000003</v>
      </c>
    </row>
    <row r="160" spans="1:14" s="354" customFormat="1" ht="243.75" x14ac:dyDescent="0.3">
      <c r="A160" s="358"/>
      <c r="B160" s="373" t="s">
        <v>494</v>
      </c>
      <c r="C160" s="374" t="s">
        <v>13</v>
      </c>
      <c r="D160" s="357" t="s">
        <v>121</v>
      </c>
      <c r="E160" s="357" t="s">
        <v>121</v>
      </c>
      <c r="F160" s="375" t="s">
        <v>167</v>
      </c>
      <c r="G160" s="376" t="s">
        <v>83</v>
      </c>
      <c r="H160" s="376" t="s">
        <v>139</v>
      </c>
      <c r="I160" s="913" t="s">
        <v>478</v>
      </c>
      <c r="J160" s="357"/>
      <c r="K160" s="377">
        <f t="shared" si="38"/>
        <v>35.700000000000003</v>
      </c>
      <c r="L160" s="377">
        <f t="shared" si="38"/>
        <v>0</v>
      </c>
      <c r="M160" s="377">
        <f t="shared" si="38"/>
        <v>35.700000000000003</v>
      </c>
    </row>
    <row r="161" spans="1:15" s="354" customFormat="1" ht="18.75" x14ac:dyDescent="0.3">
      <c r="A161" s="358"/>
      <c r="B161" s="373" t="s">
        <v>186</v>
      </c>
      <c r="C161" s="374" t="s">
        <v>13</v>
      </c>
      <c r="D161" s="357" t="s">
        <v>121</v>
      </c>
      <c r="E161" s="357" t="s">
        <v>121</v>
      </c>
      <c r="F161" s="375" t="s">
        <v>167</v>
      </c>
      <c r="G161" s="376" t="s">
        <v>83</v>
      </c>
      <c r="H161" s="376" t="s">
        <v>139</v>
      </c>
      <c r="I161" s="913" t="s">
        <v>478</v>
      </c>
      <c r="J161" s="357" t="s">
        <v>187</v>
      </c>
      <c r="K161" s="590">
        <f>43.1-7.4</f>
        <v>35.700000000000003</v>
      </c>
      <c r="L161" s="252">
        <f>M161-K161</f>
        <v>0</v>
      </c>
      <c r="M161" s="590">
        <f>43.1-7.4</f>
        <v>35.700000000000003</v>
      </c>
    </row>
    <row r="162" spans="1:15" s="379" customFormat="1" ht="18.75" x14ac:dyDescent="0.3">
      <c r="A162" s="358"/>
      <c r="B162" s="373" t="s">
        <v>182</v>
      </c>
      <c r="C162" s="374" t="s">
        <v>13</v>
      </c>
      <c r="D162" s="357" t="s">
        <v>167</v>
      </c>
      <c r="E162" s="357"/>
      <c r="F162" s="375"/>
      <c r="G162" s="376"/>
      <c r="H162" s="376"/>
      <c r="I162" s="913"/>
      <c r="J162" s="357"/>
      <c r="K162" s="377">
        <f t="shared" ref="K162" si="39">K169+K163</f>
        <v>2475.6</v>
      </c>
      <c r="L162" s="377">
        <f t="shared" ref="L162:M162" si="40">L169+L163</f>
        <v>39</v>
      </c>
      <c r="M162" s="377">
        <f t="shared" si="40"/>
        <v>2514.6</v>
      </c>
    </row>
    <row r="163" spans="1:15" s="379" customFormat="1" ht="18.75" x14ac:dyDescent="0.3">
      <c r="A163" s="358"/>
      <c r="B163" s="373" t="s">
        <v>525</v>
      </c>
      <c r="C163" s="374" t="s">
        <v>13</v>
      </c>
      <c r="D163" s="357" t="s">
        <v>167</v>
      </c>
      <c r="E163" s="357" t="s">
        <v>90</v>
      </c>
      <c r="F163" s="375"/>
      <c r="G163" s="376"/>
      <c r="H163" s="376"/>
      <c r="I163" s="913"/>
      <c r="J163" s="357"/>
      <c r="K163" s="377">
        <f t="shared" ref="K163:M167" si="41">K164</f>
        <v>276</v>
      </c>
      <c r="L163" s="377">
        <f t="shared" si="41"/>
        <v>0</v>
      </c>
      <c r="M163" s="377">
        <f t="shared" si="41"/>
        <v>276</v>
      </c>
    </row>
    <row r="164" spans="1:15" s="379" customFormat="1" ht="56.25" x14ac:dyDescent="0.3">
      <c r="A164" s="358"/>
      <c r="B164" s="386" t="s">
        <v>407</v>
      </c>
      <c r="C164" s="374" t="s">
        <v>13</v>
      </c>
      <c r="D164" s="357" t="s">
        <v>167</v>
      </c>
      <c r="E164" s="357" t="s">
        <v>90</v>
      </c>
      <c r="F164" s="375" t="s">
        <v>139</v>
      </c>
      <c r="G164" s="376" t="s">
        <v>95</v>
      </c>
      <c r="H164" s="376" t="s">
        <v>96</v>
      </c>
      <c r="I164" s="913" t="s">
        <v>97</v>
      </c>
      <c r="J164" s="357"/>
      <c r="K164" s="377">
        <f t="shared" si="41"/>
        <v>276</v>
      </c>
      <c r="L164" s="377">
        <f t="shared" si="41"/>
        <v>0</v>
      </c>
      <c r="M164" s="377">
        <f t="shared" si="41"/>
        <v>276</v>
      </c>
    </row>
    <row r="165" spans="1:15" s="379" customFormat="1" ht="37.5" x14ac:dyDescent="0.3">
      <c r="A165" s="358"/>
      <c r="B165" s="373" t="s">
        <v>491</v>
      </c>
      <c r="C165" s="374" t="s">
        <v>13</v>
      </c>
      <c r="D165" s="357" t="s">
        <v>167</v>
      </c>
      <c r="E165" s="357" t="s">
        <v>90</v>
      </c>
      <c r="F165" s="375" t="s">
        <v>139</v>
      </c>
      <c r="G165" s="376" t="s">
        <v>98</v>
      </c>
      <c r="H165" s="376" t="s">
        <v>96</v>
      </c>
      <c r="I165" s="913" t="s">
        <v>97</v>
      </c>
      <c r="J165" s="357"/>
      <c r="K165" s="377">
        <f t="shared" si="41"/>
        <v>276</v>
      </c>
      <c r="L165" s="377">
        <f t="shared" si="41"/>
        <v>0</v>
      </c>
      <c r="M165" s="377">
        <f t="shared" si="41"/>
        <v>276</v>
      </c>
    </row>
    <row r="166" spans="1:15" s="379" customFormat="1" ht="93.75" x14ac:dyDescent="0.3">
      <c r="A166" s="358"/>
      <c r="B166" s="380" t="s">
        <v>542</v>
      </c>
      <c r="C166" s="374" t="s">
        <v>13</v>
      </c>
      <c r="D166" s="357" t="s">
        <v>167</v>
      </c>
      <c r="E166" s="357" t="s">
        <v>90</v>
      </c>
      <c r="F166" s="375" t="s">
        <v>139</v>
      </c>
      <c r="G166" s="376" t="s">
        <v>98</v>
      </c>
      <c r="H166" s="376" t="s">
        <v>105</v>
      </c>
      <c r="I166" s="913" t="s">
        <v>97</v>
      </c>
      <c r="J166" s="357"/>
      <c r="K166" s="377">
        <f t="shared" si="41"/>
        <v>276</v>
      </c>
      <c r="L166" s="377">
        <f t="shared" si="41"/>
        <v>0</v>
      </c>
      <c r="M166" s="377">
        <f t="shared" si="41"/>
        <v>276</v>
      </c>
    </row>
    <row r="167" spans="1:15" s="379" customFormat="1" ht="75" x14ac:dyDescent="0.3">
      <c r="A167" s="358"/>
      <c r="B167" s="380" t="s">
        <v>527</v>
      </c>
      <c r="C167" s="291" t="s">
        <v>13</v>
      </c>
      <c r="D167" s="292" t="s">
        <v>167</v>
      </c>
      <c r="E167" s="292" t="s">
        <v>90</v>
      </c>
      <c r="F167" s="511" t="s">
        <v>139</v>
      </c>
      <c r="G167" s="293" t="s">
        <v>98</v>
      </c>
      <c r="H167" s="293" t="s">
        <v>105</v>
      </c>
      <c r="I167" s="294" t="s">
        <v>526</v>
      </c>
      <c r="J167" s="292"/>
      <c r="K167" s="377">
        <f t="shared" si="41"/>
        <v>276</v>
      </c>
      <c r="L167" s="377">
        <f t="shared" si="41"/>
        <v>0</v>
      </c>
      <c r="M167" s="377">
        <f t="shared" si="41"/>
        <v>276</v>
      </c>
    </row>
    <row r="168" spans="1:15" s="379" customFormat="1" ht="37.5" x14ac:dyDescent="0.3">
      <c r="A168" s="358"/>
      <c r="B168" s="381" t="s">
        <v>183</v>
      </c>
      <c r="C168" s="291" t="s">
        <v>13</v>
      </c>
      <c r="D168" s="292" t="s">
        <v>167</v>
      </c>
      <c r="E168" s="292" t="s">
        <v>90</v>
      </c>
      <c r="F168" s="511" t="s">
        <v>139</v>
      </c>
      <c r="G168" s="293" t="s">
        <v>98</v>
      </c>
      <c r="H168" s="293" t="s">
        <v>105</v>
      </c>
      <c r="I168" s="294" t="s">
        <v>526</v>
      </c>
      <c r="J168" s="292" t="s">
        <v>184</v>
      </c>
      <c r="K168" s="295">
        <v>276</v>
      </c>
      <c r="L168" s="252">
        <f>M168-K168</f>
        <v>0</v>
      </c>
      <c r="M168" s="295">
        <v>276</v>
      </c>
      <c r="O168" s="938"/>
    </row>
    <row r="169" spans="1:15" s="379" customFormat="1" ht="37.5" x14ac:dyDescent="0.3">
      <c r="A169" s="358"/>
      <c r="B169" s="373" t="s">
        <v>185</v>
      </c>
      <c r="C169" s="374" t="s">
        <v>13</v>
      </c>
      <c r="D169" s="357" t="s">
        <v>167</v>
      </c>
      <c r="E169" s="357" t="s">
        <v>141</v>
      </c>
      <c r="F169" s="375"/>
      <c r="G169" s="376"/>
      <c r="H169" s="376"/>
      <c r="I169" s="913"/>
      <c r="J169" s="357"/>
      <c r="K169" s="377">
        <f>K175+K170</f>
        <v>2199.6</v>
      </c>
      <c r="L169" s="377">
        <f>L175+L170</f>
        <v>39</v>
      </c>
      <c r="M169" s="377">
        <f>M175+M170</f>
        <v>2238.6</v>
      </c>
    </row>
    <row r="170" spans="1:15" s="67" customFormat="1" ht="56.25" x14ac:dyDescent="0.3">
      <c r="A170" s="2"/>
      <c r="B170" s="232" t="s">
        <v>407</v>
      </c>
      <c r="C170" s="99" t="s">
        <v>13</v>
      </c>
      <c r="D170" s="100" t="s">
        <v>167</v>
      </c>
      <c r="E170" s="100" t="s">
        <v>141</v>
      </c>
      <c r="F170" s="584" t="s">
        <v>139</v>
      </c>
      <c r="G170" s="585" t="s">
        <v>95</v>
      </c>
      <c r="H170" s="585" t="s">
        <v>96</v>
      </c>
      <c r="I170" s="914" t="s">
        <v>97</v>
      </c>
      <c r="J170" s="100"/>
      <c r="K170" s="252">
        <f t="shared" ref="K170:M173" si="42">K171</f>
        <v>1500</v>
      </c>
      <c r="L170" s="252">
        <f t="shared" si="42"/>
        <v>0</v>
      </c>
      <c r="M170" s="252">
        <f t="shared" si="42"/>
        <v>1500</v>
      </c>
      <c r="N170" s="212"/>
    </row>
    <row r="171" spans="1:15" s="67" customFormat="1" ht="37.5" x14ac:dyDescent="0.3">
      <c r="A171" s="2"/>
      <c r="B171" s="232" t="s">
        <v>491</v>
      </c>
      <c r="C171" s="99" t="s">
        <v>13</v>
      </c>
      <c r="D171" s="100" t="s">
        <v>167</v>
      </c>
      <c r="E171" s="100" t="s">
        <v>141</v>
      </c>
      <c r="F171" s="584" t="s">
        <v>139</v>
      </c>
      <c r="G171" s="585" t="s">
        <v>98</v>
      </c>
      <c r="H171" s="585" t="s">
        <v>96</v>
      </c>
      <c r="I171" s="914" t="s">
        <v>97</v>
      </c>
      <c r="J171" s="100"/>
      <c r="K171" s="252">
        <f t="shared" si="42"/>
        <v>1500</v>
      </c>
      <c r="L171" s="252">
        <f t="shared" si="42"/>
        <v>0</v>
      </c>
      <c r="M171" s="252">
        <f t="shared" si="42"/>
        <v>1500</v>
      </c>
      <c r="N171" s="212"/>
    </row>
    <row r="172" spans="1:15" s="67" customFormat="1" ht="37.5" x14ac:dyDescent="0.3">
      <c r="A172" s="2"/>
      <c r="B172" s="233" t="s">
        <v>815</v>
      </c>
      <c r="C172" s="99" t="s">
        <v>13</v>
      </c>
      <c r="D172" s="100" t="s">
        <v>167</v>
      </c>
      <c r="E172" s="100" t="s">
        <v>141</v>
      </c>
      <c r="F172" s="584" t="s">
        <v>139</v>
      </c>
      <c r="G172" s="585" t="s">
        <v>98</v>
      </c>
      <c r="H172" s="585" t="s">
        <v>121</v>
      </c>
      <c r="I172" s="914" t="s">
        <v>97</v>
      </c>
      <c r="J172" s="100"/>
      <c r="K172" s="252">
        <f t="shared" si="42"/>
        <v>1500</v>
      </c>
      <c r="L172" s="252">
        <f t="shared" si="42"/>
        <v>0</v>
      </c>
      <c r="M172" s="252">
        <f t="shared" si="42"/>
        <v>1500</v>
      </c>
      <c r="N172" s="212"/>
    </row>
    <row r="173" spans="1:15" s="67" customFormat="1" ht="75" x14ac:dyDescent="0.3">
      <c r="A173" s="2"/>
      <c r="B173" s="233" t="s">
        <v>817</v>
      </c>
      <c r="C173" s="99" t="s">
        <v>13</v>
      </c>
      <c r="D173" s="100" t="s">
        <v>167</v>
      </c>
      <c r="E173" s="100" t="s">
        <v>141</v>
      </c>
      <c r="F173" s="584" t="s">
        <v>139</v>
      </c>
      <c r="G173" s="585" t="s">
        <v>98</v>
      </c>
      <c r="H173" s="585" t="s">
        <v>121</v>
      </c>
      <c r="I173" s="914" t="s">
        <v>818</v>
      </c>
      <c r="J173" s="100"/>
      <c r="K173" s="252">
        <f t="shared" si="42"/>
        <v>1500</v>
      </c>
      <c r="L173" s="252">
        <f t="shared" si="42"/>
        <v>0</v>
      </c>
      <c r="M173" s="252">
        <f t="shared" si="42"/>
        <v>1500</v>
      </c>
      <c r="N173" s="212"/>
    </row>
    <row r="174" spans="1:15" s="67" customFormat="1" ht="56.25" x14ac:dyDescent="0.3">
      <c r="A174" s="2"/>
      <c r="B174" s="234" t="s">
        <v>816</v>
      </c>
      <c r="C174" s="99" t="s">
        <v>13</v>
      </c>
      <c r="D174" s="100" t="s">
        <v>167</v>
      </c>
      <c r="E174" s="100" t="s">
        <v>141</v>
      </c>
      <c r="F174" s="592" t="s">
        <v>139</v>
      </c>
      <c r="G174" s="593" t="s">
        <v>98</v>
      </c>
      <c r="H174" s="593" t="s">
        <v>121</v>
      </c>
      <c r="I174" s="594" t="s">
        <v>818</v>
      </c>
      <c r="J174" s="595" t="s">
        <v>184</v>
      </c>
      <c r="K174" s="590">
        <v>1500</v>
      </c>
      <c r="L174" s="252">
        <f>M174-K174</f>
        <v>0</v>
      </c>
      <c r="M174" s="590">
        <v>1500</v>
      </c>
      <c r="N174" s="212"/>
    </row>
    <row r="175" spans="1:15" s="379" customFormat="1" ht="75" x14ac:dyDescent="0.3">
      <c r="A175" s="358"/>
      <c r="B175" s="373" t="s">
        <v>131</v>
      </c>
      <c r="C175" s="374" t="s">
        <v>13</v>
      </c>
      <c r="D175" s="357" t="s">
        <v>167</v>
      </c>
      <c r="E175" s="357" t="s">
        <v>141</v>
      </c>
      <c r="F175" s="375" t="s">
        <v>132</v>
      </c>
      <c r="G175" s="376" t="s">
        <v>95</v>
      </c>
      <c r="H175" s="376" t="s">
        <v>96</v>
      </c>
      <c r="I175" s="913" t="s">
        <v>97</v>
      </c>
      <c r="J175" s="357"/>
      <c r="K175" s="377">
        <f t="shared" ref="K175:M178" si="43">K176</f>
        <v>699.6</v>
      </c>
      <c r="L175" s="377">
        <f t="shared" si="43"/>
        <v>39</v>
      </c>
      <c r="M175" s="377">
        <f t="shared" si="43"/>
        <v>738.6</v>
      </c>
    </row>
    <row r="176" spans="1:15" s="379" customFormat="1" ht="37.5" x14ac:dyDescent="0.3">
      <c r="A176" s="358"/>
      <c r="B176" s="373" t="s">
        <v>491</v>
      </c>
      <c r="C176" s="374" t="s">
        <v>13</v>
      </c>
      <c r="D176" s="357" t="s">
        <v>167</v>
      </c>
      <c r="E176" s="357" t="s">
        <v>141</v>
      </c>
      <c r="F176" s="375" t="s">
        <v>132</v>
      </c>
      <c r="G176" s="376" t="s">
        <v>98</v>
      </c>
      <c r="H176" s="376" t="s">
        <v>96</v>
      </c>
      <c r="I176" s="913" t="s">
        <v>97</v>
      </c>
      <c r="J176" s="357"/>
      <c r="K176" s="377">
        <f t="shared" si="43"/>
        <v>699.6</v>
      </c>
      <c r="L176" s="377">
        <f t="shared" si="43"/>
        <v>39</v>
      </c>
      <c r="M176" s="377">
        <f t="shared" si="43"/>
        <v>738.6</v>
      </c>
    </row>
    <row r="177" spans="1:13" s="379" customFormat="1" ht="56.25" x14ac:dyDescent="0.3">
      <c r="A177" s="358"/>
      <c r="B177" s="380" t="s">
        <v>371</v>
      </c>
      <c r="C177" s="374" t="s">
        <v>13</v>
      </c>
      <c r="D177" s="357" t="s">
        <v>167</v>
      </c>
      <c r="E177" s="357" t="s">
        <v>141</v>
      </c>
      <c r="F177" s="375" t="s">
        <v>132</v>
      </c>
      <c r="G177" s="376" t="s">
        <v>98</v>
      </c>
      <c r="H177" s="376" t="s">
        <v>90</v>
      </c>
      <c r="I177" s="913" t="s">
        <v>97</v>
      </c>
      <c r="J177" s="357"/>
      <c r="K177" s="377">
        <f t="shared" si="43"/>
        <v>699.6</v>
      </c>
      <c r="L177" s="377">
        <f t="shared" si="43"/>
        <v>39</v>
      </c>
      <c r="M177" s="377">
        <f t="shared" si="43"/>
        <v>738.6</v>
      </c>
    </row>
    <row r="178" spans="1:13" s="379" customFormat="1" ht="56.25" x14ac:dyDescent="0.3">
      <c r="A178" s="358"/>
      <c r="B178" s="380" t="s">
        <v>133</v>
      </c>
      <c r="C178" s="374" t="s">
        <v>13</v>
      </c>
      <c r="D178" s="357" t="s">
        <v>167</v>
      </c>
      <c r="E178" s="357" t="s">
        <v>141</v>
      </c>
      <c r="F178" s="375" t="s">
        <v>132</v>
      </c>
      <c r="G178" s="376" t="s">
        <v>98</v>
      </c>
      <c r="H178" s="376" t="s">
        <v>90</v>
      </c>
      <c r="I178" s="913" t="s">
        <v>134</v>
      </c>
      <c r="J178" s="357"/>
      <c r="K178" s="377">
        <f t="shared" si="43"/>
        <v>699.6</v>
      </c>
      <c r="L178" s="377">
        <f t="shared" si="43"/>
        <v>39</v>
      </c>
      <c r="M178" s="377">
        <f t="shared" si="43"/>
        <v>738.6</v>
      </c>
    </row>
    <row r="179" spans="1:13" s="379" customFormat="1" ht="56.25" x14ac:dyDescent="0.3">
      <c r="A179" s="358"/>
      <c r="B179" s="381" t="s">
        <v>135</v>
      </c>
      <c r="C179" s="374" t="s">
        <v>13</v>
      </c>
      <c r="D179" s="357" t="s">
        <v>167</v>
      </c>
      <c r="E179" s="357" t="s">
        <v>141</v>
      </c>
      <c r="F179" s="375" t="s">
        <v>132</v>
      </c>
      <c r="G179" s="376" t="s">
        <v>98</v>
      </c>
      <c r="H179" s="376" t="s">
        <v>90</v>
      </c>
      <c r="I179" s="913" t="s">
        <v>134</v>
      </c>
      <c r="J179" s="357" t="s">
        <v>136</v>
      </c>
      <c r="K179" s="377">
        <v>699.6</v>
      </c>
      <c r="L179" s="252">
        <f>M179-K179</f>
        <v>39</v>
      </c>
      <c r="M179" s="377">
        <f>699.6+39</f>
        <v>738.6</v>
      </c>
    </row>
    <row r="180" spans="1:13" s="379" customFormat="1" ht="37.5" x14ac:dyDescent="0.3">
      <c r="A180" s="2"/>
      <c r="B180" s="234" t="s">
        <v>608</v>
      </c>
      <c r="C180" s="99" t="s">
        <v>13</v>
      </c>
      <c r="D180" s="100" t="s">
        <v>130</v>
      </c>
      <c r="E180" s="100"/>
      <c r="F180" s="347"/>
      <c r="G180" s="543"/>
      <c r="H180" s="543"/>
      <c r="I180" s="914"/>
      <c r="J180" s="100"/>
      <c r="K180" s="252">
        <f t="shared" ref="K180:M185" si="44">K181</f>
        <v>6</v>
      </c>
      <c r="L180" s="252">
        <f t="shared" si="44"/>
        <v>0</v>
      </c>
      <c r="M180" s="252">
        <f t="shared" si="44"/>
        <v>6</v>
      </c>
    </row>
    <row r="181" spans="1:13" s="379" customFormat="1" ht="37.5" x14ac:dyDescent="0.3">
      <c r="A181" s="2"/>
      <c r="B181" s="234" t="s">
        <v>609</v>
      </c>
      <c r="C181" s="99" t="s">
        <v>13</v>
      </c>
      <c r="D181" s="100" t="s">
        <v>130</v>
      </c>
      <c r="E181" s="100" t="s">
        <v>90</v>
      </c>
      <c r="F181" s="347"/>
      <c r="G181" s="543"/>
      <c r="H181" s="543"/>
      <c r="I181" s="914"/>
      <c r="J181" s="100"/>
      <c r="K181" s="252">
        <f t="shared" si="44"/>
        <v>6</v>
      </c>
      <c r="L181" s="252">
        <f t="shared" si="44"/>
        <v>0</v>
      </c>
      <c r="M181" s="252">
        <f t="shared" si="44"/>
        <v>6</v>
      </c>
    </row>
    <row r="182" spans="1:13" s="379" customFormat="1" ht="56.25" x14ac:dyDescent="0.3">
      <c r="A182" s="2"/>
      <c r="B182" s="232" t="s">
        <v>93</v>
      </c>
      <c r="C182" s="99" t="s">
        <v>13</v>
      </c>
      <c r="D182" s="100" t="s">
        <v>130</v>
      </c>
      <c r="E182" s="100" t="s">
        <v>90</v>
      </c>
      <c r="F182" s="347" t="s">
        <v>94</v>
      </c>
      <c r="G182" s="543" t="s">
        <v>95</v>
      </c>
      <c r="H182" s="543" t="s">
        <v>96</v>
      </c>
      <c r="I182" s="914" t="s">
        <v>97</v>
      </c>
      <c r="J182" s="100"/>
      <c r="K182" s="252">
        <f t="shared" si="44"/>
        <v>6</v>
      </c>
      <c r="L182" s="252">
        <f t="shared" si="44"/>
        <v>0</v>
      </c>
      <c r="M182" s="252">
        <f t="shared" si="44"/>
        <v>6</v>
      </c>
    </row>
    <row r="183" spans="1:13" s="379" customFormat="1" ht="37.5" x14ac:dyDescent="0.3">
      <c r="A183" s="2"/>
      <c r="B183" s="232" t="s">
        <v>491</v>
      </c>
      <c r="C183" s="99" t="s">
        <v>13</v>
      </c>
      <c r="D183" s="100" t="s">
        <v>130</v>
      </c>
      <c r="E183" s="100" t="s">
        <v>90</v>
      </c>
      <c r="F183" s="347" t="s">
        <v>94</v>
      </c>
      <c r="G183" s="543" t="s">
        <v>98</v>
      </c>
      <c r="H183" s="543" t="s">
        <v>96</v>
      </c>
      <c r="I183" s="914" t="s">
        <v>97</v>
      </c>
      <c r="J183" s="100"/>
      <c r="K183" s="252">
        <f t="shared" si="44"/>
        <v>6</v>
      </c>
      <c r="L183" s="252">
        <f t="shared" si="44"/>
        <v>0</v>
      </c>
      <c r="M183" s="252">
        <f t="shared" si="44"/>
        <v>6</v>
      </c>
    </row>
    <row r="184" spans="1:13" s="379" customFormat="1" ht="56.25" x14ac:dyDescent="0.3">
      <c r="A184" s="2"/>
      <c r="B184" s="234" t="s">
        <v>610</v>
      </c>
      <c r="C184" s="99" t="s">
        <v>13</v>
      </c>
      <c r="D184" s="100" t="s">
        <v>130</v>
      </c>
      <c r="E184" s="100" t="s">
        <v>90</v>
      </c>
      <c r="F184" s="347" t="s">
        <v>94</v>
      </c>
      <c r="G184" s="543" t="s">
        <v>98</v>
      </c>
      <c r="H184" s="543" t="s">
        <v>139</v>
      </c>
      <c r="I184" s="914" t="s">
        <v>97</v>
      </c>
      <c r="J184" s="100"/>
      <c r="K184" s="252">
        <f t="shared" si="44"/>
        <v>6</v>
      </c>
      <c r="L184" s="252">
        <f t="shared" si="44"/>
        <v>0</v>
      </c>
      <c r="M184" s="252">
        <f t="shared" si="44"/>
        <v>6</v>
      </c>
    </row>
    <row r="185" spans="1:13" s="379" customFormat="1" ht="37.5" x14ac:dyDescent="0.3">
      <c r="A185" s="2"/>
      <c r="B185" s="234" t="s">
        <v>611</v>
      </c>
      <c r="C185" s="99" t="s">
        <v>13</v>
      </c>
      <c r="D185" s="100" t="s">
        <v>130</v>
      </c>
      <c r="E185" s="100" t="s">
        <v>90</v>
      </c>
      <c r="F185" s="347" t="s">
        <v>94</v>
      </c>
      <c r="G185" s="543" t="s">
        <v>98</v>
      </c>
      <c r="H185" s="543" t="s">
        <v>139</v>
      </c>
      <c r="I185" s="914" t="s">
        <v>612</v>
      </c>
      <c r="J185" s="100"/>
      <c r="K185" s="252">
        <f t="shared" si="44"/>
        <v>6</v>
      </c>
      <c r="L185" s="252">
        <f t="shared" si="44"/>
        <v>0</v>
      </c>
      <c r="M185" s="252">
        <f t="shared" si="44"/>
        <v>6</v>
      </c>
    </row>
    <row r="186" spans="1:13" s="379" customFormat="1" ht="37.5" x14ac:dyDescent="0.3">
      <c r="A186" s="2"/>
      <c r="B186" s="234" t="s">
        <v>613</v>
      </c>
      <c r="C186" s="99" t="s">
        <v>13</v>
      </c>
      <c r="D186" s="100" t="s">
        <v>130</v>
      </c>
      <c r="E186" s="100" t="s">
        <v>90</v>
      </c>
      <c r="F186" s="347" t="s">
        <v>94</v>
      </c>
      <c r="G186" s="543" t="s">
        <v>98</v>
      </c>
      <c r="H186" s="543" t="s">
        <v>139</v>
      </c>
      <c r="I186" s="914" t="s">
        <v>612</v>
      </c>
      <c r="J186" s="100" t="s">
        <v>614</v>
      </c>
      <c r="K186" s="252">
        <v>6</v>
      </c>
      <c r="L186" s="252">
        <f>M186-K186</f>
        <v>0</v>
      </c>
      <c r="M186" s="252">
        <v>6</v>
      </c>
    </row>
    <row r="187" spans="1:13" ht="18.75" x14ac:dyDescent="0.3">
      <c r="A187" s="358"/>
      <c r="B187" s="373"/>
      <c r="C187" s="374"/>
      <c r="D187" s="357"/>
      <c r="E187" s="357"/>
      <c r="F187" s="375"/>
      <c r="G187" s="376"/>
      <c r="H187" s="376"/>
      <c r="I187" s="913"/>
      <c r="J187" s="357"/>
      <c r="K187" s="377"/>
      <c r="L187" s="377"/>
      <c r="M187" s="377"/>
    </row>
    <row r="188" spans="1:13" ht="56.25" x14ac:dyDescent="0.3">
      <c r="A188" s="365">
        <v>2</v>
      </c>
      <c r="B188" s="366" t="s">
        <v>28</v>
      </c>
      <c r="C188" s="367" t="s">
        <v>425</v>
      </c>
      <c r="D188" s="368"/>
      <c r="E188" s="368"/>
      <c r="F188" s="369"/>
      <c r="G188" s="370"/>
      <c r="H188" s="370"/>
      <c r="I188" s="371"/>
      <c r="J188" s="368"/>
      <c r="K188" s="519">
        <f>K189+K207</f>
        <v>29768.3</v>
      </c>
      <c r="L188" s="519">
        <f>L189+L207</f>
        <v>773.29999999999927</v>
      </c>
      <c r="M188" s="519">
        <f>M189+M207</f>
        <v>30541.599999999999</v>
      </c>
    </row>
    <row r="189" spans="1:13" ht="18.75" x14ac:dyDescent="0.3">
      <c r="A189" s="358"/>
      <c r="B189" s="373" t="s">
        <v>89</v>
      </c>
      <c r="C189" s="374" t="s">
        <v>425</v>
      </c>
      <c r="D189" s="357" t="s">
        <v>90</v>
      </c>
      <c r="E189" s="357"/>
      <c r="F189" s="375"/>
      <c r="G189" s="376"/>
      <c r="H189" s="376"/>
      <c r="I189" s="913"/>
      <c r="J189" s="357"/>
      <c r="K189" s="377">
        <f t="shared" ref="K189" si="45">K190+K201</f>
        <v>24768.3</v>
      </c>
      <c r="L189" s="377">
        <f t="shared" ref="L189:M189" si="46">L190+L201</f>
        <v>773.29999999999927</v>
      </c>
      <c r="M189" s="377">
        <f t="shared" si="46"/>
        <v>25541.599999999999</v>
      </c>
    </row>
    <row r="190" spans="1:13" ht="75" x14ac:dyDescent="0.3">
      <c r="A190" s="358"/>
      <c r="B190" s="373" t="s">
        <v>198</v>
      </c>
      <c r="C190" s="374" t="s">
        <v>425</v>
      </c>
      <c r="D190" s="357" t="s">
        <v>90</v>
      </c>
      <c r="E190" s="357" t="s">
        <v>141</v>
      </c>
      <c r="F190" s="375"/>
      <c r="G190" s="376"/>
      <c r="H190" s="376"/>
      <c r="I190" s="913"/>
      <c r="J190" s="357"/>
      <c r="K190" s="377">
        <f t="shared" ref="K190:M193" si="47">K191</f>
        <v>22842.399999999998</v>
      </c>
      <c r="L190" s="377">
        <f t="shared" si="47"/>
        <v>773.29999999999927</v>
      </c>
      <c r="M190" s="377">
        <f t="shared" si="47"/>
        <v>23615.699999999997</v>
      </c>
    </row>
    <row r="191" spans="1:13" ht="56.25" x14ac:dyDescent="0.3">
      <c r="A191" s="358"/>
      <c r="B191" s="373" t="s">
        <v>303</v>
      </c>
      <c r="C191" s="374" t="s">
        <v>425</v>
      </c>
      <c r="D191" s="357" t="s">
        <v>90</v>
      </c>
      <c r="E191" s="357" t="s">
        <v>141</v>
      </c>
      <c r="F191" s="375" t="s">
        <v>304</v>
      </c>
      <c r="G191" s="376" t="s">
        <v>95</v>
      </c>
      <c r="H191" s="376" t="s">
        <v>96</v>
      </c>
      <c r="I191" s="913" t="s">
        <v>97</v>
      </c>
      <c r="J191" s="357"/>
      <c r="K191" s="377">
        <f t="shared" si="47"/>
        <v>22842.399999999998</v>
      </c>
      <c r="L191" s="377">
        <f t="shared" si="47"/>
        <v>773.29999999999927</v>
      </c>
      <c r="M191" s="377">
        <f t="shared" si="47"/>
        <v>23615.699999999997</v>
      </c>
    </row>
    <row r="192" spans="1:13" ht="37.5" x14ac:dyDescent="0.3">
      <c r="A192" s="358"/>
      <c r="B192" s="373" t="s">
        <v>491</v>
      </c>
      <c r="C192" s="374" t="s">
        <v>425</v>
      </c>
      <c r="D192" s="357" t="s">
        <v>90</v>
      </c>
      <c r="E192" s="357" t="s">
        <v>141</v>
      </c>
      <c r="F192" s="387" t="s">
        <v>304</v>
      </c>
      <c r="G192" s="388" t="s">
        <v>98</v>
      </c>
      <c r="H192" s="376" t="s">
        <v>96</v>
      </c>
      <c r="I192" s="913" t="s">
        <v>97</v>
      </c>
      <c r="J192" s="357"/>
      <c r="K192" s="377">
        <f t="shared" ref="K192" si="48">K193+K198</f>
        <v>22842.399999999998</v>
      </c>
      <c r="L192" s="377">
        <f t="shared" ref="L192:M192" si="49">L193+L198</f>
        <v>773.29999999999927</v>
      </c>
      <c r="M192" s="377">
        <f t="shared" si="49"/>
        <v>23615.699999999997</v>
      </c>
    </row>
    <row r="193" spans="1:13" ht="56.25" x14ac:dyDescent="0.3">
      <c r="A193" s="358"/>
      <c r="B193" s="373" t="s">
        <v>426</v>
      </c>
      <c r="C193" s="374" t="s">
        <v>425</v>
      </c>
      <c r="D193" s="357" t="s">
        <v>90</v>
      </c>
      <c r="E193" s="357" t="s">
        <v>141</v>
      </c>
      <c r="F193" s="387" t="s">
        <v>304</v>
      </c>
      <c r="G193" s="388" t="s">
        <v>98</v>
      </c>
      <c r="H193" s="376" t="s">
        <v>90</v>
      </c>
      <c r="I193" s="913" t="s">
        <v>97</v>
      </c>
      <c r="J193" s="357"/>
      <c r="K193" s="377">
        <f t="shared" si="47"/>
        <v>22649.1</v>
      </c>
      <c r="L193" s="377">
        <f t="shared" si="47"/>
        <v>773.29999999999927</v>
      </c>
      <c r="M193" s="377">
        <f t="shared" si="47"/>
        <v>23422.399999999998</v>
      </c>
    </row>
    <row r="194" spans="1:13" ht="37.5" x14ac:dyDescent="0.3">
      <c r="A194" s="358"/>
      <c r="B194" s="373" t="s">
        <v>100</v>
      </c>
      <c r="C194" s="374" t="s">
        <v>425</v>
      </c>
      <c r="D194" s="357" t="s">
        <v>90</v>
      </c>
      <c r="E194" s="357" t="s">
        <v>141</v>
      </c>
      <c r="F194" s="387" t="s">
        <v>304</v>
      </c>
      <c r="G194" s="388" t="s">
        <v>98</v>
      </c>
      <c r="H194" s="376" t="s">
        <v>90</v>
      </c>
      <c r="I194" s="913" t="s">
        <v>101</v>
      </c>
      <c r="J194" s="357"/>
      <c r="K194" s="377">
        <f t="shared" ref="K194" si="50">SUM(K195:K197)</f>
        <v>22649.1</v>
      </c>
      <c r="L194" s="377">
        <f t="shared" ref="L194:M194" si="51">SUM(L195:L197)</f>
        <v>773.29999999999927</v>
      </c>
      <c r="M194" s="377">
        <f t="shared" si="51"/>
        <v>23422.399999999998</v>
      </c>
    </row>
    <row r="195" spans="1:13" ht="112.5" x14ac:dyDescent="0.3">
      <c r="A195" s="358"/>
      <c r="B195" s="373" t="s">
        <v>102</v>
      </c>
      <c r="C195" s="374" t="s">
        <v>425</v>
      </c>
      <c r="D195" s="357" t="s">
        <v>90</v>
      </c>
      <c r="E195" s="357" t="s">
        <v>141</v>
      </c>
      <c r="F195" s="387" t="s">
        <v>304</v>
      </c>
      <c r="G195" s="388" t="s">
        <v>98</v>
      </c>
      <c r="H195" s="376" t="s">
        <v>90</v>
      </c>
      <c r="I195" s="913" t="s">
        <v>101</v>
      </c>
      <c r="J195" s="357" t="s">
        <v>103</v>
      </c>
      <c r="K195" s="377">
        <v>21722.400000000001</v>
      </c>
      <c r="L195" s="252">
        <f t="shared" ref="L195:L197" si="52">M195-K195</f>
        <v>773.29999999999927</v>
      </c>
      <c r="M195" s="377">
        <f>21722.4+773.3</f>
        <v>22495.7</v>
      </c>
    </row>
    <row r="196" spans="1:13" ht="56.25" x14ac:dyDescent="0.3">
      <c r="A196" s="358"/>
      <c r="B196" s="373" t="s">
        <v>108</v>
      </c>
      <c r="C196" s="374" t="s">
        <v>425</v>
      </c>
      <c r="D196" s="357" t="s">
        <v>90</v>
      </c>
      <c r="E196" s="357" t="s">
        <v>141</v>
      </c>
      <c r="F196" s="387" t="s">
        <v>304</v>
      </c>
      <c r="G196" s="388" t="s">
        <v>98</v>
      </c>
      <c r="H196" s="376" t="s">
        <v>90</v>
      </c>
      <c r="I196" s="913" t="s">
        <v>101</v>
      </c>
      <c r="J196" s="357" t="s">
        <v>109</v>
      </c>
      <c r="K196" s="377">
        <v>921.6</v>
      </c>
      <c r="L196" s="252">
        <f t="shared" si="52"/>
        <v>0</v>
      </c>
      <c r="M196" s="377">
        <v>921.6</v>
      </c>
    </row>
    <row r="197" spans="1:13" ht="18.75" x14ac:dyDescent="0.3">
      <c r="A197" s="358"/>
      <c r="B197" s="373" t="s">
        <v>110</v>
      </c>
      <c r="C197" s="374" t="s">
        <v>425</v>
      </c>
      <c r="D197" s="357" t="s">
        <v>90</v>
      </c>
      <c r="E197" s="357" t="s">
        <v>141</v>
      </c>
      <c r="F197" s="387" t="s">
        <v>304</v>
      </c>
      <c r="G197" s="388" t="s">
        <v>98</v>
      </c>
      <c r="H197" s="376" t="s">
        <v>90</v>
      </c>
      <c r="I197" s="913" t="s">
        <v>101</v>
      </c>
      <c r="J197" s="357" t="s">
        <v>111</v>
      </c>
      <c r="K197" s="377">
        <v>5.0999999999999996</v>
      </c>
      <c r="L197" s="252">
        <f t="shared" si="52"/>
        <v>0</v>
      </c>
      <c r="M197" s="377">
        <v>5.0999999999999996</v>
      </c>
    </row>
    <row r="198" spans="1:13" ht="75" x14ac:dyDescent="0.3">
      <c r="A198" s="358"/>
      <c r="B198" s="373" t="s">
        <v>465</v>
      </c>
      <c r="C198" s="374" t="s">
        <v>425</v>
      </c>
      <c r="D198" s="357" t="s">
        <v>90</v>
      </c>
      <c r="E198" s="357" t="s">
        <v>141</v>
      </c>
      <c r="F198" s="387" t="s">
        <v>304</v>
      </c>
      <c r="G198" s="388" t="s">
        <v>98</v>
      </c>
      <c r="H198" s="376" t="s">
        <v>105</v>
      </c>
      <c r="I198" s="913" t="s">
        <v>97</v>
      </c>
      <c r="J198" s="357"/>
      <c r="K198" s="377">
        <f t="shared" ref="K198:M198" si="53">K199</f>
        <v>193.3</v>
      </c>
      <c r="L198" s="377">
        <f t="shared" si="53"/>
        <v>0</v>
      </c>
      <c r="M198" s="377">
        <f t="shared" si="53"/>
        <v>193.3</v>
      </c>
    </row>
    <row r="199" spans="1:13" ht="37.5" x14ac:dyDescent="0.3">
      <c r="A199" s="358"/>
      <c r="B199" s="373" t="s">
        <v>576</v>
      </c>
      <c r="C199" s="374" t="s">
        <v>425</v>
      </c>
      <c r="D199" s="357" t="s">
        <v>90</v>
      </c>
      <c r="E199" s="357" t="s">
        <v>141</v>
      </c>
      <c r="F199" s="387" t="s">
        <v>304</v>
      </c>
      <c r="G199" s="388" t="s">
        <v>98</v>
      </c>
      <c r="H199" s="376" t="s">
        <v>105</v>
      </c>
      <c r="I199" s="913" t="s">
        <v>575</v>
      </c>
      <c r="J199" s="357"/>
      <c r="K199" s="377">
        <f>SUM(K200:K200)</f>
        <v>193.3</v>
      </c>
      <c r="L199" s="377">
        <f>SUM(L200:L200)</f>
        <v>0</v>
      </c>
      <c r="M199" s="377">
        <f>SUM(M200:M200)</f>
        <v>193.3</v>
      </c>
    </row>
    <row r="200" spans="1:13" ht="56.25" x14ac:dyDescent="0.3">
      <c r="A200" s="358"/>
      <c r="B200" s="373" t="s">
        <v>108</v>
      </c>
      <c r="C200" s="374" t="s">
        <v>425</v>
      </c>
      <c r="D200" s="357" t="s">
        <v>90</v>
      </c>
      <c r="E200" s="357" t="s">
        <v>141</v>
      </c>
      <c r="F200" s="387" t="s">
        <v>304</v>
      </c>
      <c r="G200" s="388" t="s">
        <v>98</v>
      </c>
      <c r="H200" s="376" t="s">
        <v>105</v>
      </c>
      <c r="I200" s="913" t="s">
        <v>575</v>
      </c>
      <c r="J200" s="357" t="s">
        <v>109</v>
      </c>
      <c r="K200" s="377">
        <v>193.3</v>
      </c>
      <c r="L200" s="252">
        <f>M200-K200</f>
        <v>0</v>
      </c>
      <c r="M200" s="377">
        <v>193.3</v>
      </c>
    </row>
    <row r="201" spans="1:13" ht="18.75" x14ac:dyDescent="0.3">
      <c r="A201" s="358"/>
      <c r="B201" s="373" t="s">
        <v>129</v>
      </c>
      <c r="C201" s="374" t="s">
        <v>425</v>
      </c>
      <c r="D201" s="357" t="s">
        <v>90</v>
      </c>
      <c r="E201" s="357" t="s">
        <v>130</v>
      </c>
      <c r="F201" s="387"/>
      <c r="G201" s="388"/>
      <c r="H201" s="376"/>
      <c r="I201" s="913"/>
      <c r="J201" s="357"/>
      <c r="K201" s="377">
        <f t="shared" ref="K201:M205" si="54">K202</f>
        <v>1925.9</v>
      </c>
      <c r="L201" s="377">
        <f t="shared" si="54"/>
        <v>0</v>
      </c>
      <c r="M201" s="377">
        <f t="shared" si="54"/>
        <v>1925.9</v>
      </c>
    </row>
    <row r="202" spans="1:13" ht="56.25" x14ac:dyDescent="0.3">
      <c r="A202" s="358"/>
      <c r="B202" s="373" t="s">
        <v>303</v>
      </c>
      <c r="C202" s="374" t="s">
        <v>425</v>
      </c>
      <c r="D202" s="357" t="s">
        <v>90</v>
      </c>
      <c r="E202" s="357" t="s">
        <v>130</v>
      </c>
      <c r="F202" s="387" t="s">
        <v>304</v>
      </c>
      <c r="G202" s="388" t="s">
        <v>95</v>
      </c>
      <c r="H202" s="376" t="s">
        <v>96</v>
      </c>
      <c r="I202" s="913" t="s">
        <v>97</v>
      </c>
      <c r="J202" s="357"/>
      <c r="K202" s="377">
        <f t="shared" si="54"/>
        <v>1925.9</v>
      </c>
      <c r="L202" s="377">
        <f t="shared" si="54"/>
        <v>0</v>
      </c>
      <c r="M202" s="377">
        <f t="shared" si="54"/>
        <v>1925.9</v>
      </c>
    </row>
    <row r="203" spans="1:13" ht="37.5" x14ac:dyDescent="0.3">
      <c r="A203" s="358"/>
      <c r="B203" s="373" t="s">
        <v>491</v>
      </c>
      <c r="C203" s="374" t="s">
        <v>425</v>
      </c>
      <c r="D203" s="357" t="s">
        <v>90</v>
      </c>
      <c r="E203" s="357" t="s">
        <v>130</v>
      </c>
      <c r="F203" s="387" t="s">
        <v>304</v>
      </c>
      <c r="G203" s="388" t="s">
        <v>98</v>
      </c>
      <c r="H203" s="376" t="s">
        <v>96</v>
      </c>
      <c r="I203" s="913" t="s">
        <v>97</v>
      </c>
      <c r="J203" s="357"/>
      <c r="K203" s="377">
        <f t="shared" si="54"/>
        <v>1925.9</v>
      </c>
      <c r="L203" s="377">
        <f t="shared" si="54"/>
        <v>0</v>
      </c>
      <c r="M203" s="377">
        <f t="shared" si="54"/>
        <v>1925.9</v>
      </c>
    </row>
    <row r="204" spans="1:13" ht="37.5" x14ac:dyDescent="0.3">
      <c r="A204" s="358"/>
      <c r="B204" s="373" t="s">
        <v>521</v>
      </c>
      <c r="C204" s="374" t="s">
        <v>425</v>
      </c>
      <c r="D204" s="357" t="s">
        <v>90</v>
      </c>
      <c r="E204" s="357" t="s">
        <v>130</v>
      </c>
      <c r="F204" s="387" t="s">
        <v>304</v>
      </c>
      <c r="G204" s="388" t="s">
        <v>98</v>
      </c>
      <c r="H204" s="376" t="s">
        <v>119</v>
      </c>
      <c r="I204" s="913" t="s">
        <v>97</v>
      </c>
      <c r="J204" s="357"/>
      <c r="K204" s="377">
        <f t="shared" si="54"/>
        <v>1925.9</v>
      </c>
      <c r="L204" s="377">
        <f t="shared" si="54"/>
        <v>0</v>
      </c>
      <c r="M204" s="377">
        <f t="shared" si="54"/>
        <v>1925.9</v>
      </c>
    </row>
    <row r="205" spans="1:13" ht="75" x14ac:dyDescent="0.3">
      <c r="A205" s="358"/>
      <c r="B205" s="373" t="s">
        <v>522</v>
      </c>
      <c r="C205" s="374" t="s">
        <v>425</v>
      </c>
      <c r="D205" s="357" t="s">
        <v>90</v>
      </c>
      <c r="E205" s="357" t="s">
        <v>130</v>
      </c>
      <c r="F205" s="387" t="s">
        <v>304</v>
      </c>
      <c r="G205" s="388" t="s">
        <v>98</v>
      </c>
      <c r="H205" s="376" t="s">
        <v>119</v>
      </c>
      <c r="I205" s="913" t="s">
        <v>168</v>
      </c>
      <c r="J205" s="357"/>
      <c r="K205" s="377">
        <f t="shared" si="54"/>
        <v>1925.9</v>
      </c>
      <c r="L205" s="377">
        <f t="shared" si="54"/>
        <v>0</v>
      </c>
      <c r="M205" s="377">
        <f t="shared" si="54"/>
        <v>1925.9</v>
      </c>
    </row>
    <row r="206" spans="1:13" ht="56.25" x14ac:dyDescent="0.3">
      <c r="A206" s="358"/>
      <c r="B206" s="373" t="s">
        <v>108</v>
      </c>
      <c r="C206" s="374" t="s">
        <v>425</v>
      </c>
      <c r="D206" s="357" t="s">
        <v>90</v>
      </c>
      <c r="E206" s="357" t="s">
        <v>130</v>
      </c>
      <c r="F206" s="387" t="s">
        <v>304</v>
      </c>
      <c r="G206" s="388" t="s">
        <v>98</v>
      </c>
      <c r="H206" s="376" t="s">
        <v>119</v>
      </c>
      <c r="I206" s="913" t="s">
        <v>168</v>
      </c>
      <c r="J206" s="357" t="s">
        <v>109</v>
      </c>
      <c r="K206" s="377">
        <v>1925.9</v>
      </c>
      <c r="L206" s="252">
        <f>M206-K206</f>
        <v>0</v>
      </c>
      <c r="M206" s="377">
        <v>1925.9</v>
      </c>
    </row>
    <row r="207" spans="1:13" ht="56.25" x14ac:dyDescent="0.3">
      <c r="A207" s="358"/>
      <c r="B207" s="373" t="s">
        <v>279</v>
      </c>
      <c r="C207" s="374" t="s">
        <v>425</v>
      </c>
      <c r="D207" s="357" t="s">
        <v>149</v>
      </c>
      <c r="E207" s="357"/>
      <c r="F207" s="387"/>
      <c r="G207" s="388"/>
      <c r="H207" s="376"/>
      <c r="I207" s="913"/>
      <c r="J207" s="357"/>
      <c r="K207" s="377">
        <f t="shared" ref="K207:M210" si="55">K208</f>
        <v>5000</v>
      </c>
      <c r="L207" s="377">
        <f t="shared" si="55"/>
        <v>0</v>
      </c>
      <c r="M207" s="377">
        <f t="shared" si="55"/>
        <v>5000</v>
      </c>
    </row>
    <row r="208" spans="1:13" ht="56.25" x14ac:dyDescent="0.3">
      <c r="A208" s="358"/>
      <c r="B208" s="383" t="s">
        <v>280</v>
      </c>
      <c r="C208" s="374" t="s">
        <v>425</v>
      </c>
      <c r="D208" s="357" t="s">
        <v>149</v>
      </c>
      <c r="E208" s="357" t="s">
        <v>90</v>
      </c>
      <c r="F208" s="387"/>
      <c r="G208" s="388"/>
      <c r="H208" s="376"/>
      <c r="I208" s="913"/>
      <c r="J208" s="357"/>
      <c r="K208" s="377">
        <f t="shared" si="55"/>
        <v>5000</v>
      </c>
      <c r="L208" s="377">
        <f t="shared" si="55"/>
        <v>0</v>
      </c>
      <c r="M208" s="377">
        <f t="shared" si="55"/>
        <v>5000</v>
      </c>
    </row>
    <row r="209" spans="1:13" ht="56.25" x14ac:dyDescent="0.3">
      <c r="A209" s="358"/>
      <c r="B209" s="373" t="s">
        <v>303</v>
      </c>
      <c r="C209" s="374" t="s">
        <v>425</v>
      </c>
      <c r="D209" s="357" t="s">
        <v>149</v>
      </c>
      <c r="E209" s="357" t="s">
        <v>90</v>
      </c>
      <c r="F209" s="387" t="s">
        <v>304</v>
      </c>
      <c r="G209" s="388" t="s">
        <v>95</v>
      </c>
      <c r="H209" s="376" t="s">
        <v>96</v>
      </c>
      <c r="I209" s="913" t="s">
        <v>97</v>
      </c>
      <c r="J209" s="357"/>
      <c r="K209" s="377">
        <f t="shared" si="55"/>
        <v>5000</v>
      </c>
      <c r="L209" s="377">
        <f t="shared" si="55"/>
        <v>0</v>
      </c>
      <c r="M209" s="377">
        <f t="shared" si="55"/>
        <v>5000</v>
      </c>
    </row>
    <row r="210" spans="1:13" ht="37.5" x14ac:dyDescent="0.3">
      <c r="A210" s="358"/>
      <c r="B210" s="373" t="s">
        <v>491</v>
      </c>
      <c r="C210" s="374" t="s">
        <v>425</v>
      </c>
      <c r="D210" s="357" t="s">
        <v>149</v>
      </c>
      <c r="E210" s="357" t="s">
        <v>90</v>
      </c>
      <c r="F210" s="387" t="s">
        <v>304</v>
      </c>
      <c r="G210" s="388" t="s">
        <v>98</v>
      </c>
      <c r="H210" s="376" t="s">
        <v>96</v>
      </c>
      <c r="I210" s="913" t="s">
        <v>97</v>
      </c>
      <c r="J210" s="357"/>
      <c r="K210" s="377">
        <f t="shared" si="55"/>
        <v>5000</v>
      </c>
      <c r="L210" s="377">
        <f t="shared" si="55"/>
        <v>0</v>
      </c>
      <c r="M210" s="377">
        <f t="shared" si="55"/>
        <v>5000</v>
      </c>
    </row>
    <row r="211" spans="1:13" ht="37.5" x14ac:dyDescent="0.3">
      <c r="A211" s="358"/>
      <c r="B211" s="373" t="s">
        <v>427</v>
      </c>
      <c r="C211" s="374" t="s">
        <v>425</v>
      </c>
      <c r="D211" s="357" t="s">
        <v>149</v>
      </c>
      <c r="E211" s="357" t="s">
        <v>90</v>
      </c>
      <c r="F211" s="387" t="s">
        <v>304</v>
      </c>
      <c r="G211" s="388" t="s">
        <v>98</v>
      </c>
      <c r="H211" s="376" t="s">
        <v>92</v>
      </c>
      <c r="I211" s="913" t="s">
        <v>97</v>
      </c>
      <c r="J211" s="357"/>
      <c r="K211" s="377">
        <f t="shared" ref="K211:M212" si="56">K212</f>
        <v>5000</v>
      </c>
      <c r="L211" s="377">
        <f t="shared" si="56"/>
        <v>0</v>
      </c>
      <c r="M211" s="377">
        <f t="shared" si="56"/>
        <v>5000</v>
      </c>
    </row>
    <row r="212" spans="1:13" ht="37.5" x14ac:dyDescent="0.3">
      <c r="A212" s="358"/>
      <c r="B212" s="373" t="s">
        <v>363</v>
      </c>
      <c r="C212" s="374" t="s">
        <v>425</v>
      </c>
      <c r="D212" s="357" t="s">
        <v>149</v>
      </c>
      <c r="E212" s="357" t="s">
        <v>90</v>
      </c>
      <c r="F212" s="387" t="s">
        <v>304</v>
      </c>
      <c r="G212" s="388" t="s">
        <v>98</v>
      </c>
      <c r="H212" s="376" t="s">
        <v>92</v>
      </c>
      <c r="I212" s="913" t="s">
        <v>810</v>
      </c>
      <c r="J212" s="357"/>
      <c r="K212" s="377">
        <f t="shared" si="56"/>
        <v>5000</v>
      </c>
      <c r="L212" s="377">
        <f t="shared" si="56"/>
        <v>0</v>
      </c>
      <c r="M212" s="377">
        <f t="shared" si="56"/>
        <v>5000</v>
      </c>
    </row>
    <row r="213" spans="1:13" ht="18.75" x14ac:dyDescent="0.3">
      <c r="A213" s="358"/>
      <c r="B213" s="373" t="s">
        <v>186</v>
      </c>
      <c r="C213" s="374" t="s">
        <v>425</v>
      </c>
      <c r="D213" s="357" t="s">
        <v>149</v>
      </c>
      <c r="E213" s="357" t="s">
        <v>90</v>
      </c>
      <c r="F213" s="387" t="s">
        <v>304</v>
      </c>
      <c r="G213" s="388" t="s">
        <v>98</v>
      </c>
      <c r="H213" s="376" t="s">
        <v>92</v>
      </c>
      <c r="I213" s="913" t="s">
        <v>810</v>
      </c>
      <c r="J213" s="357" t="s">
        <v>187</v>
      </c>
      <c r="K213" s="377">
        <v>5000</v>
      </c>
      <c r="L213" s="252">
        <f>M213-K213</f>
        <v>0</v>
      </c>
      <c r="M213" s="377">
        <v>5000</v>
      </c>
    </row>
    <row r="214" spans="1:13" ht="18.75" x14ac:dyDescent="0.3">
      <c r="A214" s="358"/>
      <c r="B214" s="373"/>
      <c r="C214" s="374"/>
      <c r="D214" s="357"/>
      <c r="E214" s="357"/>
      <c r="F214" s="387"/>
      <c r="G214" s="388"/>
      <c r="H214" s="376"/>
      <c r="I214" s="913"/>
      <c r="J214" s="357"/>
      <c r="K214" s="377"/>
      <c r="L214" s="377"/>
      <c r="M214" s="377"/>
    </row>
    <row r="215" spans="1:13" ht="56.25" x14ac:dyDescent="0.3">
      <c r="A215" s="365">
        <v>3</v>
      </c>
      <c r="B215" s="366" t="s">
        <v>88</v>
      </c>
      <c r="C215" s="367" t="s">
        <v>197</v>
      </c>
      <c r="D215" s="368"/>
      <c r="E215" s="368"/>
      <c r="F215" s="369"/>
      <c r="G215" s="370"/>
      <c r="H215" s="370"/>
      <c r="I215" s="371"/>
      <c r="J215" s="368"/>
      <c r="K215" s="519">
        <f t="shared" ref="K215:M218" si="57">K216</f>
        <v>3995.9</v>
      </c>
      <c r="L215" s="519">
        <f t="shared" si="57"/>
        <v>3.3000000000000114</v>
      </c>
      <c r="M215" s="519">
        <f t="shared" si="57"/>
        <v>3999.2000000000003</v>
      </c>
    </row>
    <row r="216" spans="1:13" ht="18.75" x14ac:dyDescent="0.3">
      <c r="A216" s="358"/>
      <c r="B216" s="373" t="s">
        <v>89</v>
      </c>
      <c r="C216" s="374" t="s">
        <v>197</v>
      </c>
      <c r="D216" s="357" t="s">
        <v>90</v>
      </c>
      <c r="E216" s="357"/>
      <c r="F216" s="375"/>
      <c r="G216" s="376"/>
      <c r="H216" s="376"/>
      <c r="I216" s="913"/>
      <c r="J216" s="357"/>
      <c r="K216" s="377">
        <f t="shared" si="57"/>
        <v>3995.9</v>
      </c>
      <c r="L216" s="377">
        <f t="shared" si="57"/>
        <v>3.3000000000000114</v>
      </c>
      <c r="M216" s="377">
        <f t="shared" si="57"/>
        <v>3999.2000000000003</v>
      </c>
    </row>
    <row r="217" spans="1:13" ht="75" x14ac:dyDescent="0.3">
      <c r="A217" s="358"/>
      <c r="B217" s="373" t="s">
        <v>198</v>
      </c>
      <c r="C217" s="374" t="s">
        <v>197</v>
      </c>
      <c r="D217" s="357" t="s">
        <v>90</v>
      </c>
      <c r="E217" s="357" t="s">
        <v>141</v>
      </c>
      <c r="F217" s="375"/>
      <c r="G217" s="376"/>
      <c r="H217" s="376"/>
      <c r="I217" s="913"/>
      <c r="J217" s="357"/>
      <c r="K217" s="377">
        <f t="shared" si="57"/>
        <v>3995.9</v>
      </c>
      <c r="L217" s="377">
        <f t="shared" si="57"/>
        <v>3.3000000000000114</v>
      </c>
      <c r="M217" s="377">
        <f t="shared" si="57"/>
        <v>3999.2000000000003</v>
      </c>
    </row>
    <row r="218" spans="1:13" ht="56.25" x14ac:dyDescent="0.3">
      <c r="A218" s="358"/>
      <c r="B218" s="380" t="s">
        <v>199</v>
      </c>
      <c r="C218" s="374" t="s">
        <v>197</v>
      </c>
      <c r="D218" s="357" t="s">
        <v>90</v>
      </c>
      <c r="E218" s="357" t="s">
        <v>141</v>
      </c>
      <c r="F218" s="375" t="s">
        <v>200</v>
      </c>
      <c r="G218" s="376" t="s">
        <v>95</v>
      </c>
      <c r="H218" s="376" t="s">
        <v>96</v>
      </c>
      <c r="I218" s="913" t="s">
        <v>97</v>
      </c>
      <c r="J218" s="357"/>
      <c r="K218" s="377">
        <f t="shared" si="57"/>
        <v>3995.9</v>
      </c>
      <c r="L218" s="377">
        <f t="shared" si="57"/>
        <v>3.3000000000000114</v>
      </c>
      <c r="M218" s="377">
        <f t="shared" si="57"/>
        <v>3999.2000000000003</v>
      </c>
    </row>
    <row r="219" spans="1:13" ht="75" x14ac:dyDescent="0.3">
      <c r="A219" s="358"/>
      <c r="B219" s="380" t="s">
        <v>202</v>
      </c>
      <c r="C219" s="374" t="s">
        <v>197</v>
      </c>
      <c r="D219" s="357" t="s">
        <v>90</v>
      </c>
      <c r="E219" s="357" t="s">
        <v>141</v>
      </c>
      <c r="F219" s="375" t="s">
        <v>200</v>
      </c>
      <c r="G219" s="376" t="s">
        <v>98</v>
      </c>
      <c r="H219" s="376" t="s">
        <v>96</v>
      </c>
      <c r="I219" s="913" t="s">
        <v>97</v>
      </c>
      <c r="J219" s="357"/>
      <c r="K219" s="377">
        <f>K220+K223+K228</f>
        <v>3995.9</v>
      </c>
      <c r="L219" s="377">
        <f>L220+L223+L228</f>
        <v>3.3000000000000114</v>
      </c>
      <c r="M219" s="377">
        <f>M220+M223+M228</f>
        <v>3999.2000000000003</v>
      </c>
    </row>
    <row r="220" spans="1:13" ht="37.5" x14ac:dyDescent="0.3">
      <c r="A220" s="358"/>
      <c r="B220" s="373" t="s">
        <v>201</v>
      </c>
      <c r="C220" s="374" t="s">
        <v>197</v>
      </c>
      <c r="D220" s="357" t="s">
        <v>90</v>
      </c>
      <c r="E220" s="357" t="s">
        <v>141</v>
      </c>
      <c r="F220" s="375" t="s">
        <v>200</v>
      </c>
      <c r="G220" s="376" t="s">
        <v>98</v>
      </c>
      <c r="H220" s="376" t="s">
        <v>90</v>
      </c>
      <c r="I220" s="913" t="s">
        <v>97</v>
      </c>
      <c r="J220" s="357"/>
      <c r="K220" s="377">
        <f t="shared" ref="K220:M221" si="58">K221</f>
        <v>1182.7</v>
      </c>
      <c r="L220" s="377">
        <f t="shared" si="58"/>
        <v>0</v>
      </c>
      <c r="M220" s="377">
        <f t="shared" si="58"/>
        <v>1182.7</v>
      </c>
    </row>
    <row r="221" spans="1:13" ht="37.5" x14ac:dyDescent="0.3">
      <c r="A221" s="358"/>
      <c r="B221" s="373" t="s">
        <v>100</v>
      </c>
      <c r="C221" s="374" t="s">
        <v>197</v>
      </c>
      <c r="D221" s="357" t="s">
        <v>90</v>
      </c>
      <c r="E221" s="357" t="s">
        <v>141</v>
      </c>
      <c r="F221" s="375" t="s">
        <v>200</v>
      </c>
      <c r="G221" s="376" t="s">
        <v>98</v>
      </c>
      <c r="H221" s="376" t="s">
        <v>90</v>
      </c>
      <c r="I221" s="913" t="s">
        <v>101</v>
      </c>
      <c r="J221" s="357"/>
      <c r="K221" s="377">
        <f t="shared" si="58"/>
        <v>1182.7</v>
      </c>
      <c r="L221" s="377">
        <f t="shared" si="58"/>
        <v>0</v>
      </c>
      <c r="M221" s="377">
        <f t="shared" si="58"/>
        <v>1182.7</v>
      </c>
    </row>
    <row r="222" spans="1:13" ht="112.5" x14ac:dyDescent="0.3">
      <c r="A222" s="358"/>
      <c r="B222" s="380" t="s">
        <v>102</v>
      </c>
      <c r="C222" s="374" t="s">
        <v>197</v>
      </c>
      <c r="D222" s="357" t="s">
        <v>90</v>
      </c>
      <c r="E222" s="357" t="s">
        <v>141</v>
      </c>
      <c r="F222" s="375" t="s">
        <v>200</v>
      </c>
      <c r="G222" s="376" t="s">
        <v>98</v>
      </c>
      <c r="H222" s="376" t="s">
        <v>90</v>
      </c>
      <c r="I222" s="913" t="s">
        <v>101</v>
      </c>
      <c r="J222" s="357" t="s">
        <v>103</v>
      </c>
      <c r="K222" s="377">
        <v>1182.7</v>
      </c>
      <c r="L222" s="252">
        <f>M222-K222</f>
        <v>0</v>
      </c>
      <c r="M222" s="377">
        <v>1182.7</v>
      </c>
    </row>
    <row r="223" spans="1:13" ht="37.5" x14ac:dyDescent="0.3">
      <c r="A223" s="358"/>
      <c r="B223" s="373" t="s">
        <v>203</v>
      </c>
      <c r="C223" s="374" t="s">
        <v>197</v>
      </c>
      <c r="D223" s="357" t="s">
        <v>90</v>
      </c>
      <c r="E223" s="357" t="s">
        <v>141</v>
      </c>
      <c r="F223" s="375" t="s">
        <v>200</v>
      </c>
      <c r="G223" s="376" t="s">
        <v>98</v>
      </c>
      <c r="H223" s="376" t="s">
        <v>92</v>
      </c>
      <c r="I223" s="913" t="s">
        <v>97</v>
      </c>
      <c r="J223" s="357"/>
      <c r="K223" s="377">
        <f>K224</f>
        <v>1949.6000000000001</v>
      </c>
      <c r="L223" s="377">
        <f>L224</f>
        <v>3.3000000000000114</v>
      </c>
      <c r="M223" s="377">
        <f>M224</f>
        <v>1952.9</v>
      </c>
    </row>
    <row r="224" spans="1:13" ht="37.5" x14ac:dyDescent="0.3">
      <c r="A224" s="358"/>
      <c r="B224" s="373" t="s">
        <v>100</v>
      </c>
      <c r="C224" s="374" t="s">
        <v>197</v>
      </c>
      <c r="D224" s="357" t="s">
        <v>90</v>
      </c>
      <c r="E224" s="357" t="s">
        <v>141</v>
      </c>
      <c r="F224" s="375" t="s">
        <v>200</v>
      </c>
      <c r="G224" s="376" t="s">
        <v>98</v>
      </c>
      <c r="H224" s="376" t="s">
        <v>92</v>
      </c>
      <c r="I224" s="913" t="s">
        <v>101</v>
      </c>
      <c r="J224" s="357"/>
      <c r="K224" s="377">
        <f>K225+K226+K227</f>
        <v>1949.6000000000001</v>
      </c>
      <c r="L224" s="377">
        <f>L225+L226+L227</f>
        <v>3.3000000000000114</v>
      </c>
      <c r="M224" s="377">
        <f>M225+M226+M227</f>
        <v>1952.9</v>
      </c>
    </row>
    <row r="225" spans="1:13" ht="112.5" x14ac:dyDescent="0.3">
      <c r="A225" s="358"/>
      <c r="B225" s="373" t="s">
        <v>102</v>
      </c>
      <c r="C225" s="374" t="s">
        <v>197</v>
      </c>
      <c r="D225" s="357" t="s">
        <v>90</v>
      </c>
      <c r="E225" s="357" t="s">
        <v>141</v>
      </c>
      <c r="F225" s="375" t="s">
        <v>200</v>
      </c>
      <c r="G225" s="376" t="s">
        <v>98</v>
      </c>
      <c r="H225" s="376" t="s">
        <v>92</v>
      </c>
      <c r="I225" s="913" t="s">
        <v>101</v>
      </c>
      <c r="J225" s="357" t="s">
        <v>103</v>
      </c>
      <c r="K225" s="377">
        <v>1752.9</v>
      </c>
      <c r="L225" s="252">
        <f t="shared" ref="L225:L227" si="59">M225-K225</f>
        <v>0</v>
      </c>
      <c r="M225" s="377">
        <v>1752.9</v>
      </c>
    </row>
    <row r="226" spans="1:13" ht="56.25" x14ac:dyDescent="0.3">
      <c r="A226" s="358"/>
      <c r="B226" s="373" t="s">
        <v>108</v>
      </c>
      <c r="C226" s="374" t="s">
        <v>197</v>
      </c>
      <c r="D226" s="357" t="s">
        <v>90</v>
      </c>
      <c r="E226" s="357" t="s">
        <v>141</v>
      </c>
      <c r="F226" s="375" t="s">
        <v>200</v>
      </c>
      <c r="G226" s="376" t="s">
        <v>98</v>
      </c>
      <c r="H226" s="376" t="s">
        <v>92</v>
      </c>
      <c r="I226" s="913" t="s">
        <v>101</v>
      </c>
      <c r="J226" s="357" t="s">
        <v>109</v>
      </c>
      <c r="K226" s="377">
        <v>186.7</v>
      </c>
      <c r="L226" s="252">
        <f t="shared" si="59"/>
        <v>3.3000000000000114</v>
      </c>
      <c r="M226" s="377">
        <f>186.7+3.3</f>
        <v>190</v>
      </c>
    </row>
    <row r="227" spans="1:13" ht="18.75" x14ac:dyDescent="0.3">
      <c r="A227" s="358"/>
      <c r="B227" s="373" t="s">
        <v>110</v>
      </c>
      <c r="C227" s="374" t="s">
        <v>197</v>
      </c>
      <c r="D227" s="357" t="s">
        <v>90</v>
      </c>
      <c r="E227" s="357" t="s">
        <v>141</v>
      </c>
      <c r="F227" s="375" t="s">
        <v>200</v>
      </c>
      <c r="G227" s="376" t="s">
        <v>98</v>
      </c>
      <c r="H227" s="376" t="s">
        <v>92</v>
      </c>
      <c r="I227" s="913" t="s">
        <v>101</v>
      </c>
      <c r="J227" s="357" t="s">
        <v>111</v>
      </c>
      <c r="K227" s="377">
        <v>10</v>
      </c>
      <c r="L227" s="252">
        <f t="shared" si="59"/>
        <v>0</v>
      </c>
      <c r="M227" s="377">
        <v>10</v>
      </c>
    </row>
    <row r="228" spans="1:13" ht="75" x14ac:dyDescent="0.3">
      <c r="A228" s="358"/>
      <c r="B228" s="373" t="s">
        <v>465</v>
      </c>
      <c r="C228" s="374" t="s">
        <v>197</v>
      </c>
      <c r="D228" s="357" t="s">
        <v>90</v>
      </c>
      <c r="E228" s="357" t="s">
        <v>141</v>
      </c>
      <c r="F228" s="375" t="s">
        <v>200</v>
      </c>
      <c r="G228" s="376" t="s">
        <v>98</v>
      </c>
      <c r="H228" s="376" t="s">
        <v>119</v>
      </c>
      <c r="I228" s="913" t="s">
        <v>97</v>
      </c>
      <c r="J228" s="357"/>
      <c r="K228" s="377">
        <f t="shared" ref="K228:M229" si="60">K229</f>
        <v>863.6</v>
      </c>
      <c r="L228" s="377">
        <f t="shared" si="60"/>
        <v>0</v>
      </c>
      <c r="M228" s="377">
        <f t="shared" si="60"/>
        <v>863.6</v>
      </c>
    </row>
    <row r="229" spans="1:13" ht="37.5" x14ac:dyDescent="0.3">
      <c r="A229" s="358"/>
      <c r="B229" s="373" t="s">
        <v>316</v>
      </c>
      <c r="C229" s="374" t="s">
        <v>197</v>
      </c>
      <c r="D229" s="357" t="s">
        <v>90</v>
      </c>
      <c r="E229" s="357" t="s">
        <v>141</v>
      </c>
      <c r="F229" s="375" t="s">
        <v>200</v>
      </c>
      <c r="G229" s="376" t="s">
        <v>98</v>
      </c>
      <c r="H229" s="376" t="s">
        <v>119</v>
      </c>
      <c r="I229" s="913" t="s">
        <v>204</v>
      </c>
      <c r="J229" s="357"/>
      <c r="K229" s="377">
        <f t="shared" si="60"/>
        <v>863.6</v>
      </c>
      <c r="L229" s="377">
        <f t="shared" si="60"/>
        <v>0</v>
      </c>
      <c r="M229" s="377">
        <f t="shared" si="60"/>
        <v>863.6</v>
      </c>
    </row>
    <row r="230" spans="1:13" ht="112.5" x14ac:dyDescent="0.3">
      <c r="A230" s="358"/>
      <c r="B230" s="373" t="s">
        <v>102</v>
      </c>
      <c r="C230" s="374" t="s">
        <v>197</v>
      </c>
      <c r="D230" s="357" t="s">
        <v>90</v>
      </c>
      <c r="E230" s="357" t="s">
        <v>141</v>
      </c>
      <c r="F230" s="375" t="s">
        <v>200</v>
      </c>
      <c r="G230" s="376" t="s">
        <v>98</v>
      </c>
      <c r="H230" s="376" t="s">
        <v>119</v>
      </c>
      <c r="I230" s="913" t="s">
        <v>204</v>
      </c>
      <c r="J230" s="357" t="s">
        <v>103</v>
      </c>
      <c r="K230" s="377">
        <v>863.6</v>
      </c>
      <c r="L230" s="252">
        <f>M230-K230</f>
        <v>0</v>
      </c>
      <c r="M230" s="377">
        <v>863.6</v>
      </c>
    </row>
    <row r="231" spans="1:13" ht="18.75" x14ac:dyDescent="0.3">
      <c r="A231" s="358"/>
      <c r="B231" s="373"/>
      <c r="C231" s="374"/>
      <c r="D231" s="357"/>
      <c r="E231" s="357"/>
      <c r="F231" s="375"/>
      <c r="G231" s="376"/>
      <c r="H231" s="376"/>
      <c r="I231" s="913"/>
      <c r="J231" s="357"/>
      <c r="K231" s="377"/>
      <c r="L231" s="377"/>
      <c r="M231" s="377"/>
    </row>
    <row r="232" spans="1:13" s="393" customFormat="1" ht="56.25" x14ac:dyDescent="0.3">
      <c r="A232" s="389">
        <v>4</v>
      </c>
      <c r="B232" s="390" t="s">
        <v>36</v>
      </c>
      <c r="C232" s="391" t="s">
        <v>417</v>
      </c>
      <c r="D232" s="392"/>
      <c r="E232" s="392"/>
      <c r="F232" s="514"/>
      <c r="G232" s="515"/>
      <c r="H232" s="515"/>
      <c r="I232" s="516"/>
      <c r="J232" s="392"/>
      <c r="K232" s="520">
        <f>K233+K279+K293+K272+K300</f>
        <v>79501.400000000009</v>
      </c>
      <c r="L232" s="520">
        <f>L233+L279+L293+L272+L300+L286</f>
        <v>5118</v>
      </c>
      <c r="M232" s="520">
        <f>M233+M279+M293+M272+M300+M286</f>
        <v>84619.400000000009</v>
      </c>
    </row>
    <row r="233" spans="1:13" s="401" customFormat="1" ht="18.75" x14ac:dyDescent="0.3">
      <c r="A233" s="394"/>
      <c r="B233" s="386" t="s">
        <v>89</v>
      </c>
      <c r="C233" s="395" t="s">
        <v>417</v>
      </c>
      <c r="D233" s="396" t="s">
        <v>90</v>
      </c>
      <c r="E233" s="397"/>
      <c r="F233" s="398"/>
      <c r="G233" s="399"/>
      <c r="H233" s="399"/>
      <c r="I233" s="400"/>
      <c r="J233" s="397"/>
      <c r="K233" s="521">
        <f t="shared" ref="K233:M233" si="61">K234</f>
        <v>25358.200000000004</v>
      </c>
      <c r="L233" s="521">
        <f t="shared" si="61"/>
        <v>1800</v>
      </c>
      <c r="M233" s="521">
        <f t="shared" si="61"/>
        <v>27158.200000000004</v>
      </c>
    </row>
    <row r="234" spans="1:13" s="402" customFormat="1" ht="18.75" x14ac:dyDescent="0.3">
      <c r="A234" s="394"/>
      <c r="B234" s="386" t="s">
        <v>129</v>
      </c>
      <c r="C234" s="395" t="s">
        <v>417</v>
      </c>
      <c r="D234" s="396" t="s">
        <v>90</v>
      </c>
      <c r="E234" s="396" t="s">
        <v>130</v>
      </c>
      <c r="F234" s="398"/>
      <c r="G234" s="399"/>
      <c r="H234" s="399"/>
      <c r="I234" s="400"/>
      <c r="J234" s="397"/>
      <c r="K234" s="521">
        <f>K235+K265</f>
        <v>25358.200000000004</v>
      </c>
      <c r="L234" s="521">
        <f>L235+L265</f>
        <v>1800</v>
      </c>
      <c r="M234" s="521">
        <f>M235+M265</f>
        <v>27158.200000000004</v>
      </c>
    </row>
    <row r="235" spans="1:13" s="401" customFormat="1" ht="56.25" x14ac:dyDescent="0.3">
      <c r="A235" s="394"/>
      <c r="B235" s="386" t="s">
        <v>305</v>
      </c>
      <c r="C235" s="395" t="s">
        <v>417</v>
      </c>
      <c r="D235" s="396" t="s">
        <v>90</v>
      </c>
      <c r="E235" s="396" t="s">
        <v>130</v>
      </c>
      <c r="F235" s="412" t="s">
        <v>306</v>
      </c>
      <c r="G235" s="399" t="s">
        <v>95</v>
      </c>
      <c r="H235" s="399" t="s">
        <v>96</v>
      </c>
      <c r="I235" s="400" t="s">
        <v>97</v>
      </c>
      <c r="J235" s="397"/>
      <c r="K235" s="521">
        <f>K236+K243</f>
        <v>19721.700000000004</v>
      </c>
      <c r="L235" s="521">
        <f>L236+L243+L261</f>
        <v>1800</v>
      </c>
      <c r="M235" s="521">
        <f>M236+M243+M261</f>
        <v>21521.700000000004</v>
      </c>
    </row>
    <row r="236" spans="1:13" s="401" customFormat="1" ht="56.25" x14ac:dyDescent="0.3">
      <c r="A236" s="394"/>
      <c r="B236" s="386" t="s">
        <v>307</v>
      </c>
      <c r="C236" s="395" t="s">
        <v>417</v>
      </c>
      <c r="D236" s="396" t="s">
        <v>90</v>
      </c>
      <c r="E236" s="396" t="s">
        <v>130</v>
      </c>
      <c r="F236" s="413" t="s">
        <v>306</v>
      </c>
      <c r="G236" s="404" t="s">
        <v>98</v>
      </c>
      <c r="H236" s="404" t="s">
        <v>96</v>
      </c>
      <c r="I236" s="405" t="s">
        <v>97</v>
      </c>
      <c r="J236" s="397"/>
      <c r="K236" s="521">
        <f t="shared" ref="K236" si="62">K237+K240</f>
        <v>2775.8999999999996</v>
      </c>
      <c r="L236" s="521">
        <f t="shared" ref="L236:M236" si="63">L237+L240</f>
        <v>0</v>
      </c>
      <c r="M236" s="521">
        <f t="shared" si="63"/>
        <v>2775.8999999999996</v>
      </c>
    </row>
    <row r="237" spans="1:13" s="414" customFormat="1" ht="112.5" x14ac:dyDescent="0.3">
      <c r="A237" s="394"/>
      <c r="B237" s="386" t="s">
        <v>418</v>
      </c>
      <c r="C237" s="395" t="s">
        <v>417</v>
      </c>
      <c r="D237" s="396" t="s">
        <v>90</v>
      </c>
      <c r="E237" s="396" t="s">
        <v>130</v>
      </c>
      <c r="F237" s="406" t="s">
        <v>306</v>
      </c>
      <c r="G237" s="399" t="s">
        <v>98</v>
      </c>
      <c r="H237" s="399" t="s">
        <v>90</v>
      </c>
      <c r="I237" s="400" t="s">
        <v>97</v>
      </c>
      <c r="J237" s="397"/>
      <c r="K237" s="521">
        <f t="shared" ref="K237:M238" si="64">K238</f>
        <v>334.2</v>
      </c>
      <c r="L237" s="521">
        <f t="shared" si="64"/>
        <v>0</v>
      </c>
      <c r="M237" s="521">
        <f t="shared" si="64"/>
        <v>334.2</v>
      </c>
    </row>
    <row r="238" spans="1:13" s="414" customFormat="1" ht="56.25" x14ac:dyDescent="0.3">
      <c r="A238" s="394"/>
      <c r="B238" s="386" t="s">
        <v>308</v>
      </c>
      <c r="C238" s="395" t="s">
        <v>417</v>
      </c>
      <c r="D238" s="396" t="s">
        <v>90</v>
      </c>
      <c r="E238" s="396" t="s">
        <v>130</v>
      </c>
      <c r="F238" s="406" t="s">
        <v>306</v>
      </c>
      <c r="G238" s="399" t="s">
        <v>98</v>
      </c>
      <c r="H238" s="399" t="s">
        <v>90</v>
      </c>
      <c r="I238" s="400" t="s">
        <v>419</v>
      </c>
      <c r="J238" s="397"/>
      <c r="K238" s="521">
        <f t="shared" si="64"/>
        <v>334.2</v>
      </c>
      <c r="L238" s="521">
        <f t="shared" si="64"/>
        <v>0</v>
      </c>
      <c r="M238" s="521">
        <f t="shared" si="64"/>
        <v>334.2</v>
      </c>
    </row>
    <row r="239" spans="1:13" s="402" customFormat="1" ht="56.25" x14ac:dyDescent="0.3">
      <c r="A239" s="394"/>
      <c r="B239" s="373" t="s">
        <v>108</v>
      </c>
      <c r="C239" s="395" t="s">
        <v>417</v>
      </c>
      <c r="D239" s="396" t="s">
        <v>90</v>
      </c>
      <c r="E239" s="396" t="s">
        <v>130</v>
      </c>
      <c r="F239" s="406" t="s">
        <v>306</v>
      </c>
      <c r="G239" s="399" t="s">
        <v>98</v>
      </c>
      <c r="H239" s="399" t="s">
        <v>90</v>
      </c>
      <c r="I239" s="400" t="s">
        <v>419</v>
      </c>
      <c r="J239" s="397" t="s">
        <v>109</v>
      </c>
      <c r="K239" s="521">
        <v>334.2</v>
      </c>
      <c r="L239" s="252">
        <f>M239-K239</f>
        <v>0</v>
      </c>
      <c r="M239" s="521">
        <v>334.2</v>
      </c>
    </row>
    <row r="240" spans="1:13" s="402" customFormat="1" ht="37.5" x14ac:dyDescent="0.3">
      <c r="A240" s="394"/>
      <c r="B240" s="373" t="s">
        <v>490</v>
      </c>
      <c r="C240" s="395" t="s">
        <v>417</v>
      </c>
      <c r="D240" s="396" t="s">
        <v>90</v>
      </c>
      <c r="E240" s="396" t="s">
        <v>130</v>
      </c>
      <c r="F240" s="406" t="s">
        <v>306</v>
      </c>
      <c r="G240" s="399" t="s">
        <v>98</v>
      </c>
      <c r="H240" s="399" t="s">
        <v>92</v>
      </c>
      <c r="I240" s="400" t="s">
        <v>97</v>
      </c>
      <c r="J240" s="397"/>
      <c r="K240" s="521">
        <f>K241</f>
        <v>2441.6999999999998</v>
      </c>
      <c r="L240" s="521">
        <f>L241</f>
        <v>0</v>
      </c>
      <c r="M240" s="521">
        <f>M241</f>
        <v>2441.6999999999998</v>
      </c>
    </row>
    <row r="241" spans="1:14" s="402" customFormat="1" ht="37.5" x14ac:dyDescent="0.3">
      <c r="A241" s="394"/>
      <c r="B241" s="373" t="s">
        <v>489</v>
      </c>
      <c r="C241" s="395" t="s">
        <v>417</v>
      </c>
      <c r="D241" s="396" t="s">
        <v>90</v>
      </c>
      <c r="E241" s="396" t="s">
        <v>130</v>
      </c>
      <c r="F241" s="406" t="s">
        <v>306</v>
      </c>
      <c r="G241" s="399" t="s">
        <v>98</v>
      </c>
      <c r="H241" s="399" t="s">
        <v>92</v>
      </c>
      <c r="I241" s="400" t="s">
        <v>488</v>
      </c>
      <c r="J241" s="397"/>
      <c r="K241" s="521">
        <f>SUM(K242:K242)</f>
        <v>2441.6999999999998</v>
      </c>
      <c r="L241" s="521">
        <f>SUM(L242:L242)</f>
        <v>0</v>
      </c>
      <c r="M241" s="521">
        <f>SUM(M242:M242)</f>
        <v>2441.6999999999998</v>
      </c>
    </row>
    <row r="242" spans="1:14" s="402" customFormat="1" ht="56.25" x14ac:dyDescent="0.3">
      <c r="A242" s="394"/>
      <c r="B242" s="373" t="s">
        <v>108</v>
      </c>
      <c r="C242" s="395" t="s">
        <v>417</v>
      </c>
      <c r="D242" s="396" t="s">
        <v>90</v>
      </c>
      <c r="E242" s="396" t="s">
        <v>130</v>
      </c>
      <c r="F242" s="406" t="s">
        <v>306</v>
      </c>
      <c r="G242" s="399" t="s">
        <v>98</v>
      </c>
      <c r="H242" s="399" t="s">
        <v>92</v>
      </c>
      <c r="I242" s="400" t="s">
        <v>488</v>
      </c>
      <c r="J242" s="397" t="s">
        <v>109</v>
      </c>
      <c r="K242" s="596">
        <f>1202.1-911.4+2151</f>
        <v>2441.6999999999998</v>
      </c>
      <c r="L242" s="252">
        <f>M242-K242</f>
        <v>0</v>
      </c>
      <c r="M242" s="596">
        <f>1202.1-911.4+2151</f>
        <v>2441.6999999999998</v>
      </c>
    </row>
    <row r="243" spans="1:14" s="402" customFormat="1" ht="37.5" x14ac:dyDescent="0.3">
      <c r="A243" s="394"/>
      <c r="B243" s="386" t="s">
        <v>309</v>
      </c>
      <c r="C243" s="395" t="s">
        <v>417</v>
      </c>
      <c r="D243" s="396" t="s">
        <v>90</v>
      </c>
      <c r="E243" s="396" t="s">
        <v>130</v>
      </c>
      <c r="F243" s="412" t="s">
        <v>306</v>
      </c>
      <c r="G243" s="399" t="s">
        <v>150</v>
      </c>
      <c r="H243" s="399" t="s">
        <v>96</v>
      </c>
      <c r="I243" s="400" t="s">
        <v>97</v>
      </c>
      <c r="J243" s="397"/>
      <c r="K243" s="521">
        <f t="shared" ref="K243" si="65">K244+K255+K258</f>
        <v>16945.800000000003</v>
      </c>
      <c r="L243" s="521">
        <f t="shared" ref="L243:M243" si="66">L244+L255+L258</f>
        <v>0</v>
      </c>
      <c r="M243" s="521">
        <f t="shared" si="66"/>
        <v>16945.800000000003</v>
      </c>
    </row>
    <row r="244" spans="1:14" s="414" customFormat="1" ht="93.75" x14ac:dyDescent="0.3">
      <c r="A244" s="394"/>
      <c r="B244" s="386" t="s">
        <v>424</v>
      </c>
      <c r="C244" s="395" t="s">
        <v>417</v>
      </c>
      <c r="D244" s="396" t="s">
        <v>90</v>
      </c>
      <c r="E244" s="396" t="s">
        <v>130</v>
      </c>
      <c r="F244" s="412" t="s">
        <v>306</v>
      </c>
      <c r="G244" s="399" t="s">
        <v>150</v>
      </c>
      <c r="H244" s="399" t="s">
        <v>90</v>
      </c>
      <c r="I244" s="400" t="s">
        <v>97</v>
      </c>
      <c r="J244" s="397"/>
      <c r="K244" s="521">
        <f t="shared" ref="K244" si="67">K245+K249+K253</f>
        <v>16670.300000000003</v>
      </c>
      <c r="L244" s="521">
        <f t="shared" ref="L244:M244" si="68">L245+L249+L253</f>
        <v>0</v>
      </c>
      <c r="M244" s="521">
        <f t="shared" si="68"/>
        <v>16670.300000000003</v>
      </c>
    </row>
    <row r="245" spans="1:14" s="402" customFormat="1" ht="37.5" x14ac:dyDescent="0.3">
      <c r="A245" s="394"/>
      <c r="B245" s="386" t="s">
        <v>100</v>
      </c>
      <c r="C245" s="395" t="s">
        <v>417</v>
      </c>
      <c r="D245" s="396" t="s">
        <v>90</v>
      </c>
      <c r="E245" s="396" t="s">
        <v>130</v>
      </c>
      <c r="F245" s="403" t="s">
        <v>306</v>
      </c>
      <c r="G245" s="404" t="s">
        <v>150</v>
      </c>
      <c r="H245" s="404" t="s">
        <v>90</v>
      </c>
      <c r="I245" s="405" t="s">
        <v>101</v>
      </c>
      <c r="J245" s="397"/>
      <c r="K245" s="521">
        <f t="shared" ref="K245" si="69">K246+K247+K248</f>
        <v>12349.000000000002</v>
      </c>
      <c r="L245" s="521">
        <f t="shared" ref="L245:M245" si="70">L246+L247+L248</f>
        <v>0</v>
      </c>
      <c r="M245" s="521">
        <f t="shared" si="70"/>
        <v>12349.000000000002</v>
      </c>
    </row>
    <row r="246" spans="1:14" s="401" customFormat="1" ht="112.5" x14ac:dyDescent="0.3">
      <c r="A246" s="394"/>
      <c r="B246" s="386" t="s">
        <v>102</v>
      </c>
      <c r="C246" s="395" t="s">
        <v>417</v>
      </c>
      <c r="D246" s="396" t="s">
        <v>90</v>
      </c>
      <c r="E246" s="396" t="s">
        <v>130</v>
      </c>
      <c r="F246" s="412" t="s">
        <v>306</v>
      </c>
      <c r="G246" s="399" t="s">
        <v>150</v>
      </c>
      <c r="H246" s="399" t="s">
        <v>90</v>
      </c>
      <c r="I246" s="400" t="s">
        <v>101</v>
      </c>
      <c r="J246" s="397" t="s">
        <v>103</v>
      </c>
      <c r="K246" s="521">
        <v>11789.1</v>
      </c>
      <c r="L246" s="252">
        <f t="shared" ref="L246:L248" si="71">M246-K246</f>
        <v>0</v>
      </c>
      <c r="M246" s="521">
        <v>11789.1</v>
      </c>
    </row>
    <row r="247" spans="1:14" s="401" customFormat="1" ht="56.25" x14ac:dyDescent="0.3">
      <c r="A247" s="394"/>
      <c r="B247" s="373" t="s">
        <v>108</v>
      </c>
      <c r="C247" s="395" t="s">
        <v>417</v>
      </c>
      <c r="D247" s="396" t="s">
        <v>90</v>
      </c>
      <c r="E247" s="396" t="s">
        <v>130</v>
      </c>
      <c r="F247" s="412" t="s">
        <v>306</v>
      </c>
      <c r="G247" s="399" t="s">
        <v>150</v>
      </c>
      <c r="H247" s="399" t="s">
        <v>90</v>
      </c>
      <c r="I247" s="400" t="s">
        <v>101</v>
      </c>
      <c r="J247" s="397" t="s">
        <v>109</v>
      </c>
      <c r="K247" s="596">
        <f>491+67.7</f>
        <v>558.70000000000005</v>
      </c>
      <c r="L247" s="252">
        <f t="shared" si="71"/>
        <v>0</v>
      </c>
      <c r="M247" s="596">
        <f>491+67.7</f>
        <v>558.70000000000005</v>
      </c>
      <c r="N247" s="415"/>
    </row>
    <row r="248" spans="1:14" s="401" customFormat="1" ht="18.75" x14ac:dyDescent="0.3">
      <c r="A248" s="394"/>
      <c r="B248" s="386" t="s">
        <v>110</v>
      </c>
      <c r="C248" s="395" t="s">
        <v>417</v>
      </c>
      <c r="D248" s="396" t="s">
        <v>90</v>
      </c>
      <c r="E248" s="396" t="s">
        <v>130</v>
      </c>
      <c r="F248" s="412" t="s">
        <v>306</v>
      </c>
      <c r="G248" s="399" t="s">
        <v>150</v>
      </c>
      <c r="H248" s="399" t="s">
        <v>90</v>
      </c>
      <c r="I248" s="400" t="s">
        <v>101</v>
      </c>
      <c r="J248" s="397" t="s">
        <v>111</v>
      </c>
      <c r="K248" s="521">
        <v>1.2</v>
      </c>
      <c r="L248" s="252">
        <f t="shared" si="71"/>
        <v>0</v>
      </c>
      <c r="M248" s="521">
        <v>1.2</v>
      </c>
    </row>
    <row r="249" spans="1:14" s="401" customFormat="1" ht="93.75" x14ac:dyDescent="0.3">
      <c r="A249" s="394"/>
      <c r="B249" s="386" t="s">
        <v>151</v>
      </c>
      <c r="C249" s="395" t="s">
        <v>417</v>
      </c>
      <c r="D249" s="396" t="s">
        <v>90</v>
      </c>
      <c r="E249" s="396" t="s">
        <v>130</v>
      </c>
      <c r="F249" s="412" t="s">
        <v>306</v>
      </c>
      <c r="G249" s="399" t="s">
        <v>150</v>
      </c>
      <c r="H249" s="399" t="s">
        <v>90</v>
      </c>
      <c r="I249" s="400" t="s">
        <v>153</v>
      </c>
      <c r="J249" s="397"/>
      <c r="K249" s="521">
        <f t="shared" ref="K249" si="72">K250+K251+K252</f>
        <v>4288.3999999999996</v>
      </c>
      <c r="L249" s="521">
        <f t="shared" ref="L249:M249" si="73">L250+L251+L252</f>
        <v>0</v>
      </c>
      <c r="M249" s="521">
        <f t="shared" si="73"/>
        <v>4288.3999999999996</v>
      </c>
      <c r="N249" s="415"/>
    </row>
    <row r="250" spans="1:14" s="401" customFormat="1" ht="112.5" x14ac:dyDescent="0.3">
      <c r="A250" s="394"/>
      <c r="B250" s="386" t="s">
        <v>102</v>
      </c>
      <c r="C250" s="395" t="s">
        <v>417</v>
      </c>
      <c r="D250" s="396" t="s">
        <v>90</v>
      </c>
      <c r="E250" s="396" t="s">
        <v>130</v>
      </c>
      <c r="F250" s="412" t="s">
        <v>306</v>
      </c>
      <c r="G250" s="399" t="s">
        <v>150</v>
      </c>
      <c r="H250" s="399" t="s">
        <v>90</v>
      </c>
      <c r="I250" s="400" t="s">
        <v>153</v>
      </c>
      <c r="J250" s="397" t="s">
        <v>103</v>
      </c>
      <c r="K250" s="521">
        <v>4014.3</v>
      </c>
      <c r="L250" s="252">
        <f t="shared" ref="L250:L252" si="74">M250-K250</f>
        <v>0</v>
      </c>
      <c r="M250" s="521">
        <v>4014.3</v>
      </c>
      <c r="N250" s="415"/>
    </row>
    <row r="251" spans="1:14" s="401" customFormat="1" ht="56.25" x14ac:dyDescent="0.3">
      <c r="A251" s="394"/>
      <c r="B251" s="373" t="s">
        <v>108</v>
      </c>
      <c r="C251" s="395" t="s">
        <v>417</v>
      </c>
      <c r="D251" s="396" t="s">
        <v>90</v>
      </c>
      <c r="E251" s="396" t="s">
        <v>130</v>
      </c>
      <c r="F251" s="403" t="s">
        <v>306</v>
      </c>
      <c r="G251" s="404" t="s">
        <v>150</v>
      </c>
      <c r="H251" s="404" t="s">
        <v>90</v>
      </c>
      <c r="I251" s="405" t="s">
        <v>153</v>
      </c>
      <c r="J251" s="397" t="s">
        <v>109</v>
      </c>
      <c r="K251" s="521">
        <v>246.7</v>
      </c>
      <c r="L251" s="252">
        <f t="shared" si="74"/>
        <v>0</v>
      </c>
      <c r="M251" s="521">
        <v>246.7</v>
      </c>
    </row>
    <row r="252" spans="1:14" s="401" customFormat="1" ht="18.75" x14ac:dyDescent="0.3">
      <c r="A252" s="394"/>
      <c r="B252" s="386" t="s">
        <v>110</v>
      </c>
      <c r="C252" s="395" t="s">
        <v>417</v>
      </c>
      <c r="D252" s="396" t="s">
        <v>90</v>
      </c>
      <c r="E252" s="396" t="s">
        <v>130</v>
      </c>
      <c r="F252" s="412" t="s">
        <v>306</v>
      </c>
      <c r="G252" s="399" t="s">
        <v>150</v>
      </c>
      <c r="H252" s="399" t="s">
        <v>90</v>
      </c>
      <c r="I252" s="400" t="s">
        <v>153</v>
      </c>
      <c r="J252" s="397" t="s">
        <v>111</v>
      </c>
      <c r="K252" s="521">
        <v>27.4</v>
      </c>
      <c r="L252" s="252">
        <f t="shared" si="74"/>
        <v>0</v>
      </c>
      <c r="M252" s="521">
        <v>27.4</v>
      </c>
      <c r="N252" s="415"/>
    </row>
    <row r="253" spans="1:14" s="401" customFormat="1" ht="56.25" x14ac:dyDescent="0.3">
      <c r="A253" s="394"/>
      <c r="B253" s="373" t="s">
        <v>524</v>
      </c>
      <c r="C253" s="395" t="s">
        <v>417</v>
      </c>
      <c r="D253" s="396" t="s">
        <v>90</v>
      </c>
      <c r="E253" s="396" t="s">
        <v>130</v>
      </c>
      <c r="F253" s="412" t="s">
        <v>306</v>
      </c>
      <c r="G253" s="399" t="s">
        <v>150</v>
      </c>
      <c r="H253" s="399" t="s">
        <v>90</v>
      </c>
      <c r="I253" s="400" t="s">
        <v>523</v>
      </c>
      <c r="J253" s="397"/>
      <c r="K253" s="521">
        <f>K254</f>
        <v>32.9</v>
      </c>
      <c r="L253" s="521">
        <f>L254</f>
        <v>0</v>
      </c>
      <c r="M253" s="521">
        <f>M254</f>
        <v>32.9</v>
      </c>
      <c r="N253" s="415"/>
    </row>
    <row r="254" spans="1:14" s="401" customFormat="1" ht="56.25" x14ac:dyDescent="0.3">
      <c r="A254" s="394"/>
      <c r="B254" s="373" t="s">
        <v>108</v>
      </c>
      <c r="C254" s="395" t="s">
        <v>417</v>
      </c>
      <c r="D254" s="396" t="s">
        <v>90</v>
      </c>
      <c r="E254" s="396" t="s">
        <v>130</v>
      </c>
      <c r="F254" s="412" t="s">
        <v>306</v>
      </c>
      <c r="G254" s="399" t="s">
        <v>150</v>
      </c>
      <c r="H254" s="399" t="s">
        <v>90</v>
      </c>
      <c r="I254" s="416" t="s">
        <v>523</v>
      </c>
      <c r="J254" s="397" t="s">
        <v>109</v>
      </c>
      <c r="K254" s="521">
        <v>32.9</v>
      </c>
      <c r="L254" s="252">
        <f>M254-K254</f>
        <v>0</v>
      </c>
      <c r="M254" s="521">
        <v>32.9</v>
      </c>
      <c r="N254" s="415"/>
    </row>
    <row r="255" spans="1:14" s="423" customFormat="1" ht="37.5" x14ac:dyDescent="0.3">
      <c r="A255" s="417"/>
      <c r="B255" s="418" t="s">
        <v>521</v>
      </c>
      <c r="C255" s="419" t="s">
        <v>417</v>
      </c>
      <c r="D255" s="420" t="s">
        <v>90</v>
      </c>
      <c r="E255" s="420" t="s">
        <v>130</v>
      </c>
      <c r="F255" s="421" t="s">
        <v>306</v>
      </c>
      <c r="G255" s="409" t="s">
        <v>150</v>
      </c>
      <c r="H255" s="409" t="s">
        <v>92</v>
      </c>
      <c r="I255" s="410" t="s">
        <v>97</v>
      </c>
      <c r="J255" s="422"/>
      <c r="K255" s="522">
        <f t="shared" ref="K255:M256" si="75">K256</f>
        <v>207</v>
      </c>
      <c r="L255" s="522">
        <f t="shared" si="75"/>
        <v>0</v>
      </c>
      <c r="M255" s="522">
        <f t="shared" si="75"/>
        <v>207</v>
      </c>
      <c r="N255" s="424"/>
    </row>
    <row r="256" spans="1:14" s="423" customFormat="1" ht="75" x14ac:dyDescent="0.3">
      <c r="A256" s="425"/>
      <c r="B256" s="426" t="s">
        <v>522</v>
      </c>
      <c r="C256" s="395" t="s">
        <v>417</v>
      </c>
      <c r="D256" s="396" t="s">
        <v>90</v>
      </c>
      <c r="E256" s="396" t="s">
        <v>130</v>
      </c>
      <c r="F256" s="427" t="s">
        <v>306</v>
      </c>
      <c r="G256" s="409" t="s">
        <v>150</v>
      </c>
      <c r="H256" s="409" t="s">
        <v>92</v>
      </c>
      <c r="I256" s="410" t="s">
        <v>168</v>
      </c>
      <c r="J256" s="411"/>
      <c r="K256" s="523">
        <f t="shared" si="75"/>
        <v>207</v>
      </c>
      <c r="L256" s="523">
        <f t="shared" si="75"/>
        <v>0</v>
      </c>
      <c r="M256" s="523">
        <f t="shared" si="75"/>
        <v>207</v>
      </c>
      <c r="N256" s="424"/>
    </row>
    <row r="257" spans="1:14" s="423" customFormat="1" ht="56.25" x14ac:dyDescent="0.3">
      <c r="A257" s="428"/>
      <c r="B257" s="429" t="s">
        <v>108</v>
      </c>
      <c r="C257" s="430" t="s">
        <v>417</v>
      </c>
      <c r="D257" s="396" t="s">
        <v>90</v>
      </c>
      <c r="E257" s="396" t="s">
        <v>130</v>
      </c>
      <c r="F257" s="431" t="s">
        <v>306</v>
      </c>
      <c r="G257" s="432" t="s">
        <v>150</v>
      </c>
      <c r="H257" s="432" t="s">
        <v>92</v>
      </c>
      <c r="I257" s="433" t="s">
        <v>168</v>
      </c>
      <c r="J257" s="434" t="s">
        <v>109</v>
      </c>
      <c r="K257" s="524">
        <v>207</v>
      </c>
      <c r="L257" s="252">
        <f>M257-K257</f>
        <v>0</v>
      </c>
      <c r="M257" s="524">
        <v>207</v>
      </c>
      <c r="N257" s="424"/>
    </row>
    <row r="258" spans="1:14" s="423" customFormat="1" ht="37.5" x14ac:dyDescent="0.3">
      <c r="A258" s="428"/>
      <c r="B258" s="435" t="s">
        <v>581</v>
      </c>
      <c r="C258" s="430" t="s">
        <v>417</v>
      </c>
      <c r="D258" s="396" t="s">
        <v>90</v>
      </c>
      <c r="E258" s="396" t="s">
        <v>130</v>
      </c>
      <c r="F258" s="431" t="s">
        <v>306</v>
      </c>
      <c r="G258" s="432" t="s">
        <v>150</v>
      </c>
      <c r="H258" s="436" t="s">
        <v>119</v>
      </c>
      <c r="I258" s="437" t="s">
        <v>97</v>
      </c>
      <c r="J258" s="438"/>
      <c r="K258" s="439">
        <f t="shared" ref="K258:M259" si="76">K259</f>
        <v>68.5</v>
      </c>
      <c r="L258" s="439">
        <f t="shared" si="76"/>
        <v>0</v>
      </c>
      <c r="M258" s="439">
        <f t="shared" si="76"/>
        <v>68.5</v>
      </c>
      <c r="N258" s="424"/>
    </row>
    <row r="259" spans="1:14" s="423" customFormat="1" ht="37.5" x14ac:dyDescent="0.3">
      <c r="A259" s="428"/>
      <c r="B259" s="435" t="s">
        <v>489</v>
      </c>
      <c r="C259" s="430" t="s">
        <v>417</v>
      </c>
      <c r="D259" s="396" t="s">
        <v>90</v>
      </c>
      <c r="E259" s="396" t="s">
        <v>130</v>
      </c>
      <c r="F259" s="431" t="s">
        <v>306</v>
      </c>
      <c r="G259" s="432" t="s">
        <v>150</v>
      </c>
      <c r="H259" s="440" t="s">
        <v>119</v>
      </c>
      <c r="I259" s="441" t="s">
        <v>488</v>
      </c>
      <c r="J259" s="438"/>
      <c r="K259" s="439">
        <f t="shared" si="76"/>
        <v>68.5</v>
      </c>
      <c r="L259" s="439">
        <f t="shared" si="76"/>
        <v>0</v>
      </c>
      <c r="M259" s="439">
        <f t="shared" si="76"/>
        <v>68.5</v>
      </c>
      <c r="N259" s="424"/>
    </row>
    <row r="260" spans="1:14" s="423" customFormat="1" ht="18.75" x14ac:dyDescent="0.3">
      <c r="A260" s="425"/>
      <c r="B260" s="386" t="s">
        <v>110</v>
      </c>
      <c r="C260" s="395" t="s">
        <v>417</v>
      </c>
      <c r="D260" s="396" t="s">
        <v>90</v>
      </c>
      <c r="E260" s="396" t="s">
        <v>130</v>
      </c>
      <c r="F260" s="412" t="s">
        <v>306</v>
      </c>
      <c r="G260" s="436" t="s">
        <v>150</v>
      </c>
      <c r="H260" s="436" t="s">
        <v>119</v>
      </c>
      <c r="I260" s="437" t="s">
        <v>488</v>
      </c>
      <c r="J260" s="438" t="s">
        <v>111</v>
      </c>
      <c r="K260" s="439">
        <v>68.5</v>
      </c>
      <c r="L260" s="252">
        <f>M260-K260</f>
        <v>0</v>
      </c>
      <c r="M260" s="439">
        <v>68.5</v>
      </c>
      <c r="N260" s="424"/>
    </row>
    <row r="261" spans="1:14" s="930" customFormat="1" ht="37.5" x14ac:dyDescent="0.3">
      <c r="A261" s="922"/>
      <c r="B261" s="923" t="s">
        <v>491</v>
      </c>
      <c r="C261" s="395" t="s">
        <v>417</v>
      </c>
      <c r="D261" s="396" t="s">
        <v>90</v>
      </c>
      <c r="E261" s="396" t="s">
        <v>130</v>
      </c>
      <c r="F261" s="924" t="s">
        <v>306</v>
      </c>
      <c r="G261" s="925" t="s">
        <v>83</v>
      </c>
      <c r="H261" s="925" t="s">
        <v>96</v>
      </c>
      <c r="I261" s="926" t="s">
        <v>97</v>
      </c>
      <c r="J261" s="927"/>
      <c r="K261" s="928"/>
      <c r="L261" s="884">
        <f t="shared" ref="L261:M263" si="77">L262</f>
        <v>1800</v>
      </c>
      <c r="M261" s="884">
        <f t="shared" si="77"/>
        <v>1800</v>
      </c>
      <c r="N261" s="929"/>
    </row>
    <row r="262" spans="1:14" s="930" customFormat="1" ht="37.5" x14ac:dyDescent="0.3">
      <c r="A262" s="922"/>
      <c r="B262" s="923" t="s">
        <v>829</v>
      </c>
      <c r="C262" s="395" t="s">
        <v>417</v>
      </c>
      <c r="D262" s="396" t="s">
        <v>90</v>
      </c>
      <c r="E262" s="396" t="s">
        <v>130</v>
      </c>
      <c r="F262" s="924" t="s">
        <v>306</v>
      </c>
      <c r="G262" s="925" t="s">
        <v>83</v>
      </c>
      <c r="H262" s="925" t="s">
        <v>141</v>
      </c>
      <c r="I262" s="926" t="s">
        <v>97</v>
      </c>
      <c r="J262" s="927"/>
      <c r="K262" s="928"/>
      <c r="L262" s="884">
        <f t="shared" si="77"/>
        <v>1800</v>
      </c>
      <c r="M262" s="884">
        <f t="shared" si="77"/>
        <v>1800</v>
      </c>
      <c r="N262" s="929"/>
    </row>
    <row r="263" spans="1:14" s="930" customFormat="1" ht="56.25" x14ac:dyDescent="0.3">
      <c r="A263" s="922"/>
      <c r="B263" s="923" t="s">
        <v>830</v>
      </c>
      <c r="C263" s="395" t="s">
        <v>417</v>
      </c>
      <c r="D263" s="396" t="s">
        <v>90</v>
      </c>
      <c r="E263" s="396" t="s">
        <v>130</v>
      </c>
      <c r="F263" s="924" t="s">
        <v>306</v>
      </c>
      <c r="G263" s="925" t="s">
        <v>83</v>
      </c>
      <c r="H263" s="925" t="s">
        <v>141</v>
      </c>
      <c r="I263" s="926" t="s">
        <v>828</v>
      </c>
      <c r="J263" s="927"/>
      <c r="K263" s="928"/>
      <c r="L263" s="884">
        <f t="shared" si="77"/>
        <v>1800</v>
      </c>
      <c r="M263" s="884">
        <f t="shared" si="77"/>
        <v>1800</v>
      </c>
      <c r="N263" s="929"/>
    </row>
    <row r="264" spans="1:14" s="930" customFormat="1" ht="56.25" x14ac:dyDescent="0.3">
      <c r="A264" s="922"/>
      <c r="B264" s="429" t="s">
        <v>108</v>
      </c>
      <c r="C264" s="395" t="s">
        <v>417</v>
      </c>
      <c r="D264" s="396" t="s">
        <v>90</v>
      </c>
      <c r="E264" s="396" t="s">
        <v>130</v>
      </c>
      <c r="F264" s="924" t="s">
        <v>306</v>
      </c>
      <c r="G264" s="925" t="s">
        <v>83</v>
      </c>
      <c r="H264" s="925" t="s">
        <v>141</v>
      </c>
      <c r="I264" s="926" t="s">
        <v>828</v>
      </c>
      <c r="J264" s="927" t="s">
        <v>109</v>
      </c>
      <c r="K264" s="928"/>
      <c r="L264" s="884">
        <f>M264-K264</f>
        <v>1800</v>
      </c>
      <c r="M264" s="928">
        <v>1800</v>
      </c>
      <c r="N264" s="929"/>
    </row>
    <row r="265" spans="1:14" s="401" customFormat="1" ht="56.25" x14ac:dyDescent="0.3">
      <c r="A265" s="394"/>
      <c r="B265" s="442" t="s">
        <v>93</v>
      </c>
      <c r="C265" s="395" t="s">
        <v>417</v>
      </c>
      <c r="D265" s="396" t="s">
        <v>90</v>
      </c>
      <c r="E265" s="396" t="s">
        <v>130</v>
      </c>
      <c r="F265" s="443" t="s">
        <v>94</v>
      </c>
      <c r="G265" s="399" t="s">
        <v>95</v>
      </c>
      <c r="H265" s="893" t="s">
        <v>96</v>
      </c>
      <c r="I265" s="400" t="s">
        <v>97</v>
      </c>
      <c r="J265" s="397"/>
      <c r="K265" s="521">
        <f t="shared" ref="K265:M266" si="78">K266</f>
        <v>5636.5</v>
      </c>
      <c r="L265" s="521">
        <f t="shared" si="78"/>
        <v>0</v>
      </c>
      <c r="M265" s="521">
        <f t="shared" si="78"/>
        <v>5636.5</v>
      </c>
      <c r="N265" s="415"/>
    </row>
    <row r="266" spans="1:14" s="401" customFormat="1" ht="37.5" x14ac:dyDescent="0.3">
      <c r="A266" s="394"/>
      <c r="B266" s="373" t="s">
        <v>491</v>
      </c>
      <c r="C266" s="395" t="s">
        <v>417</v>
      </c>
      <c r="D266" s="396" t="s">
        <v>90</v>
      </c>
      <c r="E266" s="396" t="s">
        <v>130</v>
      </c>
      <c r="F266" s="412" t="s">
        <v>94</v>
      </c>
      <c r="G266" s="399" t="s">
        <v>98</v>
      </c>
      <c r="H266" s="399" t="s">
        <v>96</v>
      </c>
      <c r="I266" s="400" t="s">
        <v>97</v>
      </c>
      <c r="J266" s="397"/>
      <c r="K266" s="521">
        <f t="shared" si="78"/>
        <v>5636.5</v>
      </c>
      <c r="L266" s="521">
        <f t="shared" si="78"/>
        <v>0</v>
      </c>
      <c r="M266" s="521">
        <f t="shared" si="78"/>
        <v>5636.5</v>
      </c>
      <c r="N266" s="415"/>
    </row>
    <row r="267" spans="1:14" s="401" customFormat="1" ht="75" x14ac:dyDescent="0.3">
      <c r="A267" s="394"/>
      <c r="B267" s="386" t="s">
        <v>420</v>
      </c>
      <c r="C267" s="395" t="s">
        <v>417</v>
      </c>
      <c r="D267" s="396" t="s">
        <v>90</v>
      </c>
      <c r="E267" s="396" t="s">
        <v>130</v>
      </c>
      <c r="F267" s="412" t="s">
        <v>94</v>
      </c>
      <c r="G267" s="399" t="s">
        <v>98</v>
      </c>
      <c r="H267" s="399" t="s">
        <v>141</v>
      </c>
      <c r="I267" s="400" t="s">
        <v>97</v>
      </c>
      <c r="J267" s="397"/>
      <c r="K267" s="521">
        <f t="shared" ref="K267:M267" si="79">K268</f>
        <v>5636.5</v>
      </c>
      <c r="L267" s="521">
        <f t="shared" si="79"/>
        <v>0</v>
      </c>
      <c r="M267" s="521">
        <f t="shared" si="79"/>
        <v>5636.5</v>
      </c>
      <c r="N267" s="415"/>
    </row>
    <row r="268" spans="1:14" s="401" customFormat="1" ht="93.75" x14ac:dyDescent="0.3">
      <c r="A268" s="394"/>
      <c r="B268" s="386" t="s">
        <v>151</v>
      </c>
      <c r="C268" s="395" t="s">
        <v>417</v>
      </c>
      <c r="D268" s="396" t="s">
        <v>90</v>
      </c>
      <c r="E268" s="396" t="s">
        <v>130</v>
      </c>
      <c r="F268" s="412" t="s">
        <v>94</v>
      </c>
      <c r="G268" s="399" t="s">
        <v>98</v>
      </c>
      <c r="H268" s="399" t="s">
        <v>141</v>
      </c>
      <c r="I268" s="400" t="s">
        <v>153</v>
      </c>
      <c r="J268" s="397"/>
      <c r="K268" s="521">
        <f t="shared" ref="K268" si="80">SUM(K269:K271)</f>
        <v>5636.5</v>
      </c>
      <c r="L268" s="521">
        <f t="shared" ref="L268" si="81">SUM(L269:L271)</f>
        <v>0</v>
      </c>
      <c r="M268" s="521">
        <f t="shared" ref="M268" si="82">SUM(M269:M271)</f>
        <v>5636.5</v>
      </c>
      <c r="N268" s="415"/>
    </row>
    <row r="269" spans="1:14" s="401" customFormat="1" ht="112.5" x14ac:dyDescent="0.3">
      <c r="A269" s="394"/>
      <c r="B269" s="386" t="s">
        <v>102</v>
      </c>
      <c r="C269" s="395" t="s">
        <v>417</v>
      </c>
      <c r="D269" s="396" t="s">
        <v>90</v>
      </c>
      <c r="E269" s="396" t="s">
        <v>130</v>
      </c>
      <c r="F269" s="412" t="s">
        <v>94</v>
      </c>
      <c r="G269" s="399" t="s">
        <v>98</v>
      </c>
      <c r="H269" s="399" t="s">
        <v>141</v>
      </c>
      <c r="I269" s="400" t="s">
        <v>153</v>
      </c>
      <c r="J269" s="397" t="s">
        <v>103</v>
      </c>
      <c r="K269" s="521">
        <v>5038.7</v>
      </c>
      <c r="L269" s="252">
        <f t="shared" ref="L269:L271" si="83">M269-K269</f>
        <v>0</v>
      </c>
      <c r="M269" s="521">
        <v>5038.7</v>
      </c>
      <c r="N269" s="415"/>
    </row>
    <row r="270" spans="1:14" s="401" customFormat="1" ht="56.25" x14ac:dyDescent="0.3">
      <c r="A270" s="394"/>
      <c r="B270" s="373" t="s">
        <v>108</v>
      </c>
      <c r="C270" s="395" t="s">
        <v>417</v>
      </c>
      <c r="D270" s="396" t="s">
        <v>90</v>
      </c>
      <c r="E270" s="396" t="s">
        <v>130</v>
      </c>
      <c r="F270" s="412" t="s">
        <v>94</v>
      </c>
      <c r="G270" s="399" t="s">
        <v>98</v>
      </c>
      <c r="H270" s="399" t="s">
        <v>141</v>
      </c>
      <c r="I270" s="400" t="s">
        <v>153</v>
      </c>
      <c r="J270" s="397" t="s">
        <v>109</v>
      </c>
      <c r="K270" s="596">
        <f>514.3+83.4</f>
        <v>597.69999999999993</v>
      </c>
      <c r="L270" s="252">
        <f t="shared" si="83"/>
        <v>0</v>
      </c>
      <c r="M270" s="596">
        <f>514.3+83.4</f>
        <v>597.69999999999993</v>
      </c>
      <c r="N270" s="415"/>
    </row>
    <row r="271" spans="1:14" s="401" customFormat="1" ht="18.75" x14ac:dyDescent="0.3">
      <c r="A271" s="394"/>
      <c r="B271" s="386" t="s">
        <v>110</v>
      </c>
      <c r="C271" s="395" t="s">
        <v>417</v>
      </c>
      <c r="D271" s="396" t="s">
        <v>90</v>
      </c>
      <c r="E271" s="396" t="s">
        <v>130</v>
      </c>
      <c r="F271" s="412" t="s">
        <v>94</v>
      </c>
      <c r="G271" s="399" t="s">
        <v>98</v>
      </c>
      <c r="H271" s="399" t="s">
        <v>141</v>
      </c>
      <c r="I271" s="400" t="s">
        <v>153</v>
      </c>
      <c r="J271" s="397" t="s">
        <v>111</v>
      </c>
      <c r="K271" s="521">
        <v>0.1</v>
      </c>
      <c r="L271" s="252">
        <f t="shared" si="83"/>
        <v>0</v>
      </c>
      <c r="M271" s="521">
        <v>0.1</v>
      </c>
      <c r="N271" s="415"/>
    </row>
    <row r="272" spans="1:14" s="401" customFormat="1" ht="18.75" x14ac:dyDescent="0.3">
      <c r="A272" s="394"/>
      <c r="B272" s="373" t="s">
        <v>154</v>
      </c>
      <c r="C272" s="395" t="s">
        <v>417</v>
      </c>
      <c r="D272" s="396" t="s">
        <v>105</v>
      </c>
      <c r="E272" s="396"/>
      <c r="F272" s="412"/>
      <c r="G272" s="399"/>
      <c r="H272" s="399"/>
      <c r="I272" s="400"/>
      <c r="J272" s="397"/>
      <c r="K272" s="521">
        <f t="shared" ref="K272:M277" si="84">K273</f>
        <v>2437.3000000000002</v>
      </c>
      <c r="L272" s="521">
        <f t="shared" si="84"/>
        <v>0</v>
      </c>
      <c r="M272" s="521">
        <f t="shared" si="84"/>
        <v>2437.3000000000002</v>
      </c>
      <c r="N272" s="415"/>
    </row>
    <row r="273" spans="1:14" s="401" customFormat="1" ht="37.5" x14ac:dyDescent="0.3">
      <c r="A273" s="394"/>
      <c r="B273" s="382" t="s">
        <v>169</v>
      </c>
      <c r="C273" s="395" t="s">
        <v>417</v>
      </c>
      <c r="D273" s="396" t="s">
        <v>105</v>
      </c>
      <c r="E273" s="396" t="s">
        <v>163</v>
      </c>
      <c r="F273" s="412"/>
      <c r="G273" s="399"/>
      <c r="H273" s="399"/>
      <c r="I273" s="400"/>
      <c r="J273" s="397"/>
      <c r="K273" s="521">
        <f t="shared" si="84"/>
        <v>2437.3000000000002</v>
      </c>
      <c r="L273" s="521">
        <f t="shared" si="84"/>
        <v>0</v>
      </c>
      <c r="M273" s="521">
        <f t="shared" si="84"/>
        <v>2437.3000000000002</v>
      </c>
      <c r="N273" s="415"/>
    </row>
    <row r="274" spans="1:14" s="401" customFormat="1" ht="56.25" x14ac:dyDescent="0.3">
      <c r="A274" s="394"/>
      <c r="B274" s="386" t="s">
        <v>305</v>
      </c>
      <c r="C274" s="395" t="s">
        <v>417</v>
      </c>
      <c r="D274" s="396" t="s">
        <v>105</v>
      </c>
      <c r="E274" s="396" t="s">
        <v>163</v>
      </c>
      <c r="F274" s="412" t="s">
        <v>306</v>
      </c>
      <c r="G274" s="399" t="s">
        <v>95</v>
      </c>
      <c r="H274" s="399" t="s">
        <v>96</v>
      </c>
      <c r="I274" s="400" t="s">
        <v>97</v>
      </c>
      <c r="J274" s="397"/>
      <c r="K274" s="521">
        <f t="shared" si="84"/>
        <v>2437.3000000000002</v>
      </c>
      <c r="L274" s="521">
        <f t="shared" si="84"/>
        <v>0</v>
      </c>
      <c r="M274" s="521">
        <f t="shared" si="84"/>
        <v>2437.3000000000002</v>
      </c>
      <c r="N274" s="415"/>
    </row>
    <row r="275" spans="1:14" s="401" customFormat="1" ht="56.25" x14ac:dyDescent="0.3">
      <c r="A275" s="394"/>
      <c r="B275" s="386" t="s">
        <v>307</v>
      </c>
      <c r="C275" s="395" t="s">
        <v>417</v>
      </c>
      <c r="D275" s="396" t="s">
        <v>105</v>
      </c>
      <c r="E275" s="396" t="s">
        <v>163</v>
      </c>
      <c r="F275" s="412" t="s">
        <v>306</v>
      </c>
      <c r="G275" s="399" t="s">
        <v>98</v>
      </c>
      <c r="H275" s="399" t="s">
        <v>96</v>
      </c>
      <c r="I275" s="400" t="s">
        <v>97</v>
      </c>
      <c r="J275" s="397"/>
      <c r="K275" s="521">
        <f t="shared" si="84"/>
        <v>2437.3000000000002</v>
      </c>
      <c r="L275" s="521">
        <f t="shared" si="84"/>
        <v>0</v>
      </c>
      <c r="M275" s="521">
        <f t="shared" si="84"/>
        <v>2437.3000000000002</v>
      </c>
      <c r="N275" s="415"/>
    </row>
    <row r="276" spans="1:14" s="401" customFormat="1" ht="112.5" x14ac:dyDescent="0.3">
      <c r="A276" s="394"/>
      <c r="B276" s="386" t="s">
        <v>418</v>
      </c>
      <c r="C276" s="395" t="s">
        <v>417</v>
      </c>
      <c r="D276" s="396" t="s">
        <v>105</v>
      </c>
      <c r="E276" s="396" t="s">
        <v>163</v>
      </c>
      <c r="F276" s="412" t="s">
        <v>306</v>
      </c>
      <c r="G276" s="399" t="s">
        <v>98</v>
      </c>
      <c r="H276" s="399" t="s">
        <v>90</v>
      </c>
      <c r="I276" s="400" t="s">
        <v>97</v>
      </c>
      <c r="J276" s="397"/>
      <c r="K276" s="521">
        <f t="shared" si="84"/>
        <v>2437.3000000000002</v>
      </c>
      <c r="L276" s="521">
        <f t="shared" si="84"/>
        <v>0</v>
      </c>
      <c r="M276" s="521">
        <f t="shared" si="84"/>
        <v>2437.3000000000002</v>
      </c>
      <c r="N276" s="415"/>
    </row>
    <row r="277" spans="1:14" s="401" customFormat="1" ht="37.5" x14ac:dyDescent="0.3">
      <c r="A277" s="394"/>
      <c r="B277" s="386" t="s">
        <v>571</v>
      </c>
      <c r="C277" s="395" t="s">
        <v>417</v>
      </c>
      <c r="D277" s="396" t="s">
        <v>105</v>
      </c>
      <c r="E277" s="396" t="s">
        <v>163</v>
      </c>
      <c r="F277" s="412" t="s">
        <v>306</v>
      </c>
      <c r="G277" s="399" t="s">
        <v>98</v>
      </c>
      <c r="H277" s="399" t="s">
        <v>90</v>
      </c>
      <c r="I277" s="400" t="s">
        <v>570</v>
      </c>
      <c r="J277" s="397"/>
      <c r="K277" s="521">
        <f t="shared" si="84"/>
        <v>2437.3000000000002</v>
      </c>
      <c r="L277" s="521">
        <f t="shared" si="84"/>
        <v>0</v>
      </c>
      <c r="M277" s="521">
        <f t="shared" si="84"/>
        <v>2437.3000000000002</v>
      </c>
      <c r="N277" s="415"/>
    </row>
    <row r="278" spans="1:14" s="401" customFormat="1" ht="56.25" x14ac:dyDescent="0.3">
      <c r="A278" s="394"/>
      <c r="B278" s="373" t="s">
        <v>108</v>
      </c>
      <c r="C278" s="395" t="s">
        <v>417</v>
      </c>
      <c r="D278" s="396" t="s">
        <v>105</v>
      </c>
      <c r="E278" s="396" t="s">
        <v>163</v>
      </c>
      <c r="F278" s="412" t="s">
        <v>306</v>
      </c>
      <c r="G278" s="399" t="s">
        <v>98</v>
      </c>
      <c r="H278" s="399" t="s">
        <v>90</v>
      </c>
      <c r="I278" s="400" t="s">
        <v>570</v>
      </c>
      <c r="J278" s="397" t="s">
        <v>109</v>
      </c>
      <c r="K278" s="521">
        <v>2437.3000000000002</v>
      </c>
      <c r="L278" s="252">
        <f>M278-K278</f>
        <v>0</v>
      </c>
      <c r="M278" s="521">
        <v>2437.3000000000002</v>
      </c>
      <c r="N278" s="415"/>
    </row>
    <row r="279" spans="1:14" s="401" customFormat="1" ht="18.75" x14ac:dyDescent="0.3">
      <c r="A279" s="394"/>
      <c r="B279" s="386" t="s">
        <v>252</v>
      </c>
      <c r="C279" s="395" t="s">
        <v>417</v>
      </c>
      <c r="D279" s="396" t="s">
        <v>121</v>
      </c>
      <c r="E279" s="396"/>
      <c r="F279" s="406"/>
      <c r="G279" s="399"/>
      <c r="H279" s="399"/>
      <c r="I279" s="444"/>
      <c r="J279" s="397"/>
      <c r="K279" s="521">
        <f t="shared" ref="K279:M279" si="85">K280</f>
        <v>481.79999999999995</v>
      </c>
      <c r="L279" s="521">
        <f t="shared" si="85"/>
        <v>1818.0000000000002</v>
      </c>
      <c r="M279" s="521">
        <f t="shared" si="85"/>
        <v>2299.8000000000002</v>
      </c>
      <c r="N279" s="415"/>
    </row>
    <row r="280" spans="1:14" s="401" customFormat="1" ht="18.75" x14ac:dyDescent="0.3">
      <c r="A280" s="394"/>
      <c r="B280" s="386" t="s">
        <v>483</v>
      </c>
      <c r="C280" s="395" t="s">
        <v>417</v>
      </c>
      <c r="D280" s="396" t="s">
        <v>121</v>
      </c>
      <c r="E280" s="396" t="s">
        <v>92</v>
      </c>
      <c r="F280" s="406"/>
      <c r="G280" s="399"/>
      <c r="H280" s="399"/>
      <c r="I280" s="444"/>
      <c r="J280" s="397"/>
      <c r="K280" s="521">
        <f t="shared" ref="K280:M284" si="86">K281</f>
        <v>481.79999999999995</v>
      </c>
      <c r="L280" s="521">
        <f t="shared" si="86"/>
        <v>1818.0000000000002</v>
      </c>
      <c r="M280" s="521">
        <f t="shared" si="86"/>
        <v>2299.8000000000002</v>
      </c>
      <c r="N280" s="415"/>
    </row>
    <row r="281" spans="1:14" s="401" customFormat="1" ht="75" x14ac:dyDescent="0.3">
      <c r="A281" s="394"/>
      <c r="B281" s="445" t="s">
        <v>482</v>
      </c>
      <c r="C281" s="395" t="s">
        <v>417</v>
      </c>
      <c r="D281" s="396" t="s">
        <v>121</v>
      </c>
      <c r="E281" s="396" t="s">
        <v>92</v>
      </c>
      <c r="F281" s="406" t="s">
        <v>167</v>
      </c>
      <c r="G281" s="399" t="s">
        <v>95</v>
      </c>
      <c r="H281" s="399" t="s">
        <v>96</v>
      </c>
      <c r="I281" s="444" t="s">
        <v>97</v>
      </c>
      <c r="J281" s="397"/>
      <c r="K281" s="521">
        <f t="shared" si="86"/>
        <v>481.79999999999995</v>
      </c>
      <c r="L281" s="521">
        <f t="shared" si="86"/>
        <v>1818.0000000000002</v>
      </c>
      <c r="M281" s="521">
        <f t="shared" si="86"/>
        <v>2299.8000000000002</v>
      </c>
      <c r="N281" s="415"/>
    </row>
    <row r="282" spans="1:14" s="401" customFormat="1" ht="56.25" x14ac:dyDescent="0.3">
      <c r="A282" s="394"/>
      <c r="B282" s="373" t="s">
        <v>484</v>
      </c>
      <c r="C282" s="395" t="s">
        <v>417</v>
      </c>
      <c r="D282" s="396" t="s">
        <v>121</v>
      </c>
      <c r="E282" s="396" t="s">
        <v>92</v>
      </c>
      <c r="F282" s="406" t="s">
        <v>167</v>
      </c>
      <c r="G282" s="399" t="s">
        <v>98</v>
      </c>
      <c r="H282" s="399" t="s">
        <v>96</v>
      </c>
      <c r="I282" s="444" t="s">
        <v>97</v>
      </c>
      <c r="J282" s="397"/>
      <c r="K282" s="521">
        <f t="shared" si="86"/>
        <v>481.79999999999995</v>
      </c>
      <c r="L282" s="521">
        <f t="shared" si="86"/>
        <v>1818.0000000000002</v>
      </c>
      <c r="M282" s="521">
        <f t="shared" si="86"/>
        <v>2299.8000000000002</v>
      </c>
      <c r="N282" s="415"/>
    </row>
    <row r="283" spans="1:14" s="401" customFormat="1" ht="56.25" x14ac:dyDescent="0.3">
      <c r="A283" s="394"/>
      <c r="B283" s="373" t="s">
        <v>572</v>
      </c>
      <c r="C283" s="395" t="s">
        <v>417</v>
      </c>
      <c r="D283" s="396" t="s">
        <v>121</v>
      </c>
      <c r="E283" s="396" t="s">
        <v>92</v>
      </c>
      <c r="F283" s="406" t="s">
        <v>167</v>
      </c>
      <c r="G283" s="399" t="s">
        <v>98</v>
      </c>
      <c r="H283" s="399" t="s">
        <v>90</v>
      </c>
      <c r="I283" s="444" t="s">
        <v>97</v>
      </c>
      <c r="J283" s="397"/>
      <c r="K283" s="521">
        <f>K284</f>
        <v>481.79999999999995</v>
      </c>
      <c r="L283" s="521">
        <f>L284</f>
        <v>1818.0000000000002</v>
      </c>
      <c r="M283" s="521">
        <f>M284</f>
        <v>2299.8000000000002</v>
      </c>
      <c r="N283" s="415"/>
    </row>
    <row r="284" spans="1:14" s="401" customFormat="1" ht="75" x14ac:dyDescent="0.3">
      <c r="A284" s="394"/>
      <c r="B284" s="373" t="s">
        <v>485</v>
      </c>
      <c r="C284" s="395" t="s">
        <v>417</v>
      </c>
      <c r="D284" s="396" t="s">
        <v>121</v>
      </c>
      <c r="E284" s="396" t="s">
        <v>92</v>
      </c>
      <c r="F284" s="406" t="s">
        <v>167</v>
      </c>
      <c r="G284" s="399" t="s">
        <v>98</v>
      </c>
      <c r="H284" s="399" t="s">
        <v>90</v>
      </c>
      <c r="I284" s="444" t="s">
        <v>486</v>
      </c>
      <c r="J284" s="397"/>
      <c r="K284" s="521">
        <f t="shared" si="86"/>
        <v>481.79999999999995</v>
      </c>
      <c r="L284" s="521">
        <f t="shared" si="86"/>
        <v>1818.0000000000002</v>
      </c>
      <c r="M284" s="521">
        <f t="shared" si="86"/>
        <v>2299.8000000000002</v>
      </c>
      <c r="N284" s="415"/>
    </row>
    <row r="285" spans="1:14" s="401" customFormat="1" ht="56.25" x14ac:dyDescent="0.3">
      <c r="A285" s="394"/>
      <c r="B285" s="373" t="s">
        <v>282</v>
      </c>
      <c r="C285" s="395" t="s">
        <v>417</v>
      </c>
      <c r="D285" s="396" t="s">
        <v>121</v>
      </c>
      <c r="E285" s="396" t="s">
        <v>92</v>
      </c>
      <c r="F285" s="406" t="s">
        <v>167</v>
      </c>
      <c r="G285" s="399" t="s">
        <v>98</v>
      </c>
      <c r="H285" s="399" t="s">
        <v>90</v>
      </c>
      <c r="I285" s="444" t="s">
        <v>486</v>
      </c>
      <c r="J285" s="397" t="s">
        <v>283</v>
      </c>
      <c r="K285" s="596">
        <f>817.8-336</f>
        <v>481.79999999999995</v>
      </c>
      <c r="L285" s="252">
        <f>M285-K285</f>
        <v>1818.0000000000002</v>
      </c>
      <c r="M285" s="596">
        <f>817.8-336+1818</f>
        <v>2299.8000000000002</v>
      </c>
      <c r="N285" s="415"/>
    </row>
    <row r="286" spans="1:14" s="898" customFormat="1" ht="18.75" x14ac:dyDescent="0.3">
      <c r="A286" s="889"/>
      <c r="B286" s="373" t="s">
        <v>254</v>
      </c>
      <c r="C286" s="890" t="s">
        <v>417</v>
      </c>
      <c r="D286" s="891" t="s">
        <v>304</v>
      </c>
      <c r="E286" s="891"/>
      <c r="F286" s="892"/>
      <c r="G286" s="893"/>
      <c r="H286" s="893"/>
      <c r="I286" s="894"/>
      <c r="J286" s="895"/>
      <c r="K286" s="896"/>
      <c r="L286" s="884">
        <f>L287</f>
        <v>1500</v>
      </c>
      <c r="M286" s="884">
        <f>M287</f>
        <v>1500</v>
      </c>
      <c r="N286" s="897"/>
    </row>
    <row r="287" spans="1:14" s="898" customFormat="1" ht="18.75" x14ac:dyDescent="0.3">
      <c r="A287" s="889"/>
      <c r="B287" s="373" t="s">
        <v>258</v>
      </c>
      <c r="C287" s="890" t="s">
        <v>417</v>
      </c>
      <c r="D287" s="891" t="s">
        <v>304</v>
      </c>
      <c r="E287" s="891" t="s">
        <v>92</v>
      </c>
      <c r="F287" s="892"/>
      <c r="G287" s="893"/>
      <c r="H287" s="893"/>
      <c r="I287" s="894"/>
      <c r="J287" s="895"/>
      <c r="K287" s="896"/>
      <c r="L287" s="252">
        <f t="shared" ref="L287:M291" si="87">L288</f>
        <v>1500</v>
      </c>
      <c r="M287" s="252">
        <f t="shared" si="87"/>
        <v>1500</v>
      </c>
      <c r="N287" s="897"/>
    </row>
    <row r="288" spans="1:14" s="898" customFormat="1" ht="56.25" x14ac:dyDescent="0.3">
      <c r="A288" s="889"/>
      <c r="B288" s="373" t="s">
        <v>284</v>
      </c>
      <c r="C288" s="890" t="s">
        <v>417</v>
      </c>
      <c r="D288" s="891" t="s">
        <v>304</v>
      </c>
      <c r="E288" s="891" t="s">
        <v>92</v>
      </c>
      <c r="F288" s="892" t="s">
        <v>92</v>
      </c>
      <c r="G288" s="893" t="s">
        <v>95</v>
      </c>
      <c r="H288" s="893" t="s">
        <v>96</v>
      </c>
      <c r="I288" s="894" t="s">
        <v>97</v>
      </c>
      <c r="J288" s="895"/>
      <c r="K288" s="896"/>
      <c r="L288" s="252">
        <f t="shared" si="87"/>
        <v>1500</v>
      </c>
      <c r="M288" s="252">
        <f t="shared" si="87"/>
        <v>1500</v>
      </c>
      <c r="N288" s="897"/>
    </row>
    <row r="289" spans="1:14" s="898" customFormat="1" ht="37.5" x14ac:dyDescent="0.3">
      <c r="A289" s="889"/>
      <c r="B289" s="373" t="s">
        <v>285</v>
      </c>
      <c r="C289" s="890" t="s">
        <v>417</v>
      </c>
      <c r="D289" s="891" t="s">
        <v>304</v>
      </c>
      <c r="E289" s="891" t="s">
        <v>92</v>
      </c>
      <c r="F289" s="892" t="s">
        <v>92</v>
      </c>
      <c r="G289" s="893" t="s">
        <v>98</v>
      </c>
      <c r="H289" s="893" t="s">
        <v>96</v>
      </c>
      <c r="I289" s="894" t="s">
        <v>97</v>
      </c>
      <c r="J289" s="895"/>
      <c r="K289" s="896"/>
      <c r="L289" s="252">
        <f t="shared" si="87"/>
        <v>1500</v>
      </c>
      <c r="M289" s="252">
        <f t="shared" si="87"/>
        <v>1500</v>
      </c>
      <c r="N289" s="897"/>
    </row>
    <row r="290" spans="1:14" s="898" customFormat="1" ht="18.75" x14ac:dyDescent="0.3">
      <c r="A290" s="889"/>
      <c r="B290" s="373" t="s">
        <v>378</v>
      </c>
      <c r="C290" s="890" t="s">
        <v>417</v>
      </c>
      <c r="D290" s="891" t="s">
        <v>304</v>
      </c>
      <c r="E290" s="891" t="s">
        <v>92</v>
      </c>
      <c r="F290" s="892" t="s">
        <v>92</v>
      </c>
      <c r="G290" s="893" t="s">
        <v>98</v>
      </c>
      <c r="H290" s="893" t="s">
        <v>92</v>
      </c>
      <c r="I290" s="894" t="s">
        <v>97</v>
      </c>
      <c r="J290" s="895"/>
      <c r="K290" s="896"/>
      <c r="L290" s="252">
        <f t="shared" si="87"/>
        <v>1500</v>
      </c>
      <c r="M290" s="252">
        <f t="shared" si="87"/>
        <v>1500</v>
      </c>
      <c r="N290" s="897"/>
    </row>
    <row r="291" spans="1:14" s="898" customFormat="1" ht="37.5" x14ac:dyDescent="0.3">
      <c r="A291" s="889"/>
      <c r="B291" s="373" t="s">
        <v>287</v>
      </c>
      <c r="C291" s="890" t="s">
        <v>417</v>
      </c>
      <c r="D291" s="891" t="s">
        <v>304</v>
      </c>
      <c r="E291" s="891" t="s">
        <v>92</v>
      </c>
      <c r="F291" s="892" t="s">
        <v>92</v>
      </c>
      <c r="G291" s="893" t="s">
        <v>98</v>
      </c>
      <c r="H291" s="893" t="s">
        <v>92</v>
      </c>
      <c r="I291" s="894" t="s">
        <v>380</v>
      </c>
      <c r="J291" s="895"/>
      <c r="K291" s="896"/>
      <c r="L291" s="252">
        <f t="shared" si="87"/>
        <v>1500</v>
      </c>
      <c r="M291" s="252">
        <f t="shared" si="87"/>
        <v>1500</v>
      </c>
      <c r="N291" s="897"/>
    </row>
    <row r="292" spans="1:14" s="898" customFormat="1" ht="56.25" x14ac:dyDescent="0.3">
      <c r="A292" s="889"/>
      <c r="B292" s="373" t="s">
        <v>282</v>
      </c>
      <c r="C292" s="890" t="s">
        <v>417</v>
      </c>
      <c r="D292" s="891" t="s">
        <v>304</v>
      </c>
      <c r="E292" s="891" t="s">
        <v>92</v>
      </c>
      <c r="F292" s="892" t="s">
        <v>92</v>
      </c>
      <c r="G292" s="893" t="s">
        <v>98</v>
      </c>
      <c r="H292" s="893" t="s">
        <v>92</v>
      </c>
      <c r="I292" s="894" t="s">
        <v>380</v>
      </c>
      <c r="J292" s="895" t="s">
        <v>283</v>
      </c>
      <c r="K292" s="896"/>
      <c r="L292" s="252">
        <f>M292-K292</f>
        <v>1500</v>
      </c>
      <c r="M292" s="896">
        <v>1500</v>
      </c>
      <c r="N292" s="897"/>
    </row>
    <row r="293" spans="1:14" s="401" customFormat="1" ht="18.75" x14ac:dyDescent="0.3">
      <c r="A293" s="394"/>
      <c r="B293" s="386" t="s">
        <v>269</v>
      </c>
      <c r="C293" s="395" t="s">
        <v>417</v>
      </c>
      <c r="D293" s="396" t="s">
        <v>139</v>
      </c>
      <c r="E293" s="396"/>
      <c r="F293" s="406"/>
      <c r="G293" s="399"/>
      <c r="H293" s="399"/>
      <c r="I293" s="444"/>
      <c r="J293" s="397"/>
      <c r="K293" s="521">
        <f>K294</f>
        <v>8508.1</v>
      </c>
      <c r="L293" s="521">
        <f>L294</f>
        <v>0</v>
      </c>
      <c r="M293" s="521">
        <f>M294</f>
        <v>8508.1</v>
      </c>
      <c r="N293" s="415"/>
    </row>
    <row r="294" spans="1:14" s="401" customFormat="1" ht="18.75" x14ac:dyDescent="0.3">
      <c r="A294" s="394"/>
      <c r="B294" s="435" t="s">
        <v>271</v>
      </c>
      <c r="C294" s="395" t="s">
        <v>417</v>
      </c>
      <c r="D294" s="396" t="s">
        <v>139</v>
      </c>
      <c r="E294" s="396" t="s">
        <v>92</v>
      </c>
      <c r="F294" s="412"/>
      <c r="G294" s="399"/>
      <c r="H294" s="399"/>
      <c r="I294" s="400"/>
      <c r="J294" s="397"/>
      <c r="K294" s="521">
        <f t="shared" ref="K294:M294" si="88">K295</f>
        <v>8508.1</v>
      </c>
      <c r="L294" s="521">
        <f t="shared" si="88"/>
        <v>0</v>
      </c>
      <c r="M294" s="521">
        <f t="shared" si="88"/>
        <v>8508.1</v>
      </c>
      <c r="N294" s="415"/>
    </row>
    <row r="295" spans="1:14" s="401" customFormat="1" ht="56.25" x14ac:dyDescent="0.3">
      <c r="A295" s="394"/>
      <c r="B295" s="386" t="s">
        <v>305</v>
      </c>
      <c r="C295" s="395" t="s">
        <v>417</v>
      </c>
      <c r="D295" s="396" t="s">
        <v>139</v>
      </c>
      <c r="E295" s="396" t="s">
        <v>92</v>
      </c>
      <c r="F295" s="406" t="s">
        <v>306</v>
      </c>
      <c r="G295" s="399" t="s">
        <v>95</v>
      </c>
      <c r="H295" s="399" t="s">
        <v>96</v>
      </c>
      <c r="I295" s="400" t="s">
        <v>97</v>
      </c>
      <c r="J295" s="397"/>
      <c r="K295" s="521">
        <f>K296</f>
        <v>8508.1</v>
      </c>
      <c r="L295" s="521">
        <f>L296</f>
        <v>0</v>
      </c>
      <c r="M295" s="521">
        <f>M296</f>
        <v>8508.1</v>
      </c>
      <c r="N295" s="415"/>
    </row>
    <row r="296" spans="1:14" s="401" customFormat="1" ht="37.5" x14ac:dyDescent="0.3">
      <c r="A296" s="394"/>
      <c r="B296" s="517" t="s">
        <v>491</v>
      </c>
      <c r="C296" s="395" t="s">
        <v>417</v>
      </c>
      <c r="D296" s="396" t="s">
        <v>139</v>
      </c>
      <c r="E296" s="396" t="s">
        <v>92</v>
      </c>
      <c r="F296" s="406" t="s">
        <v>306</v>
      </c>
      <c r="G296" s="399" t="s">
        <v>83</v>
      </c>
      <c r="H296" s="399" t="s">
        <v>96</v>
      </c>
      <c r="I296" s="400" t="s">
        <v>97</v>
      </c>
      <c r="J296" s="397"/>
      <c r="K296" s="521">
        <f t="shared" ref="K296:M296" si="89">K297</f>
        <v>8508.1</v>
      </c>
      <c r="L296" s="521">
        <f t="shared" si="89"/>
        <v>0</v>
      </c>
      <c r="M296" s="521">
        <f t="shared" si="89"/>
        <v>8508.1</v>
      </c>
      <c r="N296" s="415"/>
    </row>
    <row r="297" spans="1:14" s="401" customFormat="1" ht="75" x14ac:dyDescent="0.3">
      <c r="A297" s="394"/>
      <c r="B297" s="386" t="s">
        <v>811</v>
      </c>
      <c r="C297" s="395" t="s">
        <v>417</v>
      </c>
      <c r="D297" s="396" t="s">
        <v>139</v>
      </c>
      <c r="E297" s="396" t="s">
        <v>92</v>
      </c>
      <c r="F297" s="406" t="s">
        <v>306</v>
      </c>
      <c r="G297" s="399" t="s">
        <v>83</v>
      </c>
      <c r="H297" s="399" t="s">
        <v>121</v>
      </c>
      <c r="I297" s="400" t="s">
        <v>97</v>
      </c>
      <c r="J297" s="397"/>
      <c r="K297" s="521">
        <f>K298</f>
        <v>8508.1</v>
      </c>
      <c r="L297" s="521">
        <f>L298</f>
        <v>0</v>
      </c>
      <c r="M297" s="521">
        <f>M298</f>
        <v>8508.1</v>
      </c>
      <c r="N297" s="415"/>
    </row>
    <row r="298" spans="1:14" s="423" customFormat="1" ht="187.5" x14ac:dyDescent="0.3">
      <c r="A298" s="417"/>
      <c r="B298" s="446" t="s">
        <v>539</v>
      </c>
      <c r="C298" s="447" t="s">
        <v>417</v>
      </c>
      <c r="D298" s="448" t="s">
        <v>139</v>
      </c>
      <c r="E298" s="448" t="s">
        <v>92</v>
      </c>
      <c r="F298" s="406" t="s">
        <v>306</v>
      </c>
      <c r="G298" s="399" t="s">
        <v>83</v>
      </c>
      <c r="H298" s="399" t="s">
        <v>121</v>
      </c>
      <c r="I298" s="449" t="s">
        <v>540</v>
      </c>
      <c r="J298" s="422"/>
      <c r="K298" s="522">
        <f t="shared" ref="K298:M298" si="90">K299</f>
        <v>8508.1</v>
      </c>
      <c r="L298" s="522">
        <f t="shared" si="90"/>
        <v>0</v>
      </c>
      <c r="M298" s="522">
        <f t="shared" si="90"/>
        <v>8508.1</v>
      </c>
      <c r="N298" s="424"/>
    </row>
    <row r="299" spans="1:14" s="423" customFormat="1" ht="56.25" x14ac:dyDescent="0.3">
      <c r="A299" s="425"/>
      <c r="B299" s="385" t="s">
        <v>282</v>
      </c>
      <c r="C299" s="407" t="s">
        <v>417</v>
      </c>
      <c r="D299" s="408" t="s">
        <v>139</v>
      </c>
      <c r="E299" s="408" t="s">
        <v>92</v>
      </c>
      <c r="F299" s="406" t="s">
        <v>306</v>
      </c>
      <c r="G299" s="399" t="s">
        <v>83</v>
      </c>
      <c r="H299" s="399" t="s">
        <v>121</v>
      </c>
      <c r="I299" s="410" t="s">
        <v>540</v>
      </c>
      <c r="J299" s="411" t="s">
        <v>283</v>
      </c>
      <c r="K299" s="523">
        <v>8508.1</v>
      </c>
      <c r="L299" s="252">
        <f>M299-K299</f>
        <v>0</v>
      </c>
      <c r="M299" s="523">
        <v>8508.1</v>
      </c>
      <c r="N299" s="424"/>
    </row>
    <row r="300" spans="1:14" s="423" customFormat="1" ht="18.75" x14ac:dyDescent="0.3">
      <c r="A300" s="425"/>
      <c r="B300" s="382" t="s">
        <v>182</v>
      </c>
      <c r="C300" s="395" t="s">
        <v>417</v>
      </c>
      <c r="D300" s="396" t="s">
        <v>167</v>
      </c>
      <c r="E300" s="396"/>
      <c r="F300" s="406"/>
      <c r="G300" s="436"/>
      <c r="H300" s="436"/>
      <c r="I300" s="437"/>
      <c r="J300" s="438"/>
      <c r="K300" s="439">
        <f t="shared" ref="K300:M305" si="91">K301</f>
        <v>42716</v>
      </c>
      <c r="L300" s="439">
        <f t="shared" si="91"/>
        <v>0</v>
      </c>
      <c r="M300" s="439">
        <f t="shared" si="91"/>
        <v>42716</v>
      </c>
      <c r="N300" s="424"/>
    </row>
    <row r="301" spans="1:14" s="423" customFormat="1" ht="18.75" x14ac:dyDescent="0.3">
      <c r="A301" s="425"/>
      <c r="B301" s="382" t="s">
        <v>272</v>
      </c>
      <c r="C301" s="395" t="s">
        <v>417</v>
      </c>
      <c r="D301" s="396" t="s">
        <v>167</v>
      </c>
      <c r="E301" s="396" t="s">
        <v>105</v>
      </c>
      <c r="F301" s="406"/>
      <c r="G301" s="436"/>
      <c r="H301" s="436"/>
      <c r="I301" s="437"/>
      <c r="J301" s="438"/>
      <c r="K301" s="439">
        <f t="shared" si="91"/>
        <v>42716</v>
      </c>
      <c r="L301" s="439">
        <f t="shared" si="91"/>
        <v>0</v>
      </c>
      <c r="M301" s="439">
        <f t="shared" si="91"/>
        <v>42716</v>
      </c>
      <c r="N301" s="424"/>
    </row>
    <row r="302" spans="1:14" s="423" customFormat="1" ht="56.25" x14ac:dyDescent="0.3">
      <c r="A302" s="425"/>
      <c r="B302" s="386" t="s">
        <v>407</v>
      </c>
      <c r="C302" s="395" t="s">
        <v>417</v>
      </c>
      <c r="D302" s="396" t="s">
        <v>167</v>
      </c>
      <c r="E302" s="396" t="s">
        <v>105</v>
      </c>
      <c r="F302" s="501" t="s">
        <v>139</v>
      </c>
      <c r="G302" s="502" t="s">
        <v>95</v>
      </c>
      <c r="H302" s="502" t="s">
        <v>96</v>
      </c>
      <c r="I302" s="913" t="s">
        <v>97</v>
      </c>
      <c r="J302" s="438"/>
      <c r="K302" s="439">
        <f t="shared" si="91"/>
        <v>42716</v>
      </c>
      <c r="L302" s="439">
        <f t="shared" si="91"/>
        <v>0</v>
      </c>
      <c r="M302" s="439">
        <f t="shared" si="91"/>
        <v>42716</v>
      </c>
      <c r="N302" s="424"/>
    </row>
    <row r="303" spans="1:14" s="423" customFormat="1" ht="37.5" x14ac:dyDescent="0.3">
      <c r="A303" s="425"/>
      <c r="B303" s="373" t="s">
        <v>491</v>
      </c>
      <c r="C303" s="395" t="s">
        <v>417</v>
      </c>
      <c r="D303" s="396" t="s">
        <v>167</v>
      </c>
      <c r="E303" s="396" t="s">
        <v>105</v>
      </c>
      <c r="F303" s="406" t="s">
        <v>139</v>
      </c>
      <c r="G303" s="436" t="s">
        <v>98</v>
      </c>
      <c r="H303" s="502" t="s">
        <v>96</v>
      </c>
      <c r="I303" s="913" t="s">
        <v>97</v>
      </c>
      <c r="J303" s="438"/>
      <c r="K303" s="439">
        <f t="shared" si="91"/>
        <v>42716</v>
      </c>
      <c r="L303" s="439">
        <f t="shared" si="91"/>
        <v>0</v>
      </c>
      <c r="M303" s="439">
        <f t="shared" si="91"/>
        <v>42716</v>
      </c>
      <c r="N303" s="424"/>
    </row>
    <row r="304" spans="1:14" s="423" customFormat="1" ht="93.75" x14ac:dyDescent="0.3">
      <c r="A304" s="425"/>
      <c r="B304" s="386" t="s">
        <v>421</v>
      </c>
      <c r="C304" s="395" t="s">
        <v>417</v>
      </c>
      <c r="D304" s="396" t="s">
        <v>167</v>
      </c>
      <c r="E304" s="396" t="s">
        <v>105</v>
      </c>
      <c r="F304" s="406" t="s">
        <v>139</v>
      </c>
      <c r="G304" s="436" t="s">
        <v>98</v>
      </c>
      <c r="H304" s="436" t="s">
        <v>92</v>
      </c>
      <c r="I304" s="913" t="s">
        <v>97</v>
      </c>
      <c r="J304" s="450"/>
      <c r="K304" s="439">
        <f t="shared" si="91"/>
        <v>42716</v>
      </c>
      <c r="L304" s="439">
        <f>L305+L307+L309</f>
        <v>0</v>
      </c>
      <c r="M304" s="439">
        <f>M305+M307+M309</f>
        <v>42716</v>
      </c>
      <c r="N304" s="424"/>
    </row>
    <row r="305" spans="1:15" s="423" customFormat="1" ht="206.25" x14ac:dyDescent="0.3">
      <c r="A305" s="425"/>
      <c r="B305" s="386" t="s">
        <v>645</v>
      </c>
      <c r="C305" s="395" t="s">
        <v>417</v>
      </c>
      <c r="D305" s="396" t="s">
        <v>167</v>
      </c>
      <c r="E305" s="396" t="s">
        <v>105</v>
      </c>
      <c r="F305" s="406" t="s">
        <v>139</v>
      </c>
      <c r="G305" s="436" t="s">
        <v>98</v>
      </c>
      <c r="H305" s="436" t="s">
        <v>92</v>
      </c>
      <c r="I305" s="444" t="s">
        <v>637</v>
      </c>
      <c r="J305" s="438"/>
      <c r="K305" s="439">
        <f t="shared" si="91"/>
        <v>42716</v>
      </c>
      <c r="L305" s="439">
        <f t="shared" si="91"/>
        <v>-42716</v>
      </c>
      <c r="M305" s="439">
        <f t="shared" si="91"/>
        <v>0</v>
      </c>
      <c r="N305" s="424"/>
    </row>
    <row r="306" spans="1:15" s="423" customFormat="1" ht="56.25" x14ac:dyDescent="0.3">
      <c r="A306" s="425"/>
      <c r="B306" s="386" t="s">
        <v>282</v>
      </c>
      <c r="C306" s="395" t="s">
        <v>417</v>
      </c>
      <c r="D306" s="396" t="s">
        <v>167</v>
      </c>
      <c r="E306" s="396" t="s">
        <v>105</v>
      </c>
      <c r="F306" s="406" t="s">
        <v>139</v>
      </c>
      <c r="G306" s="436" t="s">
        <v>98</v>
      </c>
      <c r="H306" s="436" t="s">
        <v>92</v>
      </c>
      <c r="I306" s="444" t="s">
        <v>637</v>
      </c>
      <c r="J306" s="451" t="s">
        <v>283</v>
      </c>
      <c r="K306" s="597">
        <f>29771.7+12944.3</f>
        <v>42716</v>
      </c>
      <c r="L306" s="252">
        <f>M306-K306</f>
        <v>-42716</v>
      </c>
      <c r="M306" s="597">
        <f>29771.7+12944.3-42716</f>
        <v>0</v>
      </c>
      <c r="N306" s="424"/>
    </row>
    <row r="307" spans="1:15" s="423" customFormat="1" ht="112.5" x14ac:dyDescent="0.3">
      <c r="A307" s="425"/>
      <c r="B307" s="386" t="s">
        <v>422</v>
      </c>
      <c r="C307" s="395" t="s">
        <v>417</v>
      </c>
      <c r="D307" s="396" t="s">
        <v>167</v>
      </c>
      <c r="E307" s="396" t="s">
        <v>105</v>
      </c>
      <c r="F307" s="406" t="s">
        <v>139</v>
      </c>
      <c r="G307" s="436" t="s">
        <v>98</v>
      </c>
      <c r="H307" s="436" t="s">
        <v>92</v>
      </c>
      <c r="I307" s="444" t="s">
        <v>423</v>
      </c>
      <c r="J307" s="451"/>
      <c r="K307" s="439"/>
      <c r="L307" s="377">
        <f>L308</f>
        <v>7759.1</v>
      </c>
      <c r="M307" s="377">
        <f>M308</f>
        <v>7759.1</v>
      </c>
      <c r="N307" s="424"/>
    </row>
    <row r="308" spans="1:15" s="909" customFormat="1" ht="56.25" x14ac:dyDescent="0.3">
      <c r="A308" s="900"/>
      <c r="B308" s="386" t="s">
        <v>282</v>
      </c>
      <c r="C308" s="901" t="s">
        <v>417</v>
      </c>
      <c r="D308" s="902" t="s">
        <v>167</v>
      </c>
      <c r="E308" s="902" t="s">
        <v>105</v>
      </c>
      <c r="F308" s="903" t="s">
        <v>139</v>
      </c>
      <c r="G308" s="904" t="s">
        <v>98</v>
      </c>
      <c r="H308" s="904" t="s">
        <v>92</v>
      </c>
      <c r="I308" s="905" t="s">
        <v>423</v>
      </c>
      <c r="J308" s="906" t="s">
        <v>283</v>
      </c>
      <c r="K308" s="907"/>
      <c r="L308" s="252">
        <f>M308-K308</f>
        <v>7759.1</v>
      </c>
      <c r="M308" s="907">
        <v>7759.1</v>
      </c>
      <c r="N308" s="908"/>
    </row>
    <row r="309" spans="1:15" s="423" customFormat="1" ht="112.5" x14ac:dyDescent="0.3">
      <c r="A309" s="425"/>
      <c r="B309" s="386" t="s">
        <v>422</v>
      </c>
      <c r="C309" s="395" t="s">
        <v>417</v>
      </c>
      <c r="D309" s="396" t="s">
        <v>167</v>
      </c>
      <c r="E309" s="396" t="s">
        <v>105</v>
      </c>
      <c r="F309" s="406" t="s">
        <v>139</v>
      </c>
      <c r="G309" s="436" t="s">
        <v>98</v>
      </c>
      <c r="H309" s="436" t="s">
        <v>92</v>
      </c>
      <c r="I309" s="444" t="s">
        <v>824</v>
      </c>
      <c r="J309" s="451"/>
      <c r="K309" s="439"/>
      <c r="L309" s="377">
        <f>L310</f>
        <v>34956.9</v>
      </c>
      <c r="M309" s="377">
        <f>M310</f>
        <v>34956.9</v>
      </c>
      <c r="N309" s="424"/>
    </row>
    <row r="310" spans="1:15" s="909" customFormat="1" ht="56.25" x14ac:dyDescent="0.3">
      <c r="A310" s="900"/>
      <c r="B310" s="386" t="s">
        <v>282</v>
      </c>
      <c r="C310" s="901" t="s">
        <v>417</v>
      </c>
      <c r="D310" s="902" t="s">
        <v>167</v>
      </c>
      <c r="E310" s="902" t="s">
        <v>105</v>
      </c>
      <c r="F310" s="903" t="s">
        <v>139</v>
      </c>
      <c r="G310" s="904" t="s">
        <v>98</v>
      </c>
      <c r="H310" s="904" t="s">
        <v>92</v>
      </c>
      <c r="I310" s="905" t="s">
        <v>824</v>
      </c>
      <c r="J310" s="906" t="s">
        <v>283</v>
      </c>
      <c r="K310" s="907"/>
      <c r="L310" s="252">
        <f>M310-K310</f>
        <v>34956.9</v>
      </c>
      <c r="M310" s="907">
        <v>34956.9</v>
      </c>
      <c r="N310" s="908"/>
    </row>
    <row r="311" spans="1:15" s="423" customFormat="1" ht="18.75" x14ac:dyDescent="0.3">
      <c r="A311" s="425"/>
      <c r="B311" s="373"/>
      <c r="C311" s="395"/>
      <c r="D311" s="396"/>
      <c r="E311" s="396"/>
      <c r="F311" s="406"/>
      <c r="G311" s="436"/>
      <c r="H311" s="436"/>
      <c r="I311" s="444"/>
      <c r="J311" s="451"/>
      <c r="K311" s="526"/>
      <c r="L311" s="526"/>
      <c r="M311" s="526"/>
      <c r="N311" s="424"/>
    </row>
    <row r="312" spans="1:15" s="372" customFormat="1" ht="56.25" x14ac:dyDescent="0.3">
      <c r="A312" s="365">
        <v>5</v>
      </c>
      <c r="B312" s="366" t="s">
        <v>54</v>
      </c>
      <c r="C312" s="367" t="s">
        <v>372</v>
      </c>
      <c r="D312" s="368"/>
      <c r="E312" s="368"/>
      <c r="F312" s="369"/>
      <c r="G312" s="370"/>
      <c r="H312" s="370"/>
      <c r="I312" s="371"/>
      <c r="J312" s="368"/>
      <c r="K312" s="519">
        <f>K313+K434</f>
        <v>881094.99999999988</v>
      </c>
      <c r="L312" s="519">
        <f>L313+L434</f>
        <v>8029.6517699999886</v>
      </c>
      <c r="M312" s="519">
        <f>M313+M434</f>
        <v>889124.6717699999</v>
      </c>
      <c r="N312" s="452"/>
      <c r="O312" s="452"/>
    </row>
    <row r="313" spans="1:15" s="378" customFormat="1" ht="18.75" x14ac:dyDescent="0.3">
      <c r="A313" s="358"/>
      <c r="B313" s="373" t="s">
        <v>254</v>
      </c>
      <c r="C313" s="374" t="s">
        <v>372</v>
      </c>
      <c r="D313" s="357" t="s">
        <v>304</v>
      </c>
      <c r="E313" s="357"/>
      <c r="F313" s="375"/>
      <c r="G313" s="376"/>
      <c r="H313" s="376"/>
      <c r="I313" s="913"/>
      <c r="J313" s="357"/>
      <c r="K313" s="377">
        <f>K314+K340+K407+K416+K382</f>
        <v>872025.79999999993</v>
      </c>
      <c r="L313" s="377">
        <f>L314+L340+L407+L416+L382</f>
        <v>8029.6517699999886</v>
      </c>
      <c r="M313" s="377">
        <f>M314+M340+M407+M416+M382</f>
        <v>880055.47176999995</v>
      </c>
      <c r="N313" s="453"/>
      <c r="O313" s="453"/>
    </row>
    <row r="314" spans="1:15" s="372" customFormat="1" ht="18.75" x14ac:dyDescent="0.3">
      <c r="A314" s="358"/>
      <c r="B314" s="373" t="s">
        <v>256</v>
      </c>
      <c r="C314" s="374" t="s">
        <v>372</v>
      </c>
      <c r="D314" s="357" t="s">
        <v>304</v>
      </c>
      <c r="E314" s="357" t="s">
        <v>90</v>
      </c>
      <c r="F314" s="375"/>
      <c r="G314" s="376"/>
      <c r="H314" s="376"/>
      <c r="I314" s="913"/>
      <c r="J314" s="357"/>
      <c r="K314" s="377">
        <f>K315+K335+K330</f>
        <v>295818.40000000002</v>
      </c>
      <c r="L314" s="377">
        <f>L315+L335+L330</f>
        <v>336.2</v>
      </c>
      <c r="M314" s="377">
        <f>M315+M335+M330</f>
        <v>296154.60000000003</v>
      </c>
    </row>
    <row r="315" spans="1:15" s="372" customFormat="1" ht="56.25" x14ac:dyDescent="0.3">
      <c r="A315" s="358"/>
      <c r="B315" s="373" t="s">
        <v>284</v>
      </c>
      <c r="C315" s="374" t="s">
        <v>372</v>
      </c>
      <c r="D315" s="357" t="s">
        <v>304</v>
      </c>
      <c r="E315" s="357" t="s">
        <v>90</v>
      </c>
      <c r="F315" s="375" t="s">
        <v>92</v>
      </c>
      <c r="G315" s="376" t="s">
        <v>95</v>
      </c>
      <c r="H315" s="376" t="s">
        <v>96</v>
      </c>
      <c r="I315" s="913" t="s">
        <v>97</v>
      </c>
      <c r="J315" s="357"/>
      <c r="K315" s="377">
        <f t="shared" ref="K315:M316" si="92">K316</f>
        <v>295747.90000000002</v>
      </c>
      <c r="L315" s="377">
        <f t="shared" si="92"/>
        <v>338.2</v>
      </c>
      <c r="M315" s="377">
        <f t="shared" si="92"/>
        <v>296086.10000000003</v>
      </c>
    </row>
    <row r="316" spans="1:15" s="372" customFormat="1" ht="37.5" x14ac:dyDescent="0.3">
      <c r="A316" s="358"/>
      <c r="B316" s="373" t="s">
        <v>285</v>
      </c>
      <c r="C316" s="374" t="s">
        <v>372</v>
      </c>
      <c r="D316" s="357" t="s">
        <v>304</v>
      </c>
      <c r="E316" s="357" t="s">
        <v>90</v>
      </c>
      <c r="F316" s="375" t="s">
        <v>92</v>
      </c>
      <c r="G316" s="376" t="s">
        <v>98</v>
      </c>
      <c r="H316" s="376" t="s">
        <v>96</v>
      </c>
      <c r="I316" s="913" t="s">
        <v>97</v>
      </c>
      <c r="J316" s="357"/>
      <c r="K316" s="377">
        <f t="shared" si="92"/>
        <v>295747.90000000002</v>
      </c>
      <c r="L316" s="377">
        <f t="shared" si="92"/>
        <v>338.2</v>
      </c>
      <c r="M316" s="377">
        <f t="shared" si="92"/>
        <v>296086.10000000003</v>
      </c>
    </row>
    <row r="317" spans="1:15" s="372" customFormat="1" ht="37.5" x14ac:dyDescent="0.3">
      <c r="A317" s="358"/>
      <c r="B317" s="373" t="s">
        <v>373</v>
      </c>
      <c r="C317" s="374" t="s">
        <v>372</v>
      </c>
      <c r="D317" s="357" t="s">
        <v>304</v>
      </c>
      <c r="E317" s="357" t="s">
        <v>90</v>
      </c>
      <c r="F317" s="375" t="s">
        <v>92</v>
      </c>
      <c r="G317" s="376" t="s">
        <v>98</v>
      </c>
      <c r="H317" s="376" t="s">
        <v>90</v>
      </c>
      <c r="I317" s="913" t="s">
        <v>97</v>
      </c>
      <c r="J317" s="357"/>
      <c r="K317" s="377">
        <f>K326+K328+K318+K322+K324</f>
        <v>295747.90000000002</v>
      </c>
      <c r="L317" s="377">
        <f>L326+L328+L318+L322+L324+L320</f>
        <v>338.2</v>
      </c>
      <c r="M317" s="377">
        <f>M326+M328+M318+M322+M324+M320</f>
        <v>296086.10000000003</v>
      </c>
      <c r="N317" s="454"/>
    </row>
    <row r="318" spans="1:15" s="379" customFormat="1" ht="93.75" x14ac:dyDescent="0.3">
      <c r="A318" s="358"/>
      <c r="B318" s="373" t="s">
        <v>151</v>
      </c>
      <c r="C318" s="374" t="s">
        <v>372</v>
      </c>
      <c r="D318" s="357" t="s">
        <v>304</v>
      </c>
      <c r="E318" s="357" t="s">
        <v>90</v>
      </c>
      <c r="F318" s="375" t="s">
        <v>92</v>
      </c>
      <c r="G318" s="376" t="s">
        <v>98</v>
      </c>
      <c r="H318" s="376" t="s">
        <v>90</v>
      </c>
      <c r="I318" s="913" t="s">
        <v>153</v>
      </c>
      <c r="J318" s="357"/>
      <c r="K318" s="377">
        <f t="shared" ref="K318:M318" si="93">K319</f>
        <v>88261.6</v>
      </c>
      <c r="L318" s="377">
        <f t="shared" si="93"/>
        <v>0</v>
      </c>
      <c r="M318" s="377">
        <f t="shared" si="93"/>
        <v>88261.6</v>
      </c>
      <c r="N318" s="455"/>
    </row>
    <row r="319" spans="1:15" s="379" customFormat="1" ht="56.25" x14ac:dyDescent="0.3">
      <c r="A319" s="358"/>
      <c r="B319" s="373" t="s">
        <v>135</v>
      </c>
      <c r="C319" s="374" t="s">
        <v>372</v>
      </c>
      <c r="D319" s="357" t="s">
        <v>304</v>
      </c>
      <c r="E319" s="357" t="s">
        <v>90</v>
      </c>
      <c r="F319" s="375" t="s">
        <v>92</v>
      </c>
      <c r="G319" s="376" t="s">
        <v>98</v>
      </c>
      <c r="H319" s="376" t="s">
        <v>90</v>
      </c>
      <c r="I319" s="913" t="s">
        <v>153</v>
      </c>
      <c r="J319" s="357" t="s">
        <v>136</v>
      </c>
      <c r="K319" s="590">
        <f>87261.6+1000</f>
        <v>88261.6</v>
      </c>
      <c r="L319" s="252">
        <f>M319-K319</f>
        <v>0</v>
      </c>
      <c r="M319" s="590">
        <f>87261.6+1000</f>
        <v>88261.6</v>
      </c>
      <c r="N319" s="455"/>
    </row>
    <row r="320" spans="1:15" s="886" customFormat="1" ht="37.5" x14ac:dyDescent="0.3">
      <c r="A320" s="879"/>
      <c r="B320" s="373" t="s">
        <v>619</v>
      </c>
      <c r="C320" s="374" t="s">
        <v>372</v>
      </c>
      <c r="D320" s="357" t="s">
        <v>304</v>
      </c>
      <c r="E320" s="357" t="s">
        <v>90</v>
      </c>
      <c r="F320" s="881" t="s">
        <v>92</v>
      </c>
      <c r="G320" s="882" t="s">
        <v>98</v>
      </c>
      <c r="H320" s="882" t="s">
        <v>90</v>
      </c>
      <c r="I320" s="883" t="s">
        <v>618</v>
      </c>
      <c r="J320" s="880"/>
      <c r="K320" s="884"/>
      <c r="L320" s="884">
        <f>L321</f>
        <v>338.2</v>
      </c>
      <c r="M320" s="884">
        <f>M321</f>
        <v>338.2</v>
      </c>
      <c r="N320" s="885"/>
    </row>
    <row r="321" spans="1:14" s="886" customFormat="1" ht="56.25" x14ac:dyDescent="0.3">
      <c r="A321" s="879"/>
      <c r="B321" s="373" t="s">
        <v>135</v>
      </c>
      <c r="C321" s="374" t="s">
        <v>372</v>
      </c>
      <c r="D321" s="357" t="s">
        <v>304</v>
      </c>
      <c r="E321" s="357" t="s">
        <v>90</v>
      </c>
      <c r="F321" s="881" t="s">
        <v>92</v>
      </c>
      <c r="G321" s="882" t="s">
        <v>98</v>
      </c>
      <c r="H321" s="882" t="s">
        <v>90</v>
      </c>
      <c r="I321" s="883" t="s">
        <v>618</v>
      </c>
      <c r="J321" s="880" t="s">
        <v>136</v>
      </c>
      <c r="K321" s="884"/>
      <c r="L321" s="252">
        <f>M321-K321</f>
        <v>338.2</v>
      </c>
      <c r="M321" s="884">
        <f>7.6+5.1+35.9+28.9+51.2+71.4+23.2+27.2+27.9+27.5+17.1+15.2</f>
        <v>338.2</v>
      </c>
      <c r="N321" s="885"/>
    </row>
    <row r="322" spans="1:14" s="379" customFormat="1" ht="56.25" x14ac:dyDescent="0.3">
      <c r="A322" s="358"/>
      <c r="B322" s="373" t="s">
        <v>286</v>
      </c>
      <c r="C322" s="374" t="s">
        <v>372</v>
      </c>
      <c r="D322" s="357" t="s">
        <v>304</v>
      </c>
      <c r="E322" s="357" t="s">
        <v>90</v>
      </c>
      <c r="F322" s="375" t="s">
        <v>92</v>
      </c>
      <c r="G322" s="376" t="s">
        <v>98</v>
      </c>
      <c r="H322" s="376" t="s">
        <v>90</v>
      </c>
      <c r="I322" s="913" t="s">
        <v>379</v>
      </c>
      <c r="J322" s="357"/>
      <c r="K322" s="377">
        <f>K323</f>
        <v>5881.4000000000005</v>
      </c>
      <c r="L322" s="377">
        <f>L323</f>
        <v>0</v>
      </c>
      <c r="M322" s="377">
        <f>M323</f>
        <v>5881.4000000000005</v>
      </c>
      <c r="N322" s="455"/>
    </row>
    <row r="323" spans="1:14" s="379" customFormat="1" ht="56.25" x14ac:dyDescent="0.3">
      <c r="A323" s="358"/>
      <c r="B323" s="373" t="s">
        <v>135</v>
      </c>
      <c r="C323" s="374" t="s">
        <v>372</v>
      </c>
      <c r="D323" s="357" t="s">
        <v>304</v>
      </c>
      <c r="E323" s="357" t="s">
        <v>90</v>
      </c>
      <c r="F323" s="375" t="s">
        <v>92</v>
      </c>
      <c r="G323" s="376" t="s">
        <v>98</v>
      </c>
      <c r="H323" s="376" t="s">
        <v>90</v>
      </c>
      <c r="I323" s="913" t="s">
        <v>379</v>
      </c>
      <c r="J323" s="357" t="s">
        <v>136</v>
      </c>
      <c r="K323" s="604">
        <f>5734.8+146.6</f>
        <v>5881.4000000000005</v>
      </c>
      <c r="L323" s="252">
        <f>M323-K323</f>
        <v>0</v>
      </c>
      <c r="M323" s="604">
        <f>5734.8+146.6</f>
        <v>5881.4000000000005</v>
      </c>
      <c r="N323" s="455"/>
    </row>
    <row r="324" spans="1:14" s="379" customFormat="1" ht="75" x14ac:dyDescent="0.3">
      <c r="A324" s="358"/>
      <c r="B324" s="373" t="s">
        <v>288</v>
      </c>
      <c r="C324" s="374" t="s">
        <v>372</v>
      </c>
      <c r="D324" s="357" t="s">
        <v>304</v>
      </c>
      <c r="E324" s="357" t="s">
        <v>90</v>
      </c>
      <c r="F324" s="375" t="s">
        <v>92</v>
      </c>
      <c r="G324" s="376" t="s">
        <v>98</v>
      </c>
      <c r="H324" s="376" t="s">
        <v>90</v>
      </c>
      <c r="I324" s="558" t="s">
        <v>381</v>
      </c>
      <c r="J324" s="357"/>
      <c r="K324" s="377">
        <f t="shared" ref="K324:M324" si="94">K325</f>
        <v>7.5</v>
      </c>
      <c r="L324" s="377">
        <f t="shared" si="94"/>
        <v>0</v>
      </c>
      <c r="M324" s="377">
        <f t="shared" si="94"/>
        <v>7.5</v>
      </c>
      <c r="N324" s="455"/>
    </row>
    <row r="325" spans="1:14" s="379" customFormat="1" ht="56.25" x14ac:dyDescent="0.3">
      <c r="A325" s="358"/>
      <c r="B325" s="373" t="s">
        <v>135</v>
      </c>
      <c r="C325" s="374" t="s">
        <v>372</v>
      </c>
      <c r="D325" s="357" t="s">
        <v>304</v>
      </c>
      <c r="E325" s="357" t="s">
        <v>90</v>
      </c>
      <c r="F325" s="375" t="s">
        <v>92</v>
      </c>
      <c r="G325" s="376" t="s">
        <v>98</v>
      </c>
      <c r="H325" s="376" t="s">
        <v>90</v>
      </c>
      <c r="I325" s="558" t="s">
        <v>381</v>
      </c>
      <c r="J325" s="357" t="s">
        <v>136</v>
      </c>
      <c r="K325" s="252">
        <v>7.5</v>
      </c>
      <c r="L325" s="252">
        <f>M325-K325</f>
        <v>0</v>
      </c>
      <c r="M325" s="252">
        <v>7.5</v>
      </c>
      <c r="N325" s="455"/>
    </row>
    <row r="326" spans="1:14" s="372" customFormat="1" ht="206.25" x14ac:dyDescent="0.3">
      <c r="A326" s="358"/>
      <c r="B326" s="373" t="s">
        <v>374</v>
      </c>
      <c r="C326" s="374" t="s">
        <v>372</v>
      </c>
      <c r="D326" s="357" t="s">
        <v>304</v>
      </c>
      <c r="E326" s="357" t="s">
        <v>90</v>
      </c>
      <c r="F326" s="375" t="s">
        <v>92</v>
      </c>
      <c r="G326" s="376" t="s">
        <v>98</v>
      </c>
      <c r="H326" s="376" t="s">
        <v>90</v>
      </c>
      <c r="I326" s="913" t="s">
        <v>375</v>
      </c>
      <c r="J326" s="357"/>
      <c r="K326" s="377">
        <f>K327</f>
        <v>509.50000000000006</v>
      </c>
      <c r="L326" s="377">
        <f>L327</f>
        <v>0</v>
      </c>
      <c r="M326" s="377">
        <f>M327</f>
        <v>509.50000000000006</v>
      </c>
      <c r="N326" s="454"/>
    </row>
    <row r="327" spans="1:14" s="372" customFormat="1" ht="56.25" x14ac:dyDescent="0.3">
      <c r="A327" s="358"/>
      <c r="B327" s="373" t="s">
        <v>135</v>
      </c>
      <c r="C327" s="374" t="s">
        <v>372</v>
      </c>
      <c r="D327" s="357" t="s">
        <v>304</v>
      </c>
      <c r="E327" s="357" t="s">
        <v>90</v>
      </c>
      <c r="F327" s="375" t="s">
        <v>92</v>
      </c>
      <c r="G327" s="376" t="s">
        <v>98</v>
      </c>
      <c r="H327" s="376" t="s">
        <v>90</v>
      </c>
      <c r="I327" s="913" t="s">
        <v>375</v>
      </c>
      <c r="J327" s="357" t="s">
        <v>136</v>
      </c>
      <c r="K327" s="604">
        <f>557.7-48.2</f>
        <v>509.50000000000006</v>
      </c>
      <c r="L327" s="252">
        <f>M327-K327</f>
        <v>0</v>
      </c>
      <c r="M327" s="604">
        <f>557.7-48.2</f>
        <v>509.50000000000006</v>
      </c>
    </row>
    <row r="328" spans="1:14" s="372" customFormat="1" ht="131.25" x14ac:dyDescent="0.3">
      <c r="A328" s="358"/>
      <c r="B328" s="373" t="s">
        <v>503</v>
      </c>
      <c r="C328" s="374" t="s">
        <v>372</v>
      </c>
      <c r="D328" s="357" t="s">
        <v>304</v>
      </c>
      <c r="E328" s="357" t="s">
        <v>90</v>
      </c>
      <c r="F328" s="375" t="s">
        <v>92</v>
      </c>
      <c r="G328" s="376" t="s">
        <v>98</v>
      </c>
      <c r="H328" s="376" t="s">
        <v>90</v>
      </c>
      <c r="I328" s="913" t="s">
        <v>376</v>
      </c>
      <c r="J328" s="357"/>
      <c r="K328" s="377">
        <f>K329</f>
        <v>201087.9</v>
      </c>
      <c r="L328" s="377">
        <f>L329</f>
        <v>0</v>
      </c>
      <c r="M328" s="377">
        <f>M329</f>
        <v>201087.9</v>
      </c>
    </row>
    <row r="329" spans="1:14" s="372" customFormat="1" ht="56.25" x14ac:dyDescent="0.3">
      <c r="A329" s="358"/>
      <c r="B329" s="373" t="s">
        <v>135</v>
      </c>
      <c r="C329" s="374" t="s">
        <v>372</v>
      </c>
      <c r="D329" s="357" t="s">
        <v>304</v>
      </c>
      <c r="E329" s="357" t="s">
        <v>90</v>
      </c>
      <c r="F329" s="375" t="s">
        <v>92</v>
      </c>
      <c r="G329" s="376" t="s">
        <v>98</v>
      </c>
      <c r="H329" s="376" t="s">
        <v>90</v>
      </c>
      <c r="I329" s="913" t="s">
        <v>376</v>
      </c>
      <c r="J329" s="357" t="s">
        <v>136</v>
      </c>
      <c r="K329" s="377">
        <v>201087.9</v>
      </c>
      <c r="L329" s="252">
        <f>M329-K329</f>
        <v>0</v>
      </c>
      <c r="M329" s="377">
        <v>201087.9</v>
      </c>
    </row>
    <row r="330" spans="1:14" s="372" customFormat="1" ht="56.25" x14ac:dyDescent="0.3">
      <c r="A330" s="358"/>
      <c r="B330" s="373" t="s">
        <v>140</v>
      </c>
      <c r="C330" s="374" t="s">
        <v>372</v>
      </c>
      <c r="D330" s="357" t="s">
        <v>304</v>
      </c>
      <c r="E330" s="357" t="s">
        <v>90</v>
      </c>
      <c r="F330" s="556" t="s">
        <v>141</v>
      </c>
      <c r="G330" s="557" t="s">
        <v>95</v>
      </c>
      <c r="H330" s="557" t="s">
        <v>96</v>
      </c>
      <c r="I330" s="913" t="s">
        <v>97</v>
      </c>
      <c r="J330" s="357"/>
      <c r="K330" s="377">
        <f t="shared" ref="K330:M333" si="95">K331</f>
        <v>17.899999999999999</v>
      </c>
      <c r="L330" s="377">
        <f t="shared" si="95"/>
        <v>-1.9999999999999982</v>
      </c>
      <c r="M330" s="377">
        <f t="shared" si="95"/>
        <v>15.9</v>
      </c>
    </row>
    <row r="331" spans="1:14" s="372" customFormat="1" ht="37.5" x14ac:dyDescent="0.3">
      <c r="A331" s="358"/>
      <c r="B331" s="373" t="s">
        <v>188</v>
      </c>
      <c r="C331" s="374" t="s">
        <v>372</v>
      </c>
      <c r="D331" s="357" t="s">
        <v>304</v>
      </c>
      <c r="E331" s="357" t="s">
        <v>90</v>
      </c>
      <c r="F331" s="556" t="s">
        <v>141</v>
      </c>
      <c r="G331" s="557" t="s">
        <v>150</v>
      </c>
      <c r="H331" s="557" t="s">
        <v>96</v>
      </c>
      <c r="I331" s="913" t="s">
        <v>97</v>
      </c>
      <c r="J331" s="357"/>
      <c r="K331" s="377">
        <f t="shared" si="95"/>
        <v>17.899999999999999</v>
      </c>
      <c r="L331" s="377">
        <f t="shared" si="95"/>
        <v>-1.9999999999999982</v>
      </c>
      <c r="M331" s="377">
        <f t="shared" si="95"/>
        <v>15.9</v>
      </c>
    </row>
    <row r="332" spans="1:14" s="372" customFormat="1" ht="56.25" x14ac:dyDescent="0.3">
      <c r="A332" s="358"/>
      <c r="B332" s="373" t="s">
        <v>377</v>
      </c>
      <c r="C332" s="374" t="s">
        <v>372</v>
      </c>
      <c r="D332" s="357" t="s">
        <v>304</v>
      </c>
      <c r="E332" s="357" t="s">
        <v>90</v>
      </c>
      <c r="F332" s="556" t="s">
        <v>141</v>
      </c>
      <c r="G332" s="557" t="s">
        <v>150</v>
      </c>
      <c r="H332" s="557" t="s">
        <v>90</v>
      </c>
      <c r="I332" s="913" t="s">
        <v>97</v>
      </c>
      <c r="J332" s="357"/>
      <c r="K332" s="377">
        <f t="shared" si="95"/>
        <v>17.899999999999999</v>
      </c>
      <c r="L332" s="377">
        <f t="shared" si="95"/>
        <v>-1.9999999999999982</v>
      </c>
      <c r="M332" s="377">
        <f t="shared" si="95"/>
        <v>15.9</v>
      </c>
    </row>
    <row r="333" spans="1:14" s="372" customFormat="1" ht="37.5" x14ac:dyDescent="0.3">
      <c r="A333" s="358"/>
      <c r="B333" s="384" t="s">
        <v>190</v>
      </c>
      <c r="C333" s="374" t="s">
        <v>372</v>
      </c>
      <c r="D333" s="357" t="s">
        <v>304</v>
      </c>
      <c r="E333" s="357" t="s">
        <v>90</v>
      </c>
      <c r="F333" s="556" t="s">
        <v>141</v>
      </c>
      <c r="G333" s="557" t="s">
        <v>150</v>
      </c>
      <c r="H333" s="557" t="s">
        <v>90</v>
      </c>
      <c r="I333" s="913" t="s">
        <v>152</v>
      </c>
      <c r="J333" s="357"/>
      <c r="K333" s="377">
        <f t="shared" si="95"/>
        <v>17.899999999999999</v>
      </c>
      <c r="L333" s="377">
        <f t="shared" si="95"/>
        <v>-1.9999999999999982</v>
      </c>
      <c r="M333" s="377">
        <f t="shared" si="95"/>
        <v>15.9</v>
      </c>
    </row>
    <row r="334" spans="1:14" s="372" customFormat="1" ht="56.25" x14ac:dyDescent="0.3">
      <c r="A334" s="358"/>
      <c r="B334" s="373" t="s">
        <v>135</v>
      </c>
      <c r="C334" s="374" t="s">
        <v>372</v>
      </c>
      <c r="D334" s="357" t="s">
        <v>304</v>
      </c>
      <c r="E334" s="357" t="s">
        <v>90</v>
      </c>
      <c r="F334" s="556" t="s">
        <v>141</v>
      </c>
      <c r="G334" s="557" t="s">
        <v>150</v>
      </c>
      <c r="H334" s="557" t="s">
        <v>90</v>
      </c>
      <c r="I334" s="913" t="s">
        <v>152</v>
      </c>
      <c r="J334" s="357" t="s">
        <v>136</v>
      </c>
      <c r="K334" s="377">
        <v>17.899999999999999</v>
      </c>
      <c r="L334" s="252">
        <f>M334-K334</f>
        <v>-1.9999999999999982</v>
      </c>
      <c r="M334" s="377">
        <f>17.9-17.9+15.9</f>
        <v>15.9</v>
      </c>
    </row>
    <row r="335" spans="1:14" s="372" customFormat="1" ht="56.25" x14ac:dyDescent="0.3">
      <c r="A335" s="358"/>
      <c r="B335" s="373" t="s">
        <v>313</v>
      </c>
      <c r="C335" s="374" t="s">
        <v>372</v>
      </c>
      <c r="D335" s="357" t="s">
        <v>304</v>
      </c>
      <c r="E335" s="357" t="s">
        <v>90</v>
      </c>
      <c r="F335" s="375" t="s">
        <v>314</v>
      </c>
      <c r="G335" s="376" t="s">
        <v>95</v>
      </c>
      <c r="H335" s="376" t="s">
        <v>96</v>
      </c>
      <c r="I335" s="913" t="s">
        <v>97</v>
      </c>
      <c r="J335" s="357"/>
      <c r="K335" s="377">
        <f t="shared" ref="K335:M338" si="96">K336</f>
        <v>52.6</v>
      </c>
      <c r="L335" s="377">
        <f t="shared" si="96"/>
        <v>0</v>
      </c>
      <c r="M335" s="377">
        <f t="shared" si="96"/>
        <v>52.6</v>
      </c>
    </row>
    <row r="336" spans="1:14" s="372" customFormat="1" ht="37.5" x14ac:dyDescent="0.3">
      <c r="A336" s="358"/>
      <c r="B336" s="373" t="s">
        <v>491</v>
      </c>
      <c r="C336" s="374" t="s">
        <v>372</v>
      </c>
      <c r="D336" s="357" t="s">
        <v>304</v>
      </c>
      <c r="E336" s="357" t="s">
        <v>90</v>
      </c>
      <c r="F336" s="375" t="s">
        <v>314</v>
      </c>
      <c r="G336" s="376" t="s">
        <v>98</v>
      </c>
      <c r="H336" s="376" t="s">
        <v>96</v>
      </c>
      <c r="I336" s="913" t="s">
        <v>97</v>
      </c>
      <c r="J336" s="357"/>
      <c r="K336" s="377">
        <f t="shared" si="96"/>
        <v>52.6</v>
      </c>
      <c r="L336" s="377">
        <f t="shared" si="96"/>
        <v>0</v>
      </c>
      <c r="M336" s="377">
        <f t="shared" si="96"/>
        <v>52.6</v>
      </c>
    </row>
    <row r="337" spans="1:13" s="372" customFormat="1" ht="75" x14ac:dyDescent="0.3">
      <c r="A337" s="358"/>
      <c r="B337" s="373" t="s">
        <v>393</v>
      </c>
      <c r="C337" s="374" t="s">
        <v>372</v>
      </c>
      <c r="D337" s="357" t="s">
        <v>304</v>
      </c>
      <c r="E337" s="357" t="s">
        <v>90</v>
      </c>
      <c r="F337" s="375" t="s">
        <v>314</v>
      </c>
      <c r="G337" s="376" t="s">
        <v>98</v>
      </c>
      <c r="H337" s="376" t="s">
        <v>90</v>
      </c>
      <c r="I337" s="913" t="s">
        <v>97</v>
      </c>
      <c r="J337" s="357"/>
      <c r="K337" s="377">
        <f t="shared" si="96"/>
        <v>52.6</v>
      </c>
      <c r="L337" s="377">
        <f t="shared" si="96"/>
        <v>0</v>
      </c>
      <c r="M337" s="377">
        <f t="shared" si="96"/>
        <v>52.6</v>
      </c>
    </row>
    <row r="338" spans="1:13" s="372" customFormat="1" ht="37.5" x14ac:dyDescent="0.3">
      <c r="A338" s="358"/>
      <c r="B338" s="373" t="s">
        <v>315</v>
      </c>
      <c r="C338" s="374" t="s">
        <v>372</v>
      </c>
      <c r="D338" s="357" t="s">
        <v>304</v>
      </c>
      <c r="E338" s="357" t="s">
        <v>90</v>
      </c>
      <c r="F338" s="375" t="s">
        <v>314</v>
      </c>
      <c r="G338" s="376" t="s">
        <v>98</v>
      </c>
      <c r="H338" s="376" t="s">
        <v>90</v>
      </c>
      <c r="I338" s="913" t="s">
        <v>387</v>
      </c>
      <c r="J338" s="357"/>
      <c r="K338" s="377">
        <f t="shared" si="96"/>
        <v>52.6</v>
      </c>
      <c r="L338" s="377">
        <f t="shared" si="96"/>
        <v>0</v>
      </c>
      <c r="M338" s="377">
        <f t="shared" si="96"/>
        <v>52.6</v>
      </c>
    </row>
    <row r="339" spans="1:13" s="372" customFormat="1" ht="56.25" x14ac:dyDescent="0.3">
      <c r="A339" s="358"/>
      <c r="B339" s="373" t="s">
        <v>135</v>
      </c>
      <c r="C339" s="374" t="s">
        <v>372</v>
      </c>
      <c r="D339" s="357" t="s">
        <v>304</v>
      </c>
      <c r="E339" s="357" t="s">
        <v>90</v>
      </c>
      <c r="F339" s="375" t="s">
        <v>314</v>
      </c>
      <c r="G339" s="376" t="s">
        <v>98</v>
      </c>
      <c r="H339" s="376" t="s">
        <v>90</v>
      </c>
      <c r="I339" s="913" t="s">
        <v>387</v>
      </c>
      <c r="J339" s="357" t="s">
        <v>136</v>
      </c>
      <c r="K339" s="377">
        <v>52.6</v>
      </c>
      <c r="L339" s="252">
        <f>M339-K339</f>
        <v>0</v>
      </c>
      <c r="M339" s="377">
        <v>52.6</v>
      </c>
    </row>
    <row r="340" spans="1:13" s="372" customFormat="1" ht="18.75" x14ac:dyDescent="0.3">
      <c r="A340" s="358"/>
      <c r="B340" s="373" t="s">
        <v>258</v>
      </c>
      <c r="C340" s="374" t="s">
        <v>372</v>
      </c>
      <c r="D340" s="357" t="s">
        <v>304</v>
      </c>
      <c r="E340" s="357" t="s">
        <v>92</v>
      </c>
      <c r="F340" s="375"/>
      <c r="G340" s="376"/>
      <c r="H340" s="376"/>
      <c r="I340" s="913"/>
      <c r="J340" s="357"/>
      <c r="K340" s="377">
        <f>K341+K376</f>
        <v>484193.89999999997</v>
      </c>
      <c r="L340" s="377">
        <f>L341+L376</f>
        <v>2872.8999999999887</v>
      </c>
      <c r="M340" s="377">
        <f>M341+M376</f>
        <v>487066.8</v>
      </c>
    </row>
    <row r="341" spans="1:13" s="372" customFormat="1" ht="56.25" x14ac:dyDescent="0.3">
      <c r="A341" s="358"/>
      <c r="B341" s="373" t="s">
        <v>284</v>
      </c>
      <c r="C341" s="374" t="s">
        <v>372</v>
      </c>
      <c r="D341" s="357" t="s">
        <v>304</v>
      </c>
      <c r="E341" s="357" t="s">
        <v>92</v>
      </c>
      <c r="F341" s="375" t="s">
        <v>92</v>
      </c>
      <c r="G341" s="376" t="s">
        <v>95</v>
      </c>
      <c r="H341" s="376" t="s">
        <v>96</v>
      </c>
      <c r="I341" s="913" t="s">
        <v>97</v>
      </c>
      <c r="J341" s="357"/>
      <c r="K341" s="377">
        <f>K342+K372</f>
        <v>484114.1</v>
      </c>
      <c r="L341" s="377">
        <f>L342+L372</f>
        <v>2866.4999999999886</v>
      </c>
      <c r="M341" s="377">
        <f>M342+M372</f>
        <v>486980.6</v>
      </c>
    </row>
    <row r="342" spans="1:13" s="372" customFormat="1" ht="37.5" x14ac:dyDescent="0.3">
      <c r="A342" s="358"/>
      <c r="B342" s="373" t="s">
        <v>285</v>
      </c>
      <c r="C342" s="374" t="s">
        <v>372</v>
      </c>
      <c r="D342" s="357" t="s">
        <v>304</v>
      </c>
      <c r="E342" s="357" t="s">
        <v>92</v>
      </c>
      <c r="F342" s="375" t="s">
        <v>92</v>
      </c>
      <c r="G342" s="376" t="s">
        <v>98</v>
      </c>
      <c r="H342" s="376" t="s">
        <v>96</v>
      </c>
      <c r="I342" s="913" t="s">
        <v>97</v>
      </c>
      <c r="J342" s="357"/>
      <c r="K342" s="377">
        <f t="shared" ref="K342:M342" si="97">K343</f>
        <v>482042</v>
      </c>
      <c r="L342" s="377">
        <f t="shared" si="97"/>
        <v>2866.4999999999886</v>
      </c>
      <c r="M342" s="377">
        <f t="shared" si="97"/>
        <v>484908.5</v>
      </c>
    </row>
    <row r="343" spans="1:13" s="372" customFormat="1" ht="18.75" x14ac:dyDescent="0.3">
      <c r="A343" s="358"/>
      <c r="B343" s="373" t="s">
        <v>378</v>
      </c>
      <c r="C343" s="374" t="s">
        <v>372</v>
      </c>
      <c r="D343" s="357" t="s">
        <v>304</v>
      </c>
      <c r="E343" s="357" t="s">
        <v>92</v>
      </c>
      <c r="F343" s="375" t="s">
        <v>92</v>
      </c>
      <c r="G343" s="376" t="s">
        <v>98</v>
      </c>
      <c r="H343" s="376" t="s">
        <v>92</v>
      </c>
      <c r="I343" s="913" t="s">
        <v>97</v>
      </c>
      <c r="J343" s="357"/>
      <c r="K343" s="377">
        <f>K351+K354+K359+K361+K365+K369+K344</f>
        <v>482042</v>
      </c>
      <c r="L343" s="377">
        <f>L351+L354+L359+L361+L365+L369+L344+L349</f>
        <v>2866.4999999999886</v>
      </c>
      <c r="M343" s="377">
        <f>M351+M354+M359+M361+M365+M369+M344+M349</f>
        <v>484908.5</v>
      </c>
    </row>
    <row r="344" spans="1:13" s="379" customFormat="1" ht="93.75" x14ac:dyDescent="0.3">
      <c r="A344" s="358"/>
      <c r="B344" s="373" t="s">
        <v>151</v>
      </c>
      <c r="C344" s="374" t="s">
        <v>372</v>
      </c>
      <c r="D344" s="357" t="s">
        <v>304</v>
      </c>
      <c r="E344" s="357" t="s">
        <v>92</v>
      </c>
      <c r="F344" s="375" t="s">
        <v>92</v>
      </c>
      <c r="G344" s="376" t="s">
        <v>98</v>
      </c>
      <c r="H344" s="376" t="s">
        <v>92</v>
      </c>
      <c r="I344" s="913" t="s">
        <v>153</v>
      </c>
      <c r="J344" s="357"/>
      <c r="K344" s="377">
        <f t="shared" ref="K344" si="98">SUM(K345:K348)</f>
        <v>78817.400000000009</v>
      </c>
      <c r="L344" s="377">
        <f t="shared" ref="L344:M344" si="99">SUM(L345:L348)</f>
        <v>300</v>
      </c>
      <c r="M344" s="377">
        <f t="shared" si="99"/>
        <v>79117.400000000009</v>
      </c>
    </row>
    <row r="345" spans="1:13" s="379" customFormat="1" ht="112.5" x14ac:dyDescent="0.3">
      <c r="A345" s="358"/>
      <c r="B345" s="373" t="s">
        <v>102</v>
      </c>
      <c r="C345" s="374" t="s">
        <v>372</v>
      </c>
      <c r="D345" s="357" t="s">
        <v>304</v>
      </c>
      <c r="E345" s="357" t="s">
        <v>92</v>
      </c>
      <c r="F345" s="375" t="s">
        <v>92</v>
      </c>
      <c r="G345" s="376" t="s">
        <v>98</v>
      </c>
      <c r="H345" s="376" t="s">
        <v>92</v>
      </c>
      <c r="I345" s="913" t="s">
        <v>153</v>
      </c>
      <c r="J345" s="357" t="s">
        <v>103</v>
      </c>
      <c r="K345" s="377">
        <v>3791.6</v>
      </c>
      <c r="L345" s="252">
        <f t="shared" ref="L345:L350" si="100">M345-K345</f>
        <v>0</v>
      </c>
      <c r="M345" s="377">
        <v>3791.6</v>
      </c>
    </row>
    <row r="346" spans="1:13" s="379" customFormat="1" ht="56.25" x14ac:dyDescent="0.3">
      <c r="A346" s="358"/>
      <c r="B346" s="373" t="s">
        <v>108</v>
      </c>
      <c r="C346" s="374" t="s">
        <v>372</v>
      </c>
      <c r="D346" s="357" t="s">
        <v>304</v>
      </c>
      <c r="E346" s="357" t="s">
        <v>92</v>
      </c>
      <c r="F346" s="375" t="s">
        <v>92</v>
      </c>
      <c r="G346" s="376" t="s">
        <v>98</v>
      </c>
      <c r="H346" s="376" t="s">
        <v>92</v>
      </c>
      <c r="I346" s="913" t="s">
        <v>153</v>
      </c>
      <c r="J346" s="357" t="s">
        <v>109</v>
      </c>
      <c r="K346" s="590">
        <f>3085.9+1266.1</f>
        <v>4352</v>
      </c>
      <c r="L346" s="252">
        <f t="shared" si="100"/>
        <v>0</v>
      </c>
      <c r="M346" s="590">
        <f>3085.9+1266.1</f>
        <v>4352</v>
      </c>
    </row>
    <row r="347" spans="1:13" s="379" customFormat="1" ht="56.25" x14ac:dyDescent="0.3">
      <c r="A347" s="358"/>
      <c r="B347" s="373" t="s">
        <v>135</v>
      </c>
      <c r="C347" s="374" t="s">
        <v>372</v>
      </c>
      <c r="D347" s="357" t="s">
        <v>304</v>
      </c>
      <c r="E347" s="357" t="s">
        <v>92</v>
      </c>
      <c r="F347" s="375" t="s">
        <v>92</v>
      </c>
      <c r="G347" s="376" t="s">
        <v>98</v>
      </c>
      <c r="H347" s="376" t="s">
        <v>92</v>
      </c>
      <c r="I347" s="913" t="s">
        <v>153</v>
      </c>
      <c r="J347" s="357" t="s">
        <v>136</v>
      </c>
      <c r="K347" s="590">
        <f>69501.5+450.3</f>
        <v>69951.8</v>
      </c>
      <c r="L347" s="252">
        <f t="shared" si="100"/>
        <v>300</v>
      </c>
      <c r="M347" s="590">
        <f>69501.5+450.3+300</f>
        <v>70251.8</v>
      </c>
    </row>
    <row r="348" spans="1:13" s="379" customFormat="1" ht="18.75" x14ac:dyDescent="0.3">
      <c r="A348" s="358"/>
      <c r="B348" s="373" t="s">
        <v>110</v>
      </c>
      <c r="C348" s="374" t="s">
        <v>372</v>
      </c>
      <c r="D348" s="357" t="s">
        <v>304</v>
      </c>
      <c r="E348" s="357" t="s">
        <v>92</v>
      </c>
      <c r="F348" s="375" t="s">
        <v>92</v>
      </c>
      <c r="G348" s="376" t="s">
        <v>98</v>
      </c>
      <c r="H348" s="376" t="s">
        <v>92</v>
      </c>
      <c r="I348" s="913" t="s">
        <v>153</v>
      </c>
      <c r="J348" s="357" t="s">
        <v>111</v>
      </c>
      <c r="K348" s="377">
        <v>722</v>
      </c>
      <c r="L348" s="252">
        <f t="shared" si="100"/>
        <v>0</v>
      </c>
      <c r="M348" s="377">
        <v>722</v>
      </c>
    </row>
    <row r="349" spans="1:13" s="886" customFormat="1" ht="37.5" x14ac:dyDescent="0.3">
      <c r="A349" s="879"/>
      <c r="B349" s="373" t="s">
        <v>619</v>
      </c>
      <c r="C349" s="374" t="s">
        <v>372</v>
      </c>
      <c r="D349" s="357" t="s">
        <v>304</v>
      </c>
      <c r="E349" s="357" t="s">
        <v>92</v>
      </c>
      <c r="F349" s="866" t="s">
        <v>92</v>
      </c>
      <c r="G349" s="867" t="s">
        <v>98</v>
      </c>
      <c r="H349" s="867" t="s">
        <v>92</v>
      </c>
      <c r="I349" s="883" t="s">
        <v>618</v>
      </c>
      <c r="J349" s="880"/>
      <c r="K349" s="884"/>
      <c r="L349" s="884">
        <f>L350</f>
        <v>438.1</v>
      </c>
      <c r="M349" s="884">
        <f>M350</f>
        <v>438.1</v>
      </c>
    </row>
    <row r="350" spans="1:13" s="886" customFormat="1" ht="56.25" x14ac:dyDescent="0.3">
      <c r="A350" s="879"/>
      <c r="B350" s="373" t="s">
        <v>135</v>
      </c>
      <c r="C350" s="374" t="s">
        <v>372</v>
      </c>
      <c r="D350" s="357" t="s">
        <v>304</v>
      </c>
      <c r="E350" s="357" t="s">
        <v>92</v>
      </c>
      <c r="F350" s="866" t="s">
        <v>92</v>
      </c>
      <c r="G350" s="867" t="s">
        <v>98</v>
      </c>
      <c r="H350" s="867" t="s">
        <v>92</v>
      </c>
      <c r="I350" s="883" t="s">
        <v>618</v>
      </c>
      <c r="J350" s="880" t="s">
        <v>136</v>
      </c>
      <c r="K350" s="884"/>
      <c r="L350" s="252">
        <f t="shared" si="100"/>
        <v>438.1</v>
      </c>
      <c r="M350" s="884">
        <f>68.5+135.6+146.6+87.4</f>
        <v>438.1</v>
      </c>
    </row>
    <row r="351" spans="1:13" s="372" customFormat="1" ht="56.25" x14ac:dyDescent="0.3">
      <c r="A351" s="358"/>
      <c r="B351" s="373" t="s">
        <v>286</v>
      </c>
      <c r="C351" s="374" t="s">
        <v>372</v>
      </c>
      <c r="D351" s="357" t="s">
        <v>304</v>
      </c>
      <c r="E351" s="357" t="s">
        <v>92</v>
      </c>
      <c r="F351" s="375" t="s">
        <v>92</v>
      </c>
      <c r="G351" s="376" t="s">
        <v>98</v>
      </c>
      <c r="H351" s="376" t="s">
        <v>92</v>
      </c>
      <c r="I351" s="913" t="s">
        <v>379</v>
      </c>
      <c r="J351" s="357"/>
      <c r="K351" s="377">
        <f>SUM(K352:K353)</f>
        <v>5800.9000000000005</v>
      </c>
      <c r="L351" s="377">
        <f>SUM(L352:L353)</f>
        <v>0</v>
      </c>
      <c r="M351" s="377">
        <f>SUM(M352:M353)</f>
        <v>5800.9000000000005</v>
      </c>
    </row>
    <row r="352" spans="1:13" s="372" customFormat="1" ht="56.25" x14ac:dyDescent="0.3">
      <c r="A352" s="358"/>
      <c r="B352" s="373" t="s">
        <v>108</v>
      </c>
      <c r="C352" s="374" t="s">
        <v>372</v>
      </c>
      <c r="D352" s="357" t="s">
        <v>304</v>
      </c>
      <c r="E352" s="357" t="s">
        <v>92</v>
      </c>
      <c r="F352" s="375" t="s">
        <v>92</v>
      </c>
      <c r="G352" s="376" t="s">
        <v>98</v>
      </c>
      <c r="H352" s="376" t="s">
        <v>92</v>
      </c>
      <c r="I352" s="913" t="s">
        <v>379</v>
      </c>
      <c r="J352" s="357" t="s">
        <v>109</v>
      </c>
      <c r="K352" s="604">
        <f>667.3+163.5</f>
        <v>830.8</v>
      </c>
      <c r="L352" s="252">
        <f t="shared" ref="L352:L353" si="101">M352-K352</f>
        <v>0</v>
      </c>
      <c r="M352" s="604">
        <f>667.3+163.5</f>
        <v>830.8</v>
      </c>
    </row>
    <row r="353" spans="1:13" s="372" customFormat="1" ht="56.25" x14ac:dyDescent="0.3">
      <c r="A353" s="358"/>
      <c r="B353" s="373" t="s">
        <v>135</v>
      </c>
      <c r="C353" s="374" t="s">
        <v>372</v>
      </c>
      <c r="D353" s="357" t="s">
        <v>304</v>
      </c>
      <c r="E353" s="357" t="s">
        <v>92</v>
      </c>
      <c r="F353" s="375" t="s">
        <v>92</v>
      </c>
      <c r="G353" s="376" t="s">
        <v>98</v>
      </c>
      <c r="H353" s="376" t="s">
        <v>92</v>
      </c>
      <c r="I353" s="913" t="s">
        <v>379</v>
      </c>
      <c r="J353" s="357" t="s">
        <v>136</v>
      </c>
      <c r="K353" s="604">
        <f>3580+1390.1</f>
        <v>4970.1000000000004</v>
      </c>
      <c r="L353" s="252">
        <f t="shared" si="101"/>
        <v>0</v>
      </c>
      <c r="M353" s="604">
        <f>3580+1390.1</f>
        <v>4970.1000000000004</v>
      </c>
    </row>
    <row r="354" spans="1:13" s="372" customFormat="1" ht="37.5" x14ac:dyDescent="0.3">
      <c r="A354" s="358"/>
      <c r="B354" s="373" t="s">
        <v>287</v>
      </c>
      <c r="C354" s="374" t="s">
        <v>372</v>
      </c>
      <c r="D354" s="357" t="s">
        <v>304</v>
      </c>
      <c r="E354" s="357" t="s">
        <v>92</v>
      </c>
      <c r="F354" s="375" t="s">
        <v>92</v>
      </c>
      <c r="G354" s="376" t="s">
        <v>98</v>
      </c>
      <c r="H354" s="376" t="s">
        <v>92</v>
      </c>
      <c r="I354" s="913" t="s">
        <v>380</v>
      </c>
      <c r="J354" s="357"/>
      <c r="K354" s="377">
        <f>SUM(K355:K358)</f>
        <v>7198.9999999999982</v>
      </c>
      <c r="L354" s="377">
        <f>SUM(L355:L358)</f>
        <v>5705.6</v>
      </c>
      <c r="M354" s="377">
        <f>SUM(M355:M358)</f>
        <v>12904.599999999999</v>
      </c>
    </row>
    <row r="355" spans="1:13" s="372" customFormat="1" ht="56.25" x14ac:dyDescent="0.3">
      <c r="A355" s="358"/>
      <c r="B355" s="373" t="s">
        <v>108</v>
      </c>
      <c r="C355" s="374" t="s">
        <v>372</v>
      </c>
      <c r="D355" s="357" t="s">
        <v>304</v>
      </c>
      <c r="E355" s="357" t="s">
        <v>92</v>
      </c>
      <c r="F355" s="375" t="s">
        <v>92</v>
      </c>
      <c r="G355" s="376" t="s">
        <v>98</v>
      </c>
      <c r="H355" s="376" t="s">
        <v>92</v>
      </c>
      <c r="I355" s="913" t="s">
        <v>380</v>
      </c>
      <c r="J355" s="357" t="s">
        <v>109</v>
      </c>
      <c r="K355" s="590">
        <f>216.2+77.7</f>
        <v>293.89999999999998</v>
      </c>
      <c r="L355" s="252">
        <f t="shared" ref="L355:L358" si="102">M355-K355</f>
        <v>880.1</v>
      </c>
      <c r="M355" s="590">
        <f>216.2+77.7+895.5-15.4</f>
        <v>1174</v>
      </c>
    </row>
    <row r="356" spans="1:13" s="372" customFormat="1" ht="37.5" x14ac:dyDescent="0.3">
      <c r="A356" s="358"/>
      <c r="B356" s="763" t="s">
        <v>183</v>
      </c>
      <c r="C356" s="374" t="s">
        <v>372</v>
      </c>
      <c r="D356" s="357" t="s">
        <v>304</v>
      </c>
      <c r="E356" s="357" t="s">
        <v>92</v>
      </c>
      <c r="F356" s="935" t="s">
        <v>92</v>
      </c>
      <c r="G356" s="936" t="s">
        <v>98</v>
      </c>
      <c r="H356" s="936" t="s">
        <v>92</v>
      </c>
      <c r="I356" s="937" t="s">
        <v>380</v>
      </c>
      <c r="J356" s="357" t="s">
        <v>184</v>
      </c>
      <c r="K356" s="590"/>
      <c r="L356" s="252">
        <f t="shared" si="102"/>
        <v>238.5</v>
      </c>
      <c r="M356" s="590">
        <v>238.5</v>
      </c>
    </row>
    <row r="357" spans="1:13" s="887" customFormat="1" ht="56.25" x14ac:dyDescent="0.3">
      <c r="A357" s="879"/>
      <c r="B357" s="373" t="s">
        <v>282</v>
      </c>
      <c r="C357" s="374" t="s">
        <v>372</v>
      </c>
      <c r="D357" s="357" t="s">
        <v>304</v>
      </c>
      <c r="E357" s="357" t="s">
        <v>92</v>
      </c>
      <c r="F357" s="911" t="s">
        <v>92</v>
      </c>
      <c r="G357" s="912" t="s">
        <v>98</v>
      </c>
      <c r="H357" s="912" t="s">
        <v>92</v>
      </c>
      <c r="I357" s="913" t="s">
        <v>380</v>
      </c>
      <c r="J357" s="357" t="s">
        <v>283</v>
      </c>
      <c r="K357" s="884"/>
      <c r="L357" s="252">
        <f t="shared" si="102"/>
        <v>1900</v>
      </c>
      <c r="M357" s="884">
        <v>1900</v>
      </c>
    </row>
    <row r="358" spans="1:13" s="372" customFormat="1" ht="56.25" x14ac:dyDescent="0.3">
      <c r="A358" s="358"/>
      <c r="B358" s="373" t="s">
        <v>135</v>
      </c>
      <c r="C358" s="374" t="s">
        <v>372</v>
      </c>
      <c r="D358" s="357" t="s">
        <v>304</v>
      </c>
      <c r="E358" s="357" t="s">
        <v>92</v>
      </c>
      <c r="F358" s="375" t="s">
        <v>92</v>
      </c>
      <c r="G358" s="376" t="s">
        <v>98</v>
      </c>
      <c r="H358" s="376" t="s">
        <v>92</v>
      </c>
      <c r="I358" s="913" t="s">
        <v>380</v>
      </c>
      <c r="J358" s="357" t="s">
        <v>136</v>
      </c>
      <c r="K358" s="604">
        <f>6400.9+2369.7-1865.5</f>
        <v>6905.0999999999985</v>
      </c>
      <c r="L358" s="252">
        <f t="shared" si="102"/>
        <v>2687</v>
      </c>
      <c r="M358" s="604">
        <f>6400.9+2369.7-1865.5+1865.5+895.5+153.5-4.4-223.1</f>
        <v>9592.0999999999985</v>
      </c>
    </row>
    <row r="359" spans="1:13" s="372" customFormat="1" ht="75" x14ac:dyDescent="0.3">
      <c r="A359" s="358"/>
      <c r="B359" s="373" t="s">
        <v>288</v>
      </c>
      <c r="C359" s="374" t="s">
        <v>372</v>
      </c>
      <c r="D359" s="357" t="s">
        <v>304</v>
      </c>
      <c r="E359" s="357" t="s">
        <v>92</v>
      </c>
      <c r="F359" s="375" t="s">
        <v>92</v>
      </c>
      <c r="G359" s="376" t="s">
        <v>98</v>
      </c>
      <c r="H359" s="376" t="s">
        <v>92</v>
      </c>
      <c r="I359" s="558" t="s">
        <v>381</v>
      </c>
      <c r="J359" s="357"/>
      <c r="K359" s="377">
        <f>SUM(K360:K360)</f>
        <v>15</v>
      </c>
      <c r="L359" s="377">
        <f>SUM(L360:L360)</f>
        <v>0</v>
      </c>
      <c r="M359" s="377">
        <f>SUM(M360:M360)</f>
        <v>15</v>
      </c>
    </row>
    <row r="360" spans="1:13" s="372" customFormat="1" ht="56.25" x14ac:dyDescent="0.3">
      <c r="A360" s="358"/>
      <c r="B360" s="373" t="s">
        <v>135</v>
      </c>
      <c r="C360" s="374" t="s">
        <v>372</v>
      </c>
      <c r="D360" s="357" t="s">
        <v>304</v>
      </c>
      <c r="E360" s="357" t="s">
        <v>92</v>
      </c>
      <c r="F360" s="375" t="s">
        <v>92</v>
      </c>
      <c r="G360" s="376" t="s">
        <v>98</v>
      </c>
      <c r="H360" s="376" t="s">
        <v>92</v>
      </c>
      <c r="I360" s="558" t="s">
        <v>381</v>
      </c>
      <c r="J360" s="357" t="s">
        <v>136</v>
      </c>
      <c r="K360" s="377">
        <v>15</v>
      </c>
      <c r="L360" s="252">
        <f>M360-K360</f>
        <v>0</v>
      </c>
      <c r="M360" s="377">
        <v>15</v>
      </c>
    </row>
    <row r="361" spans="1:13" s="372" customFormat="1" ht="206.25" x14ac:dyDescent="0.3">
      <c r="A361" s="358"/>
      <c r="B361" s="373" t="s">
        <v>374</v>
      </c>
      <c r="C361" s="374" t="s">
        <v>372</v>
      </c>
      <c r="D361" s="357" t="s">
        <v>304</v>
      </c>
      <c r="E361" s="357" t="s">
        <v>92</v>
      </c>
      <c r="F361" s="375" t="s">
        <v>92</v>
      </c>
      <c r="G361" s="376" t="s">
        <v>98</v>
      </c>
      <c r="H361" s="376" t="s">
        <v>92</v>
      </c>
      <c r="I361" s="913" t="s">
        <v>375</v>
      </c>
      <c r="J361" s="357"/>
      <c r="K361" s="377">
        <f>SUM(K362:K364)</f>
        <v>1759.8999999999999</v>
      </c>
      <c r="L361" s="377">
        <f>SUM(L362:L364)</f>
        <v>0</v>
      </c>
      <c r="M361" s="377">
        <f>SUM(M362:M364)</f>
        <v>1759.8999999999999</v>
      </c>
    </row>
    <row r="362" spans="1:13" s="372" customFormat="1" ht="112.5" x14ac:dyDescent="0.3">
      <c r="A362" s="358"/>
      <c r="B362" s="373" t="s">
        <v>102</v>
      </c>
      <c r="C362" s="374" t="s">
        <v>372</v>
      </c>
      <c r="D362" s="357" t="s">
        <v>304</v>
      </c>
      <c r="E362" s="357" t="s">
        <v>92</v>
      </c>
      <c r="F362" s="375" t="s">
        <v>92</v>
      </c>
      <c r="G362" s="376" t="s">
        <v>98</v>
      </c>
      <c r="H362" s="376" t="s">
        <v>92</v>
      </c>
      <c r="I362" s="913" t="s">
        <v>375</v>
      </c>
      <c r="J362" s="357" t="s">
        <v>103</v>
      </c>
      <c r="K362" s="377">
        <v>138.30000000000001</v>
      </c>
      <c r="L362" s="252">
        <f t="shared" ref="L362:L364" si="103">M362-K362</f>
        <v>0</v>
      </c>
      <c r="M362" s="377">
        <v>138.30000000000001</v>
      </c>
    </row>
    <row r="363" spans="1:13" s="372" customFormat="1" ht="37.5" x14ac:dyDescent="0.3">
      <c r="A363" s="358"/>
      <c r="B363" s="373" t="s">
        <v>183</v>
      </c>
      <c r="C363" s="374" t="s">
        <v>372</v>
      </c>
      <c r="D363" s="357" t="s">
        <v>304</v>
      </c>
      <c r="E363" s="357" t="s">
        <v>92</v>
      </c>
      <c r="F363" s="375" t="s">
        <v>92</v>
      </c>
      <c r="G363" s="376" t="s">
        <v>98</v>
      </c>
      <c r="H363" s="376" t="s">
        <v>92</v>
      </c>
      <c r="I363" s="913" t="s">
        <v>375</v>
      </c>
      <c r="J363" s="357" t="s">
        <v>184</v>
      </c>
      <c r="K363" s="377">
        <v>14</v>
      </c>
      <c r="L363" s="252">
        <f t="shared" si="103"/>
        <v>0</v>
      </c>
      <c r="M363" s="377">
        <v>14</v>
      </c>
    </row>
    <row r="364" spans="1:13" s="372" customFormat="1" ht="56.25" x14ac:dyDescent="0.3">
      <c r="A364" s="358"/>
      <c r="B364" s="373" t="s">
        <v>135</v>
      </c>
      <c r="C364" s="374" t="s">
        <v>372</v>
      </c>
      <c r="D364" s="357" t="s">
        <v>304</v>
      </c>
      <c r="E364" s="357" t="s">
        <v>92</v>
      </c>
      <c r="F364" s="375" t="s">
        <v>92</v>
      </c>
      <c r="G364" s="376" t="s">
        <v>98</v>
      </c>
      <c r="H364" s="376" t="s">
        <v>92</v>
      </c>
      <c r="I364" s="913" t="s">
        <v>375</v>
      </c>
      <c r="J364" s="357" t="s">
        <v>136</v>
      </c>
      <c r="K364" s="604">
        <f>1525.8+81.8</f>
        <v>1607.6</v>
      </c>
      <c r="L364" s="252">
        <f t="shared" si="103"/>
        <v>0</v>
      </c>
      <c r="M364" s="604">
        <f>1525.8+81.8</f>
        <v>1607.6</v>
      </c>
    </row>
    <row r="365" spans="1:13" s="372" customFormat="1" ht="131.25" x14ac:dyDescent="0.3">
      <c r="A365" s="358"/>
      <c r="B365" s="373" t="s">
        <v>503</v>
      </c>
      <c r="C365" s="374" t="s">
        <v>372</v>
      </c>
      <c r="D365" s="357" t="s">
        <v>304</v>
      </c>
      <c r="E365" s="357" t="s">
        <v>92</v>
      </c>
      <c r="F365" s="375" t="s">
        <v>92</v>
      </c>
      <c r="G365" s="376" t="s">
        <v>98</v>
      </c>
      <c r="H365" s="376" t="s">
        <v>92</v>
      </c>
      <c r="I365" s="913" t="s">
        <v>376</v>
      </c>
      <c r="J365" s="357"/>
      <c r="K365" s="377">
        <f>K366+K367+K368</f>
        <v>384214.1</v>
      </c>
      <c r="L365" s="377">
        <f>L366+L367+L368</f>
        <v>-3577.2000000000116</v>
      </c>
      <c r="M365" s="377">
        <f>M366+M367+M368</f>
        <v>380636.89999999997</v>
      </c>
    </row>
    <row r="366" spans="1:13" s="372" customFormat="1" ht="112.5" x14ac:dyDescent="0.3">
      <c r="A366" s="358"/>
      <c r="B366" s="373" t="s">
        <v>102</v>
      </c>
      <c r="C366" s="374" t="s">
        <v>372</v>
      </c>
      <c r="D366" s="357" t="s">
        <v>304</v>
      </c>
      <c r="E366" s="357" t="s">
        <v>92</v>
      </c>
      <c r="F366" s="375" t="s">
        <v>92</v>
      </c>
      <c r="G366" s="376" t="s">
        <v>98</v>
      </c>
      <c r="H366" s="376" t="s">
        <v>92</v>
      </c>
      <c r="I366" s="913" t="s">
        <v>376</v>
      </c>
      <c r="J366" s="357" t="s">
        <v>103</v>
      </c>
      <c r="K366" s="591">
        <f>29722.1+566.4</f>
        <v>30288.5</v>
      </c>
      <c r="L366" s="252">
        <f t="shared" ref="L366:L368" si="104">M366-K366</f>
        <v>0</v>
      </c>
      <c r="M366" s="591">
        <f>29722.1+566.4</f>
        <v>30288.5</v>
      </c>
    </row>
    <row r="367" spans="1:13" s="372" customFormat="1" ht="56.25" x14ac:dyDescent="0.3">
      <c r="A367" s="358"/>
      <c r="B367" s="373" t="s">
        <v>108</v>
      </c>
      <c r="C367" s="374" t="s">
        <v>372</v>
      </c>
      <c r="D367" s="357" t="s">
        <v>304</v>
      </c>
      <c r="E367" s="357" t="s">
        <v>92</v>
      </c>
      <c r="F367" s="375" t="s">
        <v>92</v>
      </c>
      <c r="G367" s="376" t="s">
        <v>98</v>
      </c>
      <c r="H367" s="376" t="s">
        <v>92</v>
      </c>
      <c r="I367" s="913" t="s">
        <v>376</v>
      </c>
      <c r="J367" s="357" t="s">
        <v>109</v>
      </c>
      <c r="K367" s="591">
        <f>1726.7+36.1</f>
        <v>1762.8</v>
      </c>
      <c r="L367" s="252">
        <f t="shared" si="104"/>
        <v>0</v>
      </c>
      <c r="M367" s="591">
        <f>1726.7+36.1</f>
        <v>1762.8</v>
      </c>
    </row>
    <row r="368" spans="1:13" s="372" customFormat="1" ht="56.25" x14ac:dyDescent="0.3">
      <c r="A368" s="358"/>
      <c r="B368" s="373" t="s">
        <v>135</v>
      </c>
      <c r="C368" s="374" t="s">
        <v>372</v>
      </c>
      <c r="D368" s="357" t="s">
        <v>304</v>
      </c>
      <c r="E368" s="357" t="s">
        <v>92</v>
      </c>
      <c r="F368" s="375" t="s">
        <v>92</v>
      </c>
      <c r="G368" s="376" t="s">
        <v>98</v>
      </c>
      <c r="H368" s="376" t="s">
        <v>92</v>
      </c>
      <c r="I368" s="913" t="s">
        <v>376</v>
      </c>
      <c r="J368" s="357" t="s">
        <v>136</v>
      </c>
      <c r="K368" s="591">
        <f>345592.1+6570.7</f>
        <v>352162.8</v>
      </c>
      <c r="L368" s="252">
        <f t="shared" si="104"/>
        <v>-3577.2000000000116</v>
      </c>
      <c r="M368" s="591">
        <f>345592.1+6570.7-3577.2</f>
        <v>348585.6</v>
      </c>
    </row>
    <row r="369" spans="1:13" s="372" customFormat="1" ht="93.75" x14ac:dyDescent="0.3">
      <c r="A369" s="358"/>
      <c r="B369" s="373" t="s">
        <v>289</v>
      </c>
      <c r="C369" s="374" t="s">
        <v>372</v>
      </c>
      <c r="D369" s="357" t="s">
        <v>304</v>
      </c>
      <c r="E369" s="357" t="s">
        <v>92</v>
      </c>
      <c r="F369" s="375" t="s">
        <v>92</v>
      </c>
      <c r="G369" s="376" t="s">
        <v>98</v>
      </c>
      <c r="H369" s="376" t="s">
        <v>92</v>
      </c>
      <c r="I369" s="913" t="s">
        <v>382</v>
      </c>
      <c r="J369" s="357"/>
      <c r="K369" s="377">
        <f>SUM(K370:K371)</f>
        <v>4235.7</v>
      </c>
      <c r="L369" s="377">
        <f>SUM(L370:L371)</f>
        <v>0</v>
      </c>
      <c r="M369" s="377">
        <f>SUM(M370:M371)</f>
        <v>4235.7</v>
      </c>
    </row>
    <row r="370" spans="1:13" s="372" customFormat="1" ht="56.25" x14ac:dyDescent="0.3">
      <c r="A370" s="358"/>
      <c r="B370" s="373" t="s">
        <v>108</v>
      </c>
      <c r="C370" s="374" t="s">
        <v>372</v>
      </c>
      <c r="D370" s="357" t="s">
        <v>304</v>
      </c>
      <c r="E370" s="357" t="s">
        <v>92</v>
      </c>
      <c r="F370" s="375" t="s">
        <v>92</v>
      </c>
      <c r="G370" s="376" t="s">
        <v>98</v>
      </c>
      <c r="H370" s="376" t="s">
        <v>92</v>
      </c>
      <c r="I370" s="913" t="s">
        <v>382</v>
      </c>
      <c r="J370" s="357" t="s">
        <v>109</v>
      </c>
      <c r="K370" s="377">
        <v>226.5</v>
      </c>
      <c r="L370" s="252">
        <f t="shared" ref="L370:L371" si="105">M370-K370</f>
        <v>0</v>
      </c>
      <c r="M370" s="377">
        <v>226.5</v>
      </c>
    </row>
    <row r="371" spans="1:13" s="372" customFormat="1" ht="56.25" x14ac:dyDescent="0.3">
      <c r="A371" s="358"/>
      <c r="B371" s="373" t="s">
        <v>135</v>
      </c>
      <c r="C371" s="374" t="s">
        <v>372</v>
      </c>
      <c r="D371" s="357" t="s">
        <v>304</v>
      </c>
      <c r="E371" s="357" t="s">
        <v>92</v>
      </c>
      <c r="F371" s="375" t="s">
        <v>92</v>
      </c>
      <c r="G371" s="376" t="s">
        <v>98</v>
      </c>
      <c r="H371" s="376" t="s">
        <v>92</v>
      </c>
      <c r="I371" s="913" t="s">
        <v>382</v>
      </c>
      <c r="J371" s="357" t="s">
        <v>136</v>
      </c>
      <c r="K371" s="377">
        <v>4009.2</v>
      </c>
      <c r="L371" s="252">
        <f t="shared" si="105"/>
        <v>0</v>
      </c>
      <c r="M371" s="377">
        <v>4009.2</v>
      </c>
    </row>
    <row r="372" spans="1:13" s="372" customFormat="1" ht="56.25" x14ac:dyDescent="0.3">
      <c r="A372" s="358"/>
      <c r="B372" s="373" t="s">
        <v>292</v>
      </c>
      <c r="C372" s="374" t="s">
        <v>372</v>
      </c>
      <c r="D372" s="357" t="s">
        <v>304</v>
      </c>
      <c r="E372" s="357" t="s">
        <v>92</v>
      </c>
      <c r="F372" s="375" t="s">
        <v>92</v>
      </c>
      <c r="G372" s="376" t="s">
        <v>83</v>
      </c>
      <c r="H372" s="376" t="s">
        <v>96</v>
      </c>
      <c r="I372" s="913" t="s">
        <v>97</v>
      </c>
      <c r="J372" s="357"/>
      <c r="K372" s="377">
        <f t="shared" ref="K372:M374" si="106">K373</f>
        <v>2072.1</v>
      </c>
      <c r="L372" s="377">
        <f t="shared" si="106"/>
        <v>0</v>
      </c>
      <c r="M372" s="377">
        <f t="shared" si="106"/>
        <v>2072.1</v>
      </c>
    </row>
    <row r="373" spans="1:13" s="372" customFormat="1" ht="37.5" x14ac:dyDescent="0.3">
      <c r="A373" s="358"/>
      <c r="B373" s="373" t="s">
        <v>389</v>
      </c>
      <c r="C373" s="374" t="s">
        <v>372</v>
      </c>
      <c r="D373" s="357" t="s">
        <v>304</v>
      </c>
      <c r="E373" s="357" t="s">
        <v>92</v>
      </c>
      <c r="F373" s="375" t="s">
        <v>92</v>
      </c>
      <c r="G373" s="376" t="s">
        <v>83</v>
      </c>
      <c r="H373" s="376" t="s">
        <v>90</v>
      </c>
      <c r="I373" s="913" t="s">
        <v>97</v>
      </c>
      <c r="J373" s="357"/>
      <c r="K373" s="377">
        <f t="shared" si="106"/>
        <v>2072.1</v>
      </c>
      <c r="L373" s="377">
        <f t="shared" si="106"/>
        <v>0</v>
      </c>
      <c r="M373" s="377">
        <f t="shared" si="106"/>
        <v>2072.1</v>
      </c>
    </row>
    <row r="374" spans="1:13" s="372" customFormat="1" ht="262.5" x14ac:dyDescent="0.3">
      <c r="A374" s="358"/>
      <c r="B374" s="576" t="s">
        <v>813</v>
      </c>
      <c r="C374" s="374" t="s">
        <v>372</v>
      </c>
      <c r="D374" s="357" t="s">
        <v>304</v>
      </c>
      <c r="E374" s="357" t="s">
        <v>92</v>
      </c>
      <c r="F374" s="375" t="s">
        <v>92</v>
      </c>
      <c r="G374" s="376" t="s">
        <v>83</v>
      </c>
      <c r="H374" s="376" t="s">
        <v>90</v>
      </c>
      <c r="I374" s="913" t="s">
        <v>504</v>
      </c>
      <c r="J374" s="357"/>
      <c r="K374" s="377">
        <f t="shared" si="106"/>
        <v>2072.1</v>
      </c>
      <c r="L374" s="377">
        <f t="shared" si="106"/>
        <v>0</v>
      </c>
      <c r="M374" s="377">
        <f t="shared" si="106"/>
        <v>2072.1</v>
      </c>
    </row>
    <row r="375" spans="1:13" s="372" customFormat="1" ht="56.25" x14ac:dyDescent="0.3">
      <c r="A375" s="358"/>
      <c r="B375" s="373" t="s">
        <v>135</v>
      </c>
      <c r="C375" s="374" t="s">
        <v>372</v>
      </c>
      <c r="D375" s="357" t="s">
        <v>304</v>
      </c>
      <c r="E375" s="357" t="s">
        <v>92</v>
      </c>
      <c r="F375" s="375" t="s">
        <v>92</v>
      </c>
      <c r="G375" s="376" t="s">
        <v>83</v>
      </c>
      <c r="H375" s="376" t="s">
        <v>90</v>
      </c>
      <c r="I375" s="913" t="s">
        <v>504</v>
      </c>
      <c r="J375" s="357" t="s">
        <v>136</v>
      </c>
      <c r="K375" s="377">
        <v>2072.1</v>
      </c>
      <c r="L375" s="252">
        <f>M375-K375</f>
        <v>0</v>
      </c>
      <c r="M375" s="377">
        <v>2072.1</v>
      </c>
    </row>
    <row r="376" spans="1:13" s="372" customFormat="1" ht="56.25" x14ac:dyDescent="0.3">
      <c r="A376" s="358"/>
      <c r="B376" s="373" t="s">
        <v>140</v>
      </c>
      <c r="C376" s="374" t="s">
        <v>372</v>
      </c>
      <c r="D376" s="357" t="s">
        <v>304</v>
      </c>
      <c r="E376" s="357" t="s">
        <v>92</v>
      </c>
      <c r="F376" s="375" t="s">
        <v>141</v>
      </c>
      <c r="G376" s="376" t="s">
        <v>95</v>
      </c>
      <c r="H376" s="376" t="s">
        <v>96</v>
      </c>
      <c r="I376" s="913" t="s">
        <v>97</v>
      </c>
      <c r="J376" s="357"/>
      <c r="K376" s="377">
        <f t="shared" ref="K376:M377" si="107">K377</f>
        <v>79.8</v>
      </c>
      <c r="L376" s="377">
        <f t="shared" si="107"/>
        <v>6.3999999999999986</v>
      </c>
      <c r="M376" s="377">
        <f t="shared" si="107"/>
        <v>86.199999999999989</v>
      </c>
    </row>
    <row r="377" spans="1:13" s="372" customFormat="1" ht="37.5" x14ac:dyDescent="0.3">
      <c r="A377" s="358"/>
      <c r="B377" s="373" t="s">
        <v>188</v>
      </c>
      <c r="C377" s="374" t="s">
        <v>372</v>
      </c>
      <c r="D377" s="357" t="s">
        <v>304</v>
      </c>
      <c r="E377" s="357" t="s">
        <v>92</v>
      </c>
      <c r="F377" s="375" t="s">
        <v>141</v>
      </c>
      <c r="G377" s="376" t="s">
        <v>150</v>
      </c>
      <c r="H377" s="376" t="s">
        <v>96</v>
      </c>
      <c r="I377" s="913" t="s">
        <v>97</v>
      </c>
      <c r="J377" s="357"/>
      <c r="K377" s="377">
        <f t="shared" si="107"/>
        <v>79.8</v>
      </c>
      <c r="L377" s="377">
        <f t="shared" si="107"/>
        <v>6.3999999999999986</v>
      </c>
      <c r="M377" s="377">
        <f t="shared" si="107"/>
        <v>86.199999999999989</v>
      </c>
    </row>
    <row r="378" spans="1:13" s="372" customFormat="1" ht="56.25" x14ac:dyDescent="0.3">
      <c r="A378" s="358"/>
      <c r="B378" s="373" t="s">
        <v>377</v>
      </c>
      <c r="C378" s="374" t="s">
        <v>372</v>
      </c>
      <c r="D378" s="357" t="s">
        <v>304</v>
      </c>
      <c r="E378" s="357" t="s">
        <v>92</v>
      </c>
      <c r="F378" s="375" t="s">
        <v>141</v>
      </c>
      <c r="G378" s="376" t="s">
        <v>150</v>
      </c>
      <c r="H378" s="376" t="s">
        <v>90</v>
      </c>
      <c r="I378" s="913" t="s">
        <v>97</v>
      </c>
      <c r="J378" s="357"/>
      <c r="K378" s="377">
        <f>K379</f>
        <v>79.8</v>
      </c>
      <c r="L378" s="377">
        <f>L379</f>
        <v>6.3999999999999986</v>
      </c>
      <c r="M378" s="377">
        <f>M379</f>
        <v>86.199999999999989</v>
      </c>
    </row>
    <row r="379" spans="1:13" s="372" customFormat="1" ht="37.5" x14ac:dyDescent="0.3">
      <c r="A379" s="358"/>
      <c r="B379" s="384" t="s">
        <v>190</v>
      </c>
      <c r="C379" s="374" t="s">
        <v>372</v>
      </c>
      <c r="D379" s="357" t="s">
        <v>304</v>
      </c>
      <c r="E379" s="357" t="s">
        <v>92</v>
      </c>
      <c r="F379" s="375" t="s">
        <v>141</v>
      </c>
      <c r="G379" s="376" t="s">
        <v>150</v>
      </c>
      <c r="H379" s="376" t="s">
        <v>90</v>
      </c>
      <c r="I379" s="913" t="s">
        <v>152</v>
      </c>
      <c r="J379" s="357"/>
      <c r="K379" s="377">
        <f>SUM(K380:K381)</f>
        <v>79.8</v>
      </c>
      <c r="L379" s="377">
        <f>SUM(L380:L381)</f>
        <v>6.3999999999999986</v>
      </c>
      <c r="M379" s="377">
        <f>SUM(M380:M381)</f>
        <v>86.199999999999989</v>
      </c>
    </row>
    <row r="380" spans="1:13" s="372" customFormat="1" ht="56.25" x14ac:dyDescent="0.3">
      <c r="A380" s="358"/>
      <c r="B380" s="232" t="s">
        <v>108</v>
      </c>
      <c r="C380" s="374" t="s">
        <v>372</v>
      </c>
      <c r="D380" s="357" t="s">
        <v>304</v>
      </c>
      <c r="E380" s="357" t="s">
        <v>92</v>
      </c>
      <c r="F380" s="571" t="s">
        <v>141</v>
      </c>
      <c r="G380" s="572" t="s">
        <v>150</v>
      </c>
      <c r="H380" s="572" t="s">
        <v>90</v>
      </c>
      <c r="I380" s="913" t="s">
        <v>152</v>
      </c>
      <c r="J380" s="357" t="s">
        <v>109</v>
      </c>
      <c r="K380" s="377">
        <v>32.9</v>
      </c>
      <c r="L380" s="252">
        <f t="shared" ref="L380:L381" si="108">M380-K380</f>
        <v>0</v>
      </c>
      <c r="M380" s="377">
        <v>32.9</v>
      </c>
    </row>
    <row r="381" spans="1:13" s="372" customFormat="1" ht="56.25" x14ac:dyDescent="0.3">
      <c r="A381" s="358"/>
      <c r="B381" s="373" t="s">
        <v>135</v>
      </c>
      <c r="C381" s="374" t="s">
        <v>372</v>
      </c>
      <c r="D381" s="357" t="s">
        <v>304</v>
      </c>
      <c r="E381" s="357" t="s">
        <v>92</v>
      </c>
      <c r="F381" s="375" t="s">
        <v>141</v>
      </c>
      <c r="G381" s="376" t="s">
        <v>150</v>
      </c>
      <c r="H381" s="376" t="s">
        <v>90</v>
      </c>
      <c r="I381" s="913" t="s">
        <v>152</v>
      </c>
      <c r="J381" s="357" t="s">
        <v>136</v>
      </c>
      <c r="K381" s="377">
        <v>46.9</v>
      </c>
      <c r="L381" s="252">
        <f t="shared" si="108"/>
        <v>6.3999999999999986</v>
      </c>
      <c r="M381" s="377">
        <f>46.9+6.4</f>
        <v>53.3</v>
      </c>
    </row>
    <row r="382" spans="1:13" s="372" customFormat="1" ht="18.75" x14ac:dyDescent="0.3">
      <c r="A382" s="358"/>
      <c r="B382" s="373" t="s">
        <v>517</v>
      </c>
      <c r="C382" s="374" t="s">
        <v>372</v>
      </c>
      <c r="D382" s="357" t="s">
        <v>304</v>
      </c>
      <c r="E382" s="357" t="s">
        <v>119</v>
      </c>
      <c r="F382" s="375"/>
      <c r="G382" s="376"/>
      <c r="H382" s="376"/>
      <c r="I382" s="913"/>
      <c r="J382" s="357"/>
      <c r="K382" s="377">
        <f t="shared" ref="K382:M383" si="109">K383</f>
        <v>46471.200000000004</v>
      </c>
      <c r="L382" s="377">
        <f t="shared" si="109"/>
        <v>3756.5034599999999</v>
      </c>
      <c r="M382" s="377">
        <f t="shared" si="109"/>
        <v>50227.703460000004</v>
      </c>
    </row>
    <row r="383" spans="1:13" s="372" customFormat="1" ht="56.25" x14ac:dyDescent="0.3">
      <c r="A383" s="358"/>
      <c r="B383" s="456" t="s">
        <v>284</v>
      </c>
      <c r="C383" s="374" t="s">
        <v>372</v>
      </c>
      <c r="D383" s="357" t="s">
        <v>304</v>
      </c>
      <c r="E383" s="357" t="s">
        <v>119</v>
      </c>
      <c r="F383" s="375" t="s">
        <v>92</v>
      </c>
      <c r="G383" s="376" t="s">
        <v>95</v>
      </c>
      <c r="H383" s="376" t="s">
        <v>96</v>
      </c>
      <c r="I383" s="913" t="s">
        <v>97</v>
      </c>
      <c r="J383" s="357"/>
      <c r="K383" s="377">
        <f t="shared" si="109"/>
        <v>46471.200000000004</v>
      </c>
      <c r="L383" s="377">
        <f t="shared" si="109"/>
        <v>3756.5034599999999</v>
      </c>
      <c r="M383" s="377">
        <f t="shared" si="109"/>
        <v>50227.703460000004</v>
      </c>
    </row>
    <row r="384" spans="1:13" s="372" customFormat="1" ht="37.5" x14ac:dyDescent="0.3">
      <c r="A384" s="358"/>
      <c r="B384" s="373" t="s">
        <v>290</v>
      </c>
      <c r="C384" s="374" t="s">
        <v>372</v>
      </c>
      <c r="D384" s="357" t="s">
        <v>304</v>
      </c>
      <c r="E384" s="357" t="s">
        <v>119</v>
      </c>
      <c r="F384" s="375" t="s">
        <v>92</v>
      </c>
      <c r="G384" s="376" t="s">
        <v>150</v>
      </c>
      <c r="H384" s="376" t="s">
        <v>96</v>
      </c>
      <c r="I384" s="913" t="s">
        <v>97</v>
      </c>
      <c r="J384" s="357"/>
      <c r="K384" s="377">
        <f>K385</f>
        <v>46471.200000000004</v>
      </c>
      <c r="L384" s="377">
        <f>L385</f>
        <v>3756.5034599999999</v>
      </c>
      <c r="M384" s="377">
        <f>M385</f>
        <v>50227.703460000004</v>
      </c>
    </row>
    <row r="385" spans="1:13" s="372" customFormat="1" ht="37.5" x14ac:dyDescent="0.3">
      <c r="A385" s="358"/>
      <c r="B385" s="373" t="s">
        <v>383</v>
      </c>
      <c r="C385" s="374" t="s">
        <v>372</v>
      </c>
      <c r="D385" s="357" t="s">
        <v>304</v>
      </c>
      <c r="E385" s="357" t="s">
        <v>119</v>
      </c>
      <c r="F385" s="375" t="s">
        <v>92</v>
      </c>
      <c r="G385" s="376" t="s">
        <v>150</v>
      </c>
      <c r="H385" s="376" t="s">
        <v>90</v>
      </c>
      <c r="I385" s="913" t="s">
        <v>97</v>
      </c>
      <c r="J385" s="357"/>
      <c r="K385" s="377">
        <f>K386+K403+K399+K393+K401</f>
        <v>46471.200000000004</v>
      </c>
      <c r="L385" s="377">
        <f>L386+L403+L399+L393+L401+L391++L396+L405</f>
        <v>3756.5034599999999</v>
      </c>
      <c r="M385" s="377">
        <f>M386+M403+M399+M393+M401+M391++M396+M405</f>
        <v>50227.703460000004</v>
      </c>
    </row>
    <row r="386" spans="1:13" s="372" customFormat="1" ht="93.75" x14ac:dyDescent="0.3">
      <c r="A386" s="358"/>
      <c r="B386" s="373" t="s">
        <v>151</v>
      </c>
      <c r="C386" s="374" t="s">
        <v>372</v>
      </c>
      <c r="D386" s="357" t="s">
        <v>304</v>
      </c>
      <c r="E386" s="357" t="s">
        <v>119</v>
      </c>
      <c r="F386" s="375" t="s">
        <v>92</v>
      </c>
      <c r="G386" s="376" t="s">
        <v>150</v>
      </c>
      <c r="H386" s="376" t="s">
        <v>90</v>
      </c>
      <c r="I386" s="913" t="s">
        <v>153</v>
      </c>
      <c r="J386" s="357"/>
      <c r="K386" s="377">
        <f t="shared" ref="K386" si="110">SUM(K387:K390)</f>
        <v>45216.5</v>
      </c>
      <c r="L386" s="377">
        <f t="shared" ref="L386" si="111">SUM(L387:L390)</f>
        <v>0.70345999999999265</v>
      </c>
      <c r="M386" s="377">
        <f t="shared" ref="M386" si="112">SUM(M387:M390)</f>
        <v>45217.203460000004</v>
      </c>
    </row>
    <row r="387" spans="1:13" s="372" customFormat="1" ht="112.5" x14ac:dyDescent="0.3">
      <c r="A387" s="358"/>
      <c r="B387" s="373" t="s">
        <v>102</v>
      </c>
      <c r="C387" s="374" t="s">
        <v>372</v>
      </c>
      <c r="D387" s="357" t="s">
        <v>304</v>
      </c>
      <c r="E387" s="357" t="s">
        <v>119</v>
      </c>
      <c r="F387" s="375" t="s">
        <v>92</v>
      </c>
      <c r="G387" s="376" t="s">
        <v>150</v>
      </c>
      <c r="H387" s="376" t="s">
        <v>90</v>
      </c>
      <c r="I387" s="913" t="s">
        <v>153</v>
      </c>
      <c r="J387" s="357" t="s">
        <v>103</v>
      </c>
      <c r="K387" s="590">
        <f>23225.1+889.9</f>
        <v>24115</v>
      </c>
      <c r="L387" s="252">
        <f t="shared" ref="L387:L392" si="113">M387-K387</f>
        <v>33</v>
      </c>
      <c r="M387" s="590">
        <f>23225.1+889.9+33</f>
        <v>24148</v>
      </c>
    </row>
    <row r="388" spans="1:13" s="372" customFormat="1" ht="56.25" x14ac:dyDescent="0.3">
      <c r="A388" s="358"/>
      <c r="B388" s="373" t="s">
        <v>108</v>
      </c>
      <c r="C388" s="374" t="s">
        <v>372</v>
      </c>
      <c r="D388" s="357" t="s">
        <v>304</v>
      </c>
      <c r="E388" s="357" t="s">
        <v>119</v>
      </c>
      <c r="F388" s="375" t="s">
        <v>92</v>
      </c>
      <c r="G388" s="376" t="s">
        <v>150</v>
      </c>
      <c r="H388" s="376" t="s">
        <v>90</v>
      </c>
      <c r="I388" s="913" t="s">
        <v>153</v>
      </c>
      <c r="J388" s="357" t="s">
        <v>109</v>
      </c>
      <c r="K388" s="590">
        <f>1797+427.4</f>
        <v>2224.4</v>
      </c>
      <c r="L388" s="252">
        <f t="shared" si="113"/>
        <v>-33.096540000000005</v>
      </c>
      <c r="M388" s="590">
        <f>1797+427.4+0.70346-33.8</f>
        <v>2191.3034600000001</v>
      </c>
    </row>
    <row r="389" spans="1:13" s="372" customFormat="1" ht="56.25" x14ac:dyDescent="0.3">
      <c r="A389" s="358"/>
      <c r="B389" s="373" t="s">
        <v>135</v>
      </c>
      <c r="C389" s="374" t="s">
        <v>372</v>
      </c>
      <c r="D389" s="357" t="s">
        <v>304</v>
      </c>
      <c r="E389" s="357" t="s">
        <v>119</v>
      </c>
      <c r="F389" s="375" t="s">
        <v>92</v>
      </c>
      <c r="G389" s="376" t="s">
        <v>150</v>
      </c>
      <c r="H389" s="376" t="s">
        <v>90</v>
      </c>
      <c r="I389" s="913" t="s">
        <v>153</v>
      </c>
      <c r="J389" s="357" t="s">
        <v>136</v>
      </c>
      <c r="K389" s="590">
        <f>17777.5+1034.1</f>
        <v>18811.599999999999</v>
      </c>
      <c r="L389" s="252">
        <f t="shared" si="113"/>
        <v>0</v>
      </c>
      <c r="M389" s="590">
        <f>17777.5+1034.1</f>
        <v>18811.599999999999</v>
      </c>
    </row>
    <row r="390" spans="1:13" s="372" customFormat="1" ht="18.75" x14ac:dyDescent="0.3">
      <c r="A390" s="358"/>
      <c r="B390" s="373" t="s">
        <v>110</v>
      </c>
      <c r="C390" s="374" t="s">
        <v>372</v>
      </c>
      <c r="D390" s="357" t="s">
        <v>304</v>
      </c>
      <c r="E390" s="357" t="s">
        <v>119</v>
      </c>
      <c r="F390" s="375" t="s">
        <v>92</v>
      </c>
      <c r="G390" s="376" t="s">
        <v>150</v>
      </c>
      <c r="H390" s="376" t="s">
        <v>90</v>
      </c>
      <c r="I390" s="913" t="s">
        <v>153</v>
      </c>
      <c r="J390" s="357" t="s">
        <v>111</v>
      </c>
      <c r="K390" s="377">
        <v>65.5</v>
      </c>
      <c r="L390" s="252">
        <f t="shared" si="113"/>
        <v>0.79999999999999716</v>
      </c>
      <c r="M390" s="377">
        <f>65.5+0.8</f>
        <v>66.3</v>
      </c>
    </row>
    <row r="391" spans="1:13" s="887" customFormat="1" ht="37.5" x14ac:dyDescent="0.3">
      <c r="A391" s="879"/>
      <c r="B391" s="373" t="s">
        <v>619</v>
      </c>
      <c r="C391" s="374" t="s">
        <v>372</v>
      </c>
      <c r="D391" s="357" t="s">
        <v>304</v>
      </c>
      <c r="E391" s="357" t="s">
        <v>119</v>
      </c>
      <c r="F391" s="866" t="s">
        <v>92</v>
      </c>
      <c r="G391" s="867" t="s">
        <v>150</v>
      </c>
      <c r="H391" s="867" t="s">
        <v>90</v>
      </c>
      <c r="I391" s="883" t="s">
        <v>618</v>
      </c>
      <c r="J391" s="880"/>
      <c r="K391" s="884"/>
      <c r="L391" s="884">
        <f>L392</f>
        <v>39.700000000000003</v>
      </c>
      <c r="M391" s="884">
        <f>M392</f>
        <v>39.700000000000003</v>
      </c>
    </row>
    <row r="392" spans="1:13" s="887" customFormat="1" ht="56.25" x14ac:dyDescent="0.3">
      <c r="A392" s="879"/>
      <c r="B392" s="373" t="s">
        <v>108</v>
      </c>
      <c r="C392" s="374" t="s">
        <v>372</v>
      </c>
      <c r="D392" s="357" t="s">
        <v>304</v>
      </c>
      <c r="E392" s="357" t="s">
        <v>119</v>
      </c>
      <c r="F392" s="866" t="s">
        <v>92</v>
      </c>
      <c r="G392" s="867" t="s">
        <v>150</v>
      </c>
      <c r="H392" s="867" t="s">
        <v>90</v>
      </c>
      <c r="I392" s="883" t="s">
        <v>618</v>
      </c>
      <c r="J392" s="880" t="s">
        <v>109</v>
      </c>
      <c r="K392" s="884"/>
      <c r="L392" s="252">
        <f t="shared" si="113"/>
        <v>39.700000000000003</v>
      </c>
      <c r="M392" s="884">
        <v>39.700000000000003</v>
      </c>
    </row>
    <row r="393" spans="1:13" s="372" customFormat="1" ht="56.25" x14ac:dyDescent="0.3">
      <c r="A393" s="358"/>
      <c r="B393" s="373" t="s">
        <v>286</v>
      </c>
      <c r="C393" s="374" t="s">
        <v>372</v>
      </c>
      <c r="D393" s="357" t="s">
        <v>304</v>
      </c>
      <c r="E393" s="357" t="s">
        <v>119</v>
      </c>
      <c r="F393" s="375" t="s">
        <v>92</v>
      </c>
      <c r="G393" s="376" t="s">
        <v>150</v>
      </c>
      <c r="H393" s="376" t="s">
        <v>90</v>
      </c>
      <c r="I393" s="913" t="s">
        <v>379</v>
      </c>
      <c r="J393" s="357"/>
      <c r="K393" s="377">
        <f>SUM(K394:K395)</f>
        <v>970.8</v>
      </c>
      <c r="L393" s="377">
        <f>SUM(L394:L395)</f>
        <v>0</v>
      </c>
      <c r="M393" s="377">
        <f>SUM(M394:M395)</f>
        <v>970.8</v>
      </c>
    </row>
    <row r="394" spans="1:13" s="372" customFormat="1" ht="56.25" x14ac:dyDescent="0.3">
      <c r="A394" s="358"/>
      <c r="B394" s="373" t="s">
        <v>108</v>
      </c>
      <c r="C394" s="374" t="s">
        <v>372</v>
      </c>
      <c r="D394" s="357" t="s">
        <v>304</v>
      </c>
      <c r="E394" s="357" t="s">
        <v>119</v>
      </c>
      <c r="F394" s="375" t="s">
        <v>92</v>
      </c>
      <c r="G394" s="376" t="s">
        <v>150</v>
      </c>
      <c r="H394" s="376" t="s">
        <v>90</v>
      </c>
      <c r="I394" s="913" t="s">
        <v>379</v>
      </c>
      <c r="J394" s="357" t="s">
        <v>109</v>
      </c>
      <c r="K394" s="604">
        <f>460.9+81.8</f>
        <v>542.69999999999993</v>
      </c>
      <c r="L394" s="252">
        <f t="shared" ref="L394:L398" si="114">M394-K394</f>
        <v>0</v>
      </c>
      <c r="M394" s="604">
        <f>460.9+81.8</f>
        <v>542.69999999999993</v>
      </c>
    </row>
    <row r="395" spans="1:13" s="372" customFormat="1" ht="56.25" x14ac:dyDescent="0.3">
      <c r="A395" s="358"/>
      <c r="B395" s="456" t="s">
        <v>135</v>
      </c>
      <c r="C395" s="374" t="s">
        <v>372</v>
      </c>
      <c r="D395" s="357" t="s">
        <v>304</v>
      </c>
      <c r="E395" s="357" t="s">
        <v>119</v>
      </c>
      <c r="F395" s="375" t="s">
        <v>92</v>
      </c>
      <c r="G395" s="376" t="s">
        <v>150</v>
      </c>
      <c r="H395" s="376" t="s">
        <v>90</v>
      </c>
      <c r="I395" s="913" t="s">
        <v>379</v>
      </c>
      <c r="J395" s="357" t="s">
        <v>136</v>
      </c>
      <c r="K395" s="604">
        <f>344.6+83.5</f>
        <v>428.1</v>
      </c>
      <c r="L395" s="252">
        <f t="shared" si="114"/>
        <v>0</v>
      </c>
      <c r="M395" s="604">
        <f>344.6+83.5</f>
        <v>428.1</v>
      </c>
    </row>
    <row r="396" spans="1:13" s="887" customFormat="1" ht="37.5" x14ac:dyDescent="0.3">
      <c r="A396" s="879"/>
      <c r="B396" s="373" t="s">
        <v>287</v>
      </c>
      <c r="C396" s="374" t="s">
        <v>372</v>
      </c>
      <c r="D396" s="357" t="s">
        <v>304</v>
      </c>
      <c r="E396" s="357" t="s">
        <v>119</v>
      </c>
      <c r="F396" s="866" t="s">
        <v>92</v>
      </c>
      <c r="G396" s="867" t="s">
        <v>150</v>
      </c>
      <c r="H396" s="867" t="s">
        <v>90</v>
      </c>
      <c r="I396" s="883" t="s">
        <v>380</v>
      </c>
      <c r="J396" s="880"/>
      <c r="K396" s="884"/>
      <c r="L396" s="884">
        <f>L397+L398</f>
        <v>138.9</v>
      </c>
      <c r="M396" s="884">
        <f>M397+M398</f>
        <v>138.9</v>
      </c>
    </row>
    <row r="397" spans="1:13" s="887" customFormat="1" ht="56.25" x14ac:dyDescent="0.3">
      <c r="A397" s="879"/>
      <c r="B397" s="373" t="s">
        <v>108</v>
      </c>
      <c r="C397" s="374" t="s">
        <v>372</v>
      </c>
      <c r="D397" s="357" t="s">
        <v>304</v>
      </c>
      <c r="E397" s="357" t="s">
        <v>119</v>
      </c>
      <c r="F397" s="866" t="s">
        <v>92</v>
      </c>
      <c r="G397" s="867" t="s">
        <v>150</v>
      </c>
      <c r="H397" s="867" t="s">
        <v>90</v>
      </c>
      <c r="I397" s="883" t="s">
        <v>380</v>
      </c>
      <c r="J397" s="880" t="s">
        <v>109</v>
      </c>
      <c r="K397" s="884"/>
      <c r="L397" s="252">
        <f t="shared" si="114"/>
        <v>70</v>
      </c>
      <c r="M397" s="884">
        <v>70</v>
      </c>
    </row>
    <row r="398" spans="1:13" s="887" customFormat="1" ht="56.25" x14ac:dyDescent="0.3">
      <c r="A398" s="879"/>
      <c r="B398" s="373" t="s">
        <v>282</v>
      </c>
      <c r="C398" s="374" t="s">
        <v>372</v>
      </c>
      <c r="D398" s="357" t="s">
        <v>304</v>
      </c>
      <c r="E398" s="357" t="s">
        <v>119</v>
      </c>
      <c r="F398" s="877" t="s">
        <v>92</v>
      </c>
      <c r="G398" s="878" t="s">
        <v>150</v>
      </c>
      <c r="H398" s="878" t="s">
        <v>90</v>
      </c>
      <c r="I398" s="883" t="s">
        <v>380</v>
      </c>
      <c r="J398" s="880" t="s">
        <v>283</v>
      </c>
      <c r="K398" s="884"/>
      <c r="L398" s="252">
        <f t="shared" si="114"/>
        <v>68.900000000000006</v>
      </c>
      <c r="M398" s="884">
        <v>68.900000000000006</v>
      </c>
    </row>
    <row r="399" spans="1:13" s="372" customFormat="1" ht="75" x14ac:dyDescent="0.3">
      <c r="A399" s="358"/>
      <c r="B399" s="373" t="s">
        <v>288</v>
      </c>
      <c r="C399" s="374" t="s">
        <v>372</v>
      </c>
      <c r="D399" s="357" t="s">
        <v>304</v>
      </c>
      <c r="E399" s="357" t="s">
        <v>119</v>
      </c>
      <c r="F399" s="375" t="s">
        <v>92</v>
      </c>
      <c r="G399" s="376" t="s">
        <v>150</v>
      </c>
      <c r="H399" s="376" t="s">
        <v>90</v>
      </c>
      <c r="I399" s="558" t="s">
        <v>381</v>
      </c>
      <c r="J399" s="357"/>
      <c r="K399" s="377">
        <f>SUM(K400:K400)</f>
        <v>7.5</v>
      </c>
      <c r="L399" s="377">
        <f>SUM(L400:L400)</f>
        <v>0</v>
      </c>
      <c r="M399" s="377">
        <f>SUM(M400:M400)</f>
        <v>7.5</v>
      </c>
    </row>
    <row r="400" spans="1:13" s="372" customFormat="1" ht="56.25" x14ac:dyDescent="0.3">
      <c r="A400" s="358"/>
      <c r="B400" s="373" t="s">
        <v>135</v>
      </c>
      <c r="C400" s="374" t="s">
        <v>372</v>
      </c>
      <c r="D400" s="357" t="s">
        <v>304</v>
      </c>
      <c r="E400" s="357" t="s">
        <v>119</v>
      </c>
      <c r="F400" s="375" t="s">
        <v>92</v>
      </c>
      <c r="G400" s="376" t="s">
        <v>150</v>
      </c>
      <c r="H400" s="376" t="s">
        <v>90</v>
      </c>
      <c r="I400" s="558" t="s">
        <v>381</v>
      </c>
      <c r="J400" s="357" t="s">
        <v>136</v>
      </c>
      <c r="K400" s="377">
        <v>7.5</v>
      </c>
      <c r="L400" s="252">
        <f>M400-K400</f>
        <v>0</v>
      </c>
      <c r="M400" s="377">
        <v>7.5</v>
      </c>
    </row>
    <row r="401" spans="1:15" s="372" customFormat="1" ht="206.25" x14ac:dyDescent="0.3">
      <c r="A401" s="358"/>
      <c r="B401" s="373" t="s">
        <v>700</v>
      </c>
      <c r="C401" s="374" t="s">
        <v>372</v>
      </c>
      <c r="D401" s="357" t="s">
        <v>304</v>
      </c>
      <c r="E401" s="357" t="s">
        <v>119</v>
      </c>
      <c r="F401" s="347" t="s">
        <v>92</v>
      </c>
      <c r="G401" s="509" t="s">
        <v>150</v>
      </c>
      <c r="H401" s="509" t="s">
        <v>90</v>
      </c>
      <c r="I401" s="914" t="s">
        <v>699</v>
      </c>
      <c r="J401" s="100"/>
      <c r="K401" s="377">
        <f t="shared" ref="K401:M401" si="115">K402</f>
        <v>125</v>
      </c>
      <c r="L401" s="377">
        <f t="shared" si="115"/>
        <v>0</v>
      </c>
      <c r="M401" s="377">
        <f t="shared" si="115"/>
        <v>125</v>
      </c>
    </row>
    <row r="402" spans="1:15" s="372" customFormat="1" ht="112.5" x14ac:dyDescent="0.3">
      <c r="A402" s="358"/>
      <c r="B402" s="373" t="s">
        <v>102</v>
      </c>
      <c r="C402" s="374" t="s">
        <v>372</v>
      </c>
      <c r="D402" s="357" t="s">
        <v>304</v>
      </c>
      <c r="E402" s="357" t="s">
        <v>119</v>
      </c>
      <c r="F402" s="347" t="s">
        <v>92</v>
      </c>
      <c r="G402" s="512" t="s">
        <v>150</v>
      </c>
      <c r="H402" s="512" t="s">
        <v>90</v>
      </c>
      <c r="I402" s="914" t="s">
        <v>699</v>
      </c>
      <c r="J402" s="100" t="s">
        <v>103</v>
      </c>
      <c r="K402" s="252">
        <v>125</v>
      </c>
      <c r="L402" s="252">
        <f>M402-K402</f>
        <v>0</v>
      </c>
      <c r="M402" s="252">
        <v>125</v>
      </c>
    </row>
    <row r="403" spans="1:15" s="372" customFormat="1" ht="206.25" x14ac:dyDescent="0.3">
      <c r="A403" s="358"/>
      <c r="B403" s="373" t="s">
        <v>374</v>
      </c>
      <c r="C403" s="374" t="s">
        <v>372</v>
      </c>
      <c r="D403" s="357" t="s">
        <v>304</v>
      </c>
      <c r="E403" s="357" t="s">
        <v>119</v>
      </c>
      <c r="F403" s="375" t="s">
        <v>92</v>
      </c>
      <c r="G403" s="376" t="s">
        <v>150</v>
      </c>
      <c r="H403" s="376" t="s">
        <v>90</v>
      </c>
      <c r="I403" s="913" t="s">
        <v>375</v>
      </c>
      <c r="J403" s="357"/>
      <c r="K403" s="377">
        <f>K404</f>
        <v>151.4</v>
      </c>
      <c r="L403" s="377">
        <f>L404</f>
        <v>0</v>
      </c>
      <c r="M403" s="377">
        <f>M404</f>
        <v>151.4</v>
      </c>
    </row>
    <row r="404" spans="1:15" s="372" customFormat="1" ht="112.5" x14ac:dyDescent="0.3">
      <c r="A404" s="358"/>
      <c r="B404" s="373" t="s">
        <v>102</v>
      </c>
      <c r="C404" s="374" t="s">
        <v>372</v>
      </c>
      <c r="D404" s="357" t="s">
        <v>304</v>
      </c>
      <c r="E404" s="357" t="s">
        <v>119</v>
      </c>
      <c r="F404" s="375" t="s">
        <v>92</v>
      </c>
      <c r="G404" s="376" t="s">
        <v>150</v>
      </c>
      <c r="H404" s="376" t="s">
        <v>90</v>
      </c>
      <c r="I404" s="913" t="s">
        <v>375</v>
      </c>
      <c r="J404" s="357" t="s">
        <v>103</v>
      </c>
      <c r="K404" s="604">
        <f>185-33.6</f>
        <v>151.4</v>
      </c>
      <c r="L404" s="252">
        <f>M404-K404</f>
        <v>0</v>
      </c>
      <c r="M404" s="604">
        <f>185-33.6</f>
        <v>151.4</v>
      </c>
    </row>
    <row r="405" spans="1:15" s="887" customFormat="1" ht="131.25" x14ac:dyDescent="0.3">
      <c r="A405" s="879"/>
      <c r="B405" s="373" t="s">
        <v>503</v>
      </c>
      <c r="C405" s="374" t="s">
        <v>372</v>
      </c>
      <c r="D405" s="357" t="s">
        <v>304</v>
      </c>
      <c r="E405" s="357" t="s">
        <v>119</v>
      </c>
      <c r="F405" s="877" t="s">
        <v>92</v>
      </c>
      <c r="G405" s="878" t="s">
        <v>150</v>
      </c>
      <c r="H405" s="878" t="s">
        <v>90</v>
      </c>
      <c r="I405" s="883" t="s">
        <v>376</v>
      </c>
      <c r="J405" s="880"/>
      <c r="K405" s="884"/>
      <c r="L405" s="884">
        <f>L406</f>
        <v>3577.2</v>
      </c>
      <c r="M405" s="884">
        <f>M406</f>
        <v>3577.2</v>
      </c>
    </row>
    <row r="406" spans="1:15" s="887" customFormat="1" ht="56.25" x14ac:dyDescent="0.3">
      <c r="A406" s="879"/>
      <c r="B406" s="373" t="s">
        <v>135</v>
      </c>
      <c r="C406" s="374" t="s">
        <v>372</v>
      </c>
      <c r="D406" s="357" t="s">
        <v>304</v>
      </c>
      <c r="E406" s="357" t="s">
        <v>119</v>
      </c>
      <c r="F406" s="877" t="s">
        <v>92</v>
      </c>
      <c r="G406" s="878" t="s">
        <v>150</v>
      </c>
      <c r="H406" s="878" t="s">
        <v>90</v>
      </c>
      <c r="I406" s="883" t="s">
        <v>376</v>
      </c>
      <c r="J406" s="880" t="s">
        <v>136</v>
      </c>
      <c r="K406" s="884"/>
      <c r="L406" s="252">
        <f>M406-K406</f>
        <v>3577.2</v>
      </c>
      <c r="M406" s="884">
        <v>3577.2</v>
      </c>
    </row>
    <row r="407" spans="1:15" s="372" customFormat="1" ht="18.75" x14ac:dyDescent="0.3">
      <c r="A407" s="358"/>
      <c r="B407" s="373" t="s">
        <v>518</v>
      </c>
      <c r="C407" s="374" t="s">
        <v>372</v>
      </c>
      <c r="D407" s="357" t="s">
        <v>304</v>
      </c>
      <c r="E407" s="357" t="s">
        <v>304</v>
      </c>
      <c r="F407" s="375"/>
      <c r="G407" s="376"/>
      <c r="H407" s="376"/>
      <c r="I407" s="913"/>
      <c r="J407" s="357"/>
      <c r="K407" s="377">
        <f>K408</f>
        <v>4003.6</v>
      </c>
      <c r="L407" s="377">
        <f>L408</f>
        <v>1062.5</v>
      </c>
      <c r="M407" s="377">
        <f>M408</f>
        <v>5066.1000000000004</v>
      </c>
    </row>
    <row r="408" spans="1:15" s="372" customFormat="1" ht="56.25" x14ac:dyDescent="0.3">
      <c r="A408" s="358"/>
      <c r="B408" s="373" t="s">
        <v>284</v>
      </c>
      <c r="C408" s="374" t="s">
        <v>372</v>
      </c>
      <c r="D408" s="357" t="s">
        <v>304</v>
      </c>
      <c r="E408" s="357" t="s">
        <v>304</v>
      </c>
      <c r="F408" s="375" t="s">
        <v>92</v>
      </c>
      <c r="G408" s="376" t="s">
        <v>95</v>
      </c>
      <c r="H408" s="376" t="s">
        <v>96</v>
      </c>
      <c r="I408" s="913" t="s">
        <v>97</v>
      </c>
      <c r="J408" s="357"/>
      <c r="K408" s="377">
        <f t="shared" ref="K408:M409" si="116">K409</f>
        <v>4003.6</v>
      </c>
      <c r="L408" s="377">
        <f t="shared" si="116"/>
        <v>1062.5</v>
      </c>
      <c r="M408" s="377">
        <f t="shared" si="116"/>
        <v>5066.1000000000004</v>
      </c>
    </row>
    <row r="409" spans="1:15" s="372" customFormat="1" ht="56.25" x14ac:dyDescent="0.3">
      <c r="A409" s="358"/>
      <c r="B409" s="373" t="s">
        <v>292</v>
      </c>
      <c r="C409" s="374" t="s">
        <v>372</v>
      </c>
      <c r="D409" s="357" t="s">
        <v>304</v>
      </c>
      <c r="E409" s="357" t="s">
        <v>304</v>
      </c>
      <c r="F409" s="375" t="s">
        <v>92</v>
      </c>
      <c r="G409" s="376" t="s">
        <v>83</v>
      </c>
      <c r="H409" s="376" t="s">
        <v>96</v>
      </c>
      <c r="I409" s="913" t="s">
        <v>97</v>
      </c>
      <c r="J409" s="357"/>
      <c r="K409" s="377">
        <f t="shared" si="116"/>
        <v>4003.6</v>
      </c>
      <c r="L409" s="377">
        <f t="shared" si="116"/>
        <v>1062.5</v>
      </c>
      <c r="M409" s="377">
        <f t="shared" si="116"/>
        <v>5066.1000000000004</v>
      </c>
    </row>
    <row r="410" spans="1:15" s="372" customFormat="1" ht="56.25" x14ac:dyDescent="0.3">
      <c r="A410" s="358"/>
      <c r="B410" s="373" t="s">
        <v>388</v>
      </c>
      <c r="C410" s="374" t="s">
        <v>372</v>
      </c>
      <c r="D410" s="357" t="s">
        <v>304</v>
      </c>
      <c r="E410" s="357" t="s">
        <v>304</v>
      </c>
      <c r="F410" s="375" t="s">
        <v>92</v>
      </c>
      <c r="G410" s="376" t="s">
        <v>83</v>
      </c>
      <c r="H410" s="376" t="s">
        <v>92</v>
      </c>
      <c r="I410" s="913" t="s">
        <v>97</v>
      </c>
      <c r="J410" s="357"/>
      <c r="K410" s="377">
        <f>K414</f>
        <v>4003.6</v>
      </c>
      <c r="L410" s="377">
        <f>L414+L411</f>
        <v>1062.5</v>
      </c>
      <c r="M410" s="377">
        <f>M414+M411</f>
        <v>5066.1000000000004</v>
      </c>
    </row>
    <row r="411" spans="1:15" s="887" customFormat="1" ht="37.5" x14ac:dyDescent="0.3">
      <c r="A411" s="879"/>
      <c r="B411" s="373" t="s">
        <v>827</v>
      </c>
      <c r="C411" s="917" t="s">
        <v>372</v>
      </c>
      <c r="D411" s="880" t="s">
        <v>304</v>
      </c>
      <c r="E411" s="880" t="s">
        <v>304</v>
      </c>
      <c r="F411" s="881" t="s">
        <v>92</v>
      </c>
      <c r="G411" s="882" t="s">
        <v>83</v>
      </c>
      <c r="H411" s="882" t="s">
        <v>92</v>
      </c>
      <c r="I411" s="883" t="s">
        <v>826</v>
      </c>
      <c r="J411" s="880"/>
      <c r="K411" s="884"/>
      <c r="L411" s="884">
        <f>L412+L413</f>
        <v>1062.5</v>
      </c>
      <c r="M411" s="884">
        <f>M412+M413</f>
        <v>1062.5</v>
      </c>
    </row>
    <row r="412" spans="1:15" s="887" customFormat="1" ht="56.25" x14ac:dyDescent="0.3">
      <c r="A412" s="879"/>
      <c r="B412" s="373" t="s">
        <v>108</v>
      </c>
      <c r="C412" s="917" t="s">
        <v>372</v>
      </c>
      <c r="D412" s="880" t="s">
        <v>304</v>
      </c>
      <c r="E412" s="880" t="s">
        <v>304</v>
      </c>
      <c r="F412" s="881" t="s">
        <v>92</v>
      </c>
      <c r="G412" s="882" t="s">
        <v>83</v>
      </c>
      <c r="H412" s="882" t="s">
        <v>92</v>
      </c>
      <c r="I412" s="883" t="s">
        <v>826</v>
      </c>
      <c r="J412" s="880" t="s">
        <v>109</v>
      </c>
      <c r="K412" s="884"/>
      <c r="L412" s="884">
        <f t="shared" ref="L412:L413" si="117">M412-K412</f>
        <v>652.79999999999995</v>
      </c>
      <c r="M412" s="884">
        <v>652.79999999999995</v>
      </c>
    </row>
    <row r="413" spans="1:15" s="887" customFormat="1" ht="56.25" x14ac:dyDescent="0.3">
      <c r="A413" s="879"/>
      <c r="B413" s="232" t="s">
        <v>135</v>
      </c>
      <c r="C413" s="917" t="s">
        <v>372</v>
      </c>
      <c r="D413" s="880" t="s">
        <v>304</v>
      </c>
      <c r="E413" s="880" t="s">
        <v>304</v>
      </c>
      <c r="F413" s="881" t="s">
        <v>92</v>
      </c>
      <c r="G413" s="882" t="s">
        <v>83</v>
      </c>
      <c r="H413" s="882" t="s">
        <v>92</v>
      </c>
      <c r="I413" s="883" t="s">
        <v>826</v>
      </c>
      <c r="J413" s="880" t="s">
        <v>136</v>
      </c>
      <c r="K413" s="884"/>
      <c r="L413" s="884">
        <f t="shared" si="117"/>
        <v>409.7</v>
      </c>
      <c r="M413" s="884">
        <v>409.7</v>
      </c>
    </row>
    <row r="414" spans="1:15" s="372" customFormat="1" ht="56.25" x14ac:dyDescent="0.3">
      <c r="A414" s="358"/>
      <c r="B414" s="373" t="s">
        <v>506</v>
      </c>
      <c r="C414" s="374" t="s">
        <v>372</v>
      </c>
      <c r="D414" s="357" t="s">
        <v>304</v>
      </c>
      <c r="E414" s="357" t="s">
        <v>304</v>
      </c>
      <c r="F414" s="375" t="s">
        <v>92</v>
      </c>
      <c r="G414" s="376" t="s">
        <v>83</v>
      </c>
      <c r="H414" s="376" t="s">
        <v>92</v>
      </c>
      <c r="I414" s="913" t="s">
        <v>642</v>
      </c>
      <c r="J414" s="357"/>
      <c r="K414" s="377">
        <f t="shared" ref="K414:M414" si="118">K415</f>
        <v>4003.6</v>
      </c>
      <c r="L414" s="377">
        <f t="shared" si="118"/>
        <v>0</v>
      </c>
      <c r="M414" s="377">
        <f t="shared" si="118"/>
        <v>4003.6</v>
      </c>
    </row>
    <row r="415" spans="1:15" s="372" customFormat="1" ht="56.25" x14ac:dyDescent="0.3">
      <c r="A415" s="358"/>
      <c r="B415" s="373" t="s">
        <v>135</v>
      </c>
      <c r="C415" s="374" t="s">
        <v>372</v>
      </c>
      <c r="D415" s="357" t="s">
        <v>304</v>
      </c>
      <c r="E415" s="357" t="s">
        <v>304</v>
      </c>
      <c r="F415" s="375" t="s">
        <v>92</v>
      </c>
      <c r="G415" s="376" t="s">
        <v>83</v>
      </c>
      <c r="H415" s="376" t="s">
        <v>92</v>
      </c>
      <c r="I415" s="913" t="s">
        <v>642</v>
      </c>
      <c r="J415" s="357" t="s">
        <v>136</v>
      </c>
      <c r="K415" s="377">
        <v>4003.6</v>
      </c>
      <c r="L415" s="252">
        <f>M415-K415</f>
        <v>0</v>
      </c>
      <c r="M415" s="377">
        <v>4003.6</v>
      </c>
    </row>
    <row r="416" spans="1:15" s="372" customFormat="1" ht="18.75" x14ac:dyDescent="0.3">
      <c r="A416" s="358"/>
      <c r="B416" s="373" t="s">
        <v>261</v>
      </c>
      <c r="C416" s="374" t="s">
        <v>372</v>
      </c>
      <c r="D416" s="357" t="s">
        <v>304</v>
      </c>
      <c r="E416" s="357" t="s">
        <v>139</v>
      </c>
      <c r="F416" s="375"/>
      <c r="G416" s="376"/>
      <c r="H416" s="376"/>
      <c r="I416" s="913"/>
      <c r="J416" s="357"/>
      <c r="K416" s="377">
        <f t="shared" ref="K416:L416" si="119">K417</f>
        <v>41538.699999999997</v>
      </c>
      <c r="L416" s="377">
        <f t="shared" si="119"/>
        <v>1.5483100000001286</v>
      </c>
      <c r="M416" s="377">
        <f>M417+0.02</f>
        <v>41540.268309999992</v>
      </c>
      <c r="O416" s="378">
        <v>0.02</v>
      </c>
    </row>
    <row r="417" spans="1:13" s="372" customFormat="1" ht="56.25" x14ac:dyDescent="0.3">
      <c r="A417" s="358"/>
      <c r="B417" s="373" t="s">
        <v>284</v>
      </c>
      <c r="C417" s="374" t="s">
        <v>372</v>
      </c>
      <c r="D417" s="357" t="s">
        <v>304</v>
      </c>
      <c r="E417" s="357" t="s">
        <v>139</v>
      </c>
      <c r="F417" s="375" t="s">
        <v>92</v>
      </c>
      <c r="G417" s="376" t="s">
        <v>95</v>
      </c>
      <c r="H417" s="376" t="s">
        <v>96</v>
      </c>
      <c r="I417" s="913" t="s">
        <v>97</v>
      </c>
      <c r="J417" s="357"/>
      <c r="K417" s="377">
        <f t="shared" ref="K417" si="120">K421+K418</f>
        <v>41538.699999999997</v>
      </c>
      <c r="L417" s="377">
        <f t="shared" ref="L417:M417" si="121">L421+L418</f>
        <v>1.5483100000001286</v>
      </c>
      <c r="M417" s="377">
        <f t="shared" si="121"/>
        <v>41540.248309999995</v>
      </c>
    </row>
    <row r="418" spans="1:13" s="372" customFormat="1" ht="18.75" x14ac:dyDescent="0.3">
      <c r="A418" s="358"/>
      <c r="B418" s="373" t="s">
        <v>384</v>
      </c>
      <c r="C418" s="374" t="s">
        <v>372</v>
      </c>
      <c r="D418" s="357" t="s">
        <v>304</v>
      </c>
      <c r="E418" s="357" t="s">
        <v>139</v>
      </c>
      <c r="F418" s="375" t="s">
        <v>92</v>
      </c>
      <c r="G418" s="376" t="s">
        <v>150</v>
      </c>
      <c r="H418" s="376" t="s">
        <v>92</v>
      </c>
      <c r="I418" s="913" t="s">
        <v>97</v>
      </c>
      <c r="J418" s="357"/>
      <c r="K418" s="377">
        <f t="shared" ref="K418:M419" si="122">K419</f>
        <v>9</v>
      </c>
      <c r="L418" s="377">
        <f t="shared" si="122"/>
        <v>0</v>
      </c>
      <c r="M418" s="377">
        <f t="shared" si="122"/>
        <v>9</v>
      </c>
    </row>
    <row r="419" spans="1:13" s="372" customFormat="1" ht="56.25" x14ac:dyDescent="0.3">
      <c r="A419" s="358"/>
      <c r="B419" s="373" t="s">
        <v>385</v>
      </c>
      <c r="C419" s="374" t="s">
        <v>372</v>
      </c>
      <c r="D419" s="357" t="s">
        <v>304</v>
      </c>
      <c r="E419" s="357" t="s">
        <v>139</v>
      </c>
      <c r="F419" s="375" t="s">
        <v>92</v>
      </c>
      <c r="G419" s="376" t="s">
        <v>150</v>
      </c>
      <c r="H419" s="376" t="s">
        <v>92</v>
      </c>
      <c r="I419" s="913" t="s">
        <v>386</v>
      </c>
      <c r="J419" s="357"/>
      <c r="K419" s="377">
        <f t="shared" si="122"/>
        <v>9</v>
      </c>
      <c r="L419" s="377">
        <f t="shared" si="122"/>
        <v>0</v>
      </c>
      <c r="M419" s="377">
        <f t="shared" si="122"/>
        <v>9</v>
      </c>
    </row>
    <row r="420" spans="1:13" s="372" customFormat="1" ht="37.5" x14ac:dyDescent="0.3">
      <c r="A420" s="358"/>
      <c r="B420" s="373" t="s">
        <v>183</v>
      </c>
      <c r="C420" s="374" t="s">
        <v>372</v>
      </c>
      <c r="D420" s="357" t="s">
        <v>304</v>
      </c>
      <c r="E420" s="357" t="s">
        <v>139</v>
      </c>
      <c r="F420" s="375" t="s">
        <v>92</v>
      </c>
      <c r="G420" s="376" t="s">
        <v>150</v>
      </c>
      <c r="H420" s="376" t="s">
        <v>92</v>
      </c>
      <c r="I420" s="913" t="s">
        <v>386</v>
      </c>
      <c r="J420" s="357" t="s">
        <v>184</v>
      </c>
      <c r="K420" s="377">
        <v>9</v>
      </c>
      <c r="L420" s="252">
        <f>M420-K420</f>
        <v>0</v>
      </c>
      <c r="M420" s="377">
        <v>9</v>
      </c>
    </row>
    <row r="421" spans="1:13" s="372" customFormat="1" ht="56.25" x14ac:dyDescent="0.3">
      <c r="A421" s="358"/>
      <c r="B421" s="373" t="s">
        <v>292</v>
      </c>
      <c r="C421" s="374" t="s">
        <v>372</v>
      </c>
      <c r="D421" s="357" t="s">
        <v>304</v>
      </c>
      <c r="E421" s="357" t="s">
        <v>139</v>
      </c>
      <c r="F421" s="375" t="s">
        <v>92</v>
      </c>
      <c r="G421" s="376" t="s">
        <v>83</v>
      </c>
      <c r="H421" s="376" t="s">
        <v>96</v>
      </c>
      <c r="I421" s="913" t="s">
        <v>97</v>
      </c>
      <c r="J421" s="357"/>
      <c r="K421" s="377">
        <f t="shared" ref="K421:M421" si="123">K422</f>
        <v>41529.699999999997</v>
      </c>
      <c r="L421" s="377">
        <f t="shared" si="123"/>
        <v>1.5483100000001286</v>
      </c>
      <c r="M421" s="377">
        <f t="shared" si="123"/>
        <v>41531.248309999995</v>
      </c>
    </row>
    <row r="422" spans="1:13" s="372" customFormat="1" ht="37.5" x14ac:dyDescent="0.3">
      <c r="A422" s="358"/>
      <c r="B422" s="373" t="s">
        <v>389</v>
      </c>
      <c r="C422" s="374" t="s">
        <v>372</v>
      </c>
      <c r="D422" s="357" t="s">
        <v>304</v>
      </c>
      <c r="E422" s="357" t="s">
        <v>139</v>
      </c>
      <c r="F422" s="375" t="s">
        <v>92</v>
      </c>
      <c r="G422" s="376" t="s">
        <v>83</v>
      </c>
      <c r="H422" s="376" t="s">
        <v>90</v>
      </c>
      <c r="I422" s="913" t="s">
        <v>97</v>
      </c>
      <c r="J422" s="357"/>
      <c r="K422" s="377">
        <f>K423+K427+K431</f>
        <v>41529.699999999997</v>
      </c>
      <c r="L422" s="377">
        <f>L423+L427+L431</f>
        <v>1.5483100000001286</v>
      </c>
      <c r="M422" s="377">
        <f>M423+M427+M431</f>
        <v>41531.248309999995</v>
      </c>
    </row>
    <row r="423" spans="1:13" s="372" customFormat="1" ht="37.5" x14ac:dyDescent="0.3">
      <c r="A423" s="358"/>
      <c r="B423" s="373" t="s">
        <v>100</v>
      </c>
      <c r="C423" s="374" t="s">
        <v>372</v>
      </c>
      <c r="D423" s="357" t="s">
        <v>304</v>
      </c>
      <c r="E423" s="357" t="s">
        <v>139</v>
      </c>
      <c r="F423" s="375" t="s">
        <v>92</v>
      </c>
      <c r="G423" s="376" t="s">
        <v>83</v>
      </c>
      <c r="H423" s="376" t="s">
        <v>90</v>
      </c>
      <c r="I423" s="913" t="s">
        <v>101</v>
      </c>
      <c r="J423" s="357"/>
      <c r="K423" s="377">
        <f t="shared" ref="K423" si="124">K424+K425+K426</f>
        <v>8562.3000000000011</v>
      </c>
      <c r="L423" s="377">
        <f t="shared" ref="L423:M423" si="125">L424+L425+L426</f>
        <v>0.1230199999999968</v>
      </c>
      <c r="M423" s="377">
        <f t="shared" si="125"/>
        <v>8562.423020000002</v>
      </c>
    </row>
    <row r="424" spans="1:13" s="372" customFormat="1" ht="112.5" x14ac:dyDescent="0.3">
      <c r="A424" s="358"/>
      <c r="B424" s="373" t="s">
        <v>102</v>
      </c>
      <c r="C424" s="374" t="s">
        <v>372</v>
      </c>
      <c r="D424" s="357" t="s">
        <v>304</v>
      </c>
      <c r="E424" s="357" t="s">
        <v>139</v>
      </c>
      <c r="F424" s="375" t="s">
        <v>92</v>
      </c>
      <c r="G424" s="376" t="s">
        <v>83</v>
      </c>
      <c r="H424" s="376" t="s">
        <v>90</v>
      </c>
      <c r="I424" s="913" t="s">
        <v>101</v>
      </c>
      <c r="J424" s="357" t="s">
        <v>103</v>
      </c>
      <c r="K424" s="377">
        <v>7867.1</v>
      </c>
      <c r="L424" s="252">
        <f t="shared" ref="L424:L426" si="126">M424-K424</f>
        <v>0</v>
      </c>
      <c r="M424" s="377">
        <v>7867.1</v>
      </c>
    </row>
    <row r="425" spans="1:13" s="372" customFormat="1" ht="56.25" x14ac:dyDescent="0.3">
      <c r="A425" s="358"/>
      <c r="B425" s="373" t="s">
        <v>108</v>
      </c>
      <c r="C425" s="374" t="s">
        <v>372</v>
      </c>
      <c r="D425" s="357" t="s">
        <v>304</v>
      </c>
      <c r="E425" s="357" t="s">
        <v>139</v>
      </c>
      <c r="F425" s="375" t="s">
        <v>92</v>
      </c>
      <c r="G425" s="376" t="s">
        <v>83</v>
      </c>
      <c r="H425" s="376" t="s">
        <v>90</v>
      </c>
      <c r="I425" s="913" t="s">
        <v>101</v>
      </c>
      <c r="J425" s="357" t="s">
        <v>109</v>
      </c>
      <c r="K425" s="590">
        <f>627+50</f>
        <v>677</v>
      </c>
      <c r="L425" s="252">
        <f t="shared" si="126"/>
        <v>0.1230199999999968</v>
      </c>
      <c r="M425" s="590">
        <f>627+50+0.12302</f>
        <v>677.12302</v>
      </c>
    </row>
    <row r="426" spans="1:13" s="372" customFormat="1" ht="18.75" x14ac:dyDescent="0.3">
      <c r="A426" s="358"/>
      <c r="B426" s="373" t="s">
        <v>110</v>
      </c>
      <c r="C426" s="374" t="s">
        <v>372</v>
      </c>
      <c r="D426" s="357" t="s">
        <v>304</v>
      </c>
      <c r="E426" s="357" t="s">
        <v>139</v>
      </c>
      <c r="F426" s="375" t="s">
        <v>92</v>
      </c>
      <c r="G426" s="376" t="s">
        <v>83</v>
      </c>
      <c r="H426" s="376" t="s">
        <v>90</v>
      </c>
      <c r="I426" s="913" t="s">
        <v>101</v>
      </c>
      <c r="J426" s="357" t="s">
        <v>111</v>
      </c>
      <c r="K426" s="377">
        <v>18.2</v>
      </c>
      <c r="L426" s="252">
        <f t="shared" si="126"/>
        <v>0</v>
      </c>
      <c r="M426" s="377">
        <v>18.2</v>
      </c>
    </row>
    <row r="427" spans="1:13" s="372" customFormat="1" ht="93.75" x14ac:dyDescent="0.3">
      <c r="A427" s="358"/>
      <c r="B427" s="373" t="s">
        <v>151</v>
      </c>
      <c r="C427" s="374" t="s">
        <v>372</v>
      </c>
      <c r="D427" s="357" t="s">
        <v>304</v>
      </c>
      <c r="E427" s="357" t="s">
        <v>139</v>
      </c>
      <c r="F427" s="375" t="s">
        <v>92</v>
      </c>
      <c r="G427" s="376" t="s">
        <v>83</v>
      </c>
      <c r="H427" s="376" t="s">
        <v>90</v>
      </c>
      <c r="I427" s="913" t="s">
        <v>153</v>
      </c>
      <c r="J427" s="357"/>
      <c r="K427" s="377">
        <f>K428+K429+K430</f>
        <v>27204.2</v>
      </c>
      <c r="L427" s="377">
        <f>L428+L429+L430</f>
        <v>1.4252900000001318</v>
      </c>
      <c r="M427" s="377">
        <f>M428+M429+M430</f>
        <v>27205.62529</v>
      </c>
    </row>
    <row r="428" spans="1:13" s="372" customFormat="1" ht="112.5" x14ac:dyDescent="0.3">
      <c r="A428" s="358"/>
      <c r="B428" s="373" t="s">
        <v>102</v>
      </c>
      <c r="C428" s="374" t="s">
        <v>372</v>
      </c>
      <c r="D428" s="357" t="s">
        <v>304</v>
      </c>
      <c r="E428" s="357" t="s">
        <v>139</v>
      </c>
      <c r="F428" s="375" t="s">
        <v>92</v>
      </c>
      <c r="G428" s="376" t="s">
        <v>83</v>
      </c>
      <c r="H428" s="376" t="s">
        <v>90</v>
      </c>
      <c r="I428" s="913" t="s">
        <v>153</v>
      </c>
      <c r="J428" s="357" t="s">
        <v>103</v>
      </c>
      <c r="K428" s="377">
        <v>24761.5</v>
      </c>
      <c r="L428" s="252">
        <f t="shared" ref="L428:L430" si="127">M428-K428</f>
        <v>0</v>
      </c>
      <c r="M428" s="377">
        <v>24761.5</v>
      </c>
    </row>
    <row r="429" spans="1:13" s="372" customFormat="1" ht="56.25" x14ac:dyDescent="0.3">
      <c r="A429" s="358"/>
      <c r="B429" s="373" t="s">
        <v>108</v>
      </c>
      <c r="C429" s="374" t="s">
        <v>372</v>
      </c>
      <c r="D429" s="357" t="s">
        <v>304</v>
      </c>
      <c r="E429" s="357" t="s">
        <v>139</v>
      </c>
      <c r="F429" s="375" t="s">
        <v>92</v>
      </c>
      <c r="G429" s="376" t="s">
        <v>83</v>
      </c>
      <c r="H429" s="376" t="s">
        <v>90</v>
      </c>
      <c r="I429" s="913" t="s">
        <v>153</v>
      </c>
      <c r="J429" s="357" t="s">
        <v>109</v>
      </c>
      <c r="K429" s="590">
        <f>2076.2+337</f>
        <v>2413.1999999999998</v>
      </c>
      <c r="L429" s="252">
        <f t="shared" si="127"/>
        <v>1.4252900000001318</v>
      </c>
      <c r="M429" s="590">
        <f>2076.2+337+1.42529</f>
        <v>2414.6252899999999</v>
      </c>
    </row>
    <row r="430" spans="1:13" s="372" customFormat="1" ht="18.75" x14ac:dyDescent="0.3">
      <c r="A430" s="358"/>
      <c r="B430" s="373" t="s">
        <v>110</v>
      </c>
      <c r="C430" s="374" t="s">
        <v>372</v>
      </c>
      <c r="D430" s="357" t="s">
        <v>304</v>
      </c>
      <c r="E430" s="357" t="s">
        <v>139</v>
      </c>
      <c r="F430" s="375" t="s">
        <v>92</v>
      </c>
      <c r="G430" s="376" t="s">
        <v>83</v>
      </c>
      <c r="H430" s="376" t="s">
        <v>90</v>
      </c>
      <c r="I430" s="913" t="s">
        <v>153</v>
      </c>
      <c r="J430" s="357" t="s">
        <v>111</v>
      </c>
      <c r="K430" s="377">
        <v>29.5</v>
      </c>
      <c r="L430" s="252">
        <f t="shared" si="127"/>
        <v>0</v>
      </c>
      <c r="M430" s="377">
        <v>29.5</v>
      </c>
    </row>
    <row r="431" spans="1:13" s="372" customFormat="1" ht="131.25" x14ac:dyDescent="0.3">
      <c r="A431" s="358"/>
      <c r="B431" s="373" t="s">
        <v>503</v>
      </c>
      <c r="C431" s="374" t="s">
        <v>372</v>
      </c>
      <c r="D431" s="357" t="s">
        <v>304</v>
      </c>
      <c r="E431" s="357" t="s">
        <v>139</v>
      </c>
      <c r="F431" s="375" t="s">
        <v>92</v>
      </c>
      <c r="G431" s="376" t="s">
        <v>83</v>
      </c>
      <c r="H431" s="376" t="s">
        <v>90</v>
      </c>
      <c r="I431" s="913" t="s">
        <v>376</v>
      </c>
      <c r="J431" s="357"/>
      <c r="K431" s="377">
        <f t="shared" ref="K431" si="128">K432+K433</f>
        <v>5763.2000000000007</v>
      </c>
      <c r="L431" s="377">
        <f t="shared" ref="L431:M431" si="129">L432+L433</f>
        <v>0</v>
      </c>
      <c r="M431" s="377">
        <f t="shared" si="129"/>
        <v>5763.2000000000007</v>
      </c>
    </row>
    <row r="432" spans="1:13" s="372" customFormat="1" ht="112.5" x14ac:dyDescent="0.3">
      <c r="A432" s="358"/>
      <c r="B432" s="373" t="s">
        <v>102</v>
      </c>
      <c r="C432" s="374" t="s">
        <v>372</v>
      </c>
      <c r="D432" s="357" t="s">
        <v>304</v>
      </c>
      <c r="E432" s="357" t="s">
        <v>139</v>
      </c>
      <c r="F432" s="375" t="s">
        <v>92</v>
      </c>
      <c r="G432" s="376" t="s">
        <v>83</v>
      </c>
      <c r="H432" s="376" t="s">
        <v>90</v>
      </c>
      <c r="I432" s="913" t="s">
        <v>376</v>
      </c>
      <c r="J432" s="357" t="s">
        <v>103</v>
      </c>
      <c r="K432" s="377">
        <v>5595.1</v>
      </c>
      <c r="L432" s="252">
        <f t="shared" ref="L432:L433" si="130">M432-K432</f>
        <v>0</v>
      </c>
      <c r="M432" s="377">
        <v>5595.1</v>
      </c>
    </row>
    <row r="433" spans="1:13" s="372" customFormat="1" ht="56.25" x14ac:dyDescent="0.3">
      <c r="A433" s="358"/>
      <c r="B433" s="373" t="s">
        <v>108</v>
      </c>
      <c r="C433" s="374" t="s">
        <v>372</v>
      </c>
      <c r="D433" s="357" t="s">
        <v>304</v>
      </c>
      <c r="E433" s="357" t="s">
        <v>139</v>
      </c>
      <c r="F433" s="496" t="s">
        <v>92</v>
      </c>
      <c r="G433" s="497" t="s">
        <v>83</v>
      </c>
      <c r="H433" s="497" t="s">
        <v>90</v>
      </c>
      <c r="I433" s="913" t="s">
        <v>376</v>
      </c>
      <c r="J433" s="357" t="s">
        <v>109</v>
      </c>
      <c r="K433" s="591">
        <f>60.5+107.6</f>
        <v>168.1</v>
      </c>
      <c r="L433" s="252">
        <f t="shared" si="130"/>
        <v>0</v>
      </c>
      <c r="M433" s="591">
        <f>60.5+107.6</f>
        <v>168.1</v>
      </c>
    </row>
    <row r="434" spans="1:13" s="372" customFormat="1" ht="18.75" x14ac:dyDescent="0.3">
      <c r="A434" s="358"/>
      <c r="B434" s="382" t="s">
        <v>182</v>
      </c>
      <c r="C434" s="374" t="s">
        <v>372</v>
      </c>
      <c r="D434" s="357" t="s">
        <v>167</v>
      </c>
      <c r="E434" s="357"/>
      <c r="F434" s="375"/>
      <c r="G434" s="376"/>
      <c r="H434" s="376"/>
      <c r="I434" s="913"/>
      <c r="J434" s="357"/>
      <c r="K434" s="377">
        <f t="shared" ref="K434:M435" si="131">K435</f>
        <v>9069.2000000000007</v>
      </c>
      <c r="L434" s="377">
        <f t="shared" si="131"/>
        <v>0</v>
      </c>
      <c r="M434" s="377">
        <f t="shared" si="131"/>
        <v>9069.2000000000007</v>
      </c>
    </row>
    <row r="435" spans="1:13" s="372" customFormat="1" ht="18.75" x14ac:dyDescent="0.3">
      <c r="A435" s="358"/>
      <c r="B435" s="382" t="s">
        <v>272</v>
      </c>
      <c r="C435" s="374" t="s">
        <v>372</v>
      </c>
      <c r="D435" s="357" t="s">
        <v>167</v>
      </c>
      <c r="E435" s="357" t="s">
        <v>105</v>
      </c>
      <c r="F435" s="375"/>
      <c r="G435" s="376"/>
      <c r="H435" s="376"/>
      <c r="I435" s="913"/>
      <c r="J435" s="357"/>
      <c r="K435" s="377">
        <f t="shared" si="131"/>
        <v>9069.2000000000007</v>
      </c>
      <c r="L435" s="377">
        <f t="shared" si="131"/>
        <v>0</v>
      </c>
      <c r="M435" s="377">
        <f t="shared" si="131"/>
        <v>9069.2000000000007</v>
      </c>
    </row>
    <row r="436" spans="1:13" s="372" customFormat="1" ht="56.25" x14ac:dyDescent="0.3">
      <c r="A436" s="358"/>
      <c r="B436" s="373" t="s">
        <v>284</v>
      </c>
      <c r="C436" s="374" t="s">
        <v>372</v>
      </c>
      <c r="D436" s="357" t="s">
        <v>167</v>
      </c>
      <c r="E436" s="357" t="s">
        <v>105</v>
      </c>
      <c r="F436" s="375" t="s">
        <v>92</v>
      </c>
      <c r="G436" s="376" t="s">
        <v>95</v>
      </c>
      <c r="H436" s="376" t="s">
        <v>96</v>
      </c>
      <c r="I436" s="913" t="s">
        <v>97</v>
      </c>
      <c r="J436" s="357"/>
      <c r="K436" s="377">
        <f t="shared" ref="K436:M438" si="132">K437</f>
        <v>9069.2000000000007</v>
      </c>
      <c r="L436" s="377">
        <f t="shared" si="132"/>
        <v>0</v>
      </c>
      <c r="M436" s="377">
        <f t="shared" si="132"/>
        <v>9069.2000000000007</v>
      </c>
    </row>
    <row r="437" spans="1:13" s="372" customFormat="1" ht="37.5" x14ac:dyDescent="0.3">
      <c r="A437" s="358"/>
      <c r="B437" s="373" t="s">
        <v>285</v>
      </c>
      <c r="C437" s="374" t="s">
        <v>372</v>
      </c>
      <c r="D437" s="357" t="s">
        <v>167</v>
      </c>
      <c r="E437" s="357" t="s">
        <v>105</v>
      </c>
      <c r="F437" s="375" t="s">
        <v>92</v>
      </c>
      <c r="G437" s="376" t="s">
        <v>98</v>
      </c>
      <c r="H437" s="376" t="s">
        <v>96</v>
      </c>
      <c r="I437" s="913" t="s">
        <v>97</v>
      </c>
      <c r="J437" s="357"/>
      <c r="K437" s="377">
        <f t="shared" si="132"/>
        <v>9069.2000000000007</v>
      </c>
      <c r="L437" s="377">
        <f t="shared" si="132"/>
        <v>0</v>
      </c>
      <c r="M437" s="377">
        <f t="shared" si="132"/>
        <v>9069.2000000000007</v>
      </c>
    </row>
    <row r="438" spans="1:13" s="372" customFormat="1" ht="37.5" x14ac:dyDescent="0.3">
      <c r="A438" s="358"/>
      <c r="B438" s="373" t="s">
        <v>373</v>
      </c>
      <c r="C438" s="374" t="s">
        <v>372</v>
      </c>
      <c r="D438" s="357" t="s">
        <v>167</v>
      </c>
      <c r="E438" s="357" t="s">
        <v>105</v>
      </c>
      <c r="F438" s="375" t="s">
        <v>92</v>
      </c>
      <c r="G438" s="376" t="s">
        <v>98</v>
      </c>
      <c r="H438" s="376" t="s">
        <v>90</v>
      </c>
      <c r="I438" s="913" t="s">
        <v>97</v>
      </c>
      <c r="J438" s="357"/>
      <c r="K438" s="377">
        <f t="shared" si="132"/>
        <v>9069.2000000000007</v>
      </c>
      <c r="L438" s="377">
        <f t="shared" si="132"/>
        <v>0</v>
      </c>
      <c r="M438" s="377">
        <f t="shared" si="132"/>
        <v>9069.2000000000007</v>
      </c>
    </row>
    <row r="439" spans="1:13" s="372" customFormat="1" ht="131.25" x14ac:dyDescent="0.3">
      <c r="A439" s="358"/>
      <c r="B439" s="373" t="s">
        <v>390</v>
      </c>
      <c r="C439" s="291" t="s">
        <v>372</v>
      </c>
      <c r="D439" s="292" t="s">
        <v>167</v>
      </c>
      <c r="E439" s="292" t="s">
        <v>105</v>
      </c>
      <c r="F439" s="511" t="s">
        <v>92</v>
      </c>
      <c r="G439" s="293" t="s">
        <v>98</v>
      </c>
      <c r="H439" s="293" t="s">
        <v>90</v>
      </c>
      <c r="I439" s="294" t="s">
        <v>391</v>
      </c>
      <c r="J439" s="292"/>
      <c r="K439" s="377">
        <f>K440+K441</f>
        <v>9069.2000000000007</v>
      </c>
      <c r="L439" s="377">
        <f>L440+L441</f>
        <v>0</v>
      </c>
      <c r="M439" s="377">
        <f>M440+M441</f>
        <v>9069.2000000000007</v>
      </c>
    </row>
    <row r="440" spans="1:13" s="372" customFormat="1" ht="56.25" x14ac:dyDescent="0.3">
      <c r="A440" s="358"/>
      <c r="B440" s="373" t="s">
        <v>108</v>
      </c>
      <c r="C440" s="374" t="s">
        <v>372</v>
      </c>
      <c r="D440" s="357" t="s">
        <v>167</v>
      </c>
      <c r="E440" s="357" t="s">
        <v>105</v>
      </c>
      <c r="F440" s="375" t="s">
        <v>92</v>
      </c>
      <c r="G440" s="376" t="s">
        <v>98</v>
      </c>
      <c r="H440" s="376" t="s">
        <v>90</v>
      </c>
      <c r="I440" s="913" t="s">
        <v>391</v>
      </c>
      <c r="J440" s="357" t="s">
        <v>109</v>
      </c>
      <c r="K440" s="252">
        <v>134</v>
      </c>
      <c r="L440" s="252">
        <f t="shared" ref="L440:L441" si="133">M440-K440</f>
        <v>0</v>
      </c>
      <c r="M440" s="252">
        <v>134</v>
      </c>
    </row>
    <row r="441" spans="1:13" s="372" customFormat="1" ht="37.5" x14ac:dyDescent="0.3">
      <c r="A441" s="358"/>
      <c r="B441" s="381" t="s">
        <v>183</v>
      </c>
      <c r="C441" s="291" t="s">
        <v>372</v>
      </c>
      <c r="D441" s="292" t="s">
        <v>167</v>
      </c>
      <c r="E441" s="292" t="s">
        <v>105</v>
      </c>
      <c r="F441" s="511" t="s">
        <v>92</v>
      </c>
      <c r="G441" s="293" t="s">
        <v>98</v>
      </c>
      <c r="H441" s="293" t="s">
        <v>90</v>
      </c>
      <c r="I441" s="294" t="s">
        <v>391</v>
      </c>
      <c r="J441" s="292" t="s">
        <v>184</v>
      </c>
      <c r="K441" s="295">
        <v>8935.2000000000007</v>
      </c>
      <c r="L441" s="252">
        <f t="shared" si="133"/>
        <v>0</v>
      </c>
      <c r="M441" s="295">
        <v>8935.2000000000007</v>
      </c>
    </row>
    <row r="442" spans="1:13" ht="18.75" x14ac:dyDescent="0.3">
      <c r="A442" s="358"/>
      <c r="B442" s="373"/>
      <c r="C442" s="457"/>
      <c r="D442" s="458"/>
      <c r="E442" s="458"/>
      <c r="F442" s="412"/>
      <c r="G442" s="443"/>
      <c r="H442" s="443"/>
      <c r="I442" s="459"/>
      <c r="J442" s="458"/>
      <c r="K442" s="377"/>
      <c r="L442" s="377"/>
      <c r="M442" s="377"/>
    </row>
    <row r="443" spans="1:13" s="372" customFormat="1" ht="56.25" x14ac:dyDescent="0.3">
      <c r="A443" s="365">
        <v>6</v>
      </c>
      <c r="B443" s="460" t="s">
        <v>57</v>
      </c>
      <c r="C443" s="367" t="s">
        <v>453</v>
      </c>
      <c r="D443" s="368"/>
      <c r="E443" s="368"/>
      <c r="F443" s="369"/>
      <c r="G443" s="370"/>
      <c r="H443" s="370"/>
      <c r="I443" s="371"/>
      <c r="J443" s="368"/>
      <c r="K443" s="519">
        <f>K444+K465</f>
        <v>83301.700000000012</v>
      </c>
      <c r="L443" s="519">
        <f>L444+L465</f>
        <v>521.6</v>
      </c>
      <c r="M443" s="519">
        <f>M444+M465</f>
        <v>83823.3</v>
      </c>
    </row>
    <row r="444" spans="1:13" s="378" customFormat="1" ht="18.75" x14ac:dyDescent="0.3">
      <c r="A444" s="358"/>
      <c r="B444" s="383" t="s">
        <v>254</v>
      </c>
      <c r="C444" s="374" t="s">
        <v>453</v>
      </c>
      <c r="D444" s="357" t="s">
        <v>304</v>
      </c>
      <c r="E444" s="357"/>
      <c r="F444" s="375"/>
      <c r="G444" s="376"/>
      <c r="H444" s="376"/>
      <c r="I444" s="913"/>
      <c r="J444" s="357"/>
      <c r="K444" s="377">
        <f>K445+K459</f>
        <v>50319.100000000006</v>
      </c>
      <c r="L444" s="377">
        <f>L445+L459+L453</f>
        <v>270</v>
      </c>
      <c r="M444" s="377">
        <f>M445+M459+M453</f>
        <v>50589.100000000006</v>
      </c>
    </row>
    <row r="445" spans="1:13" s="379" customFormat="1" ht="18.75" x14ac:dyDescent="0.3">
      <c r="A445" s="358"/>
      <c r="B445" s="383" t="s">
        <v>517</v>
      </c>
      <c r="C445" s="374" t="s">
        <v>453</v>
      </c>
      <c r="D445" s="357" t="s">
        <v>304</v>
      </c>
      <c r="E445" s="357" t="s">
        <v>119</v>
      </c>
      <c r="F445" s="375"/>
      <c r="G445" s="376"/>
      <c r="H445" s="376"/>
      <c r="I445" s="913"/>
      <c r="J445" s="357"/>
      <c r="K445" s="377">
        <f t="shared" ref="K445:M446" si="134">K446</f>
        <v>50139.100000000006</v>
      </c>
      <c r="L445" s="377">
        <f t="shared" si="134"/>
        <v>0</v>
      </c>
      <c r="M445" s="377">
        <f t="shared" si="134"/>
        <v>50139.100000000006</v>
      </c>
    </row>
    <row r="446" spans="1:13" s="379" customFormat="1" ht="56.25" x14ac:dyDescent="0.3">
      <c r="A446" s="358"/>
      <c r="B446" s="383" t="s">
        <v>293</v>
      </c>
      <c r="C446" s="374" t="s">
        <v>453</v>
      </c>
      <c r="D446" s="357" t="s">
        <v>304</v>
      </c>
      <c r="E446" s="357" t="s">
        <v>119</v>
      </c>
      <c r="F446" s="375" t="s">
        <v>119</v>
      </c>
      <c r="G446" s="376" t="s">
        <v>95</v>
      </c>
      <c r="H446" s="376" t="s">
        <v>96</v>
      </c>
      <c r="I446" s="913" t="s">
        <v>97</v>
      </c>
      <c r="J446" s="357"/>
      <c r="K446" s="377">
        <f t="shared" si="134"/>
        <v>50139.100000000006</v>
      </c>
      <c r="L446" s="377">
        <f t="shared" si="134"/>
        <v>0</v>
      </c>
      <c r="M446" s="377">
        <f t="shared" si="134"/>
        <v>50139.100000000006</v>
      </c>
    </row>
    <row r="447" spans="1:13" s="379" customFormat="1" ht="75" x14ac:dyDescent="0.3">
      <c r="A447" s="358"/>
      <c r="B447" s="383" t="s">
        <v>294</v>
      </c>
      <c r="C447" s="374" t="s">
        <v>453</v>
      </c>
      <c r="D447" s="357" t="s">
        <v>304</v>
      </c>
      <c r="E447" s="357" t="s">
        <v>119</v>
      </c>
      <c r="F447" s="375" t="s">
        <v>119</v>
      </c>
      <c r="G447" s="376" t="s">
        <v>98</v>
      </c>
      <c r="H447" s="376" t="s">
        <v>96</v>
      </c>
      <c r="I447" s="913" t="s">
        <v>97</v>
      </c>
      <c r="J447" s="357"/>
      <c r="K447" s="377">
        <f t="shared" ref="K447:M449" si="135">K448</f>
        <v>50139.100000000006</v>
      </c>
      <c r="L447" s="377">
        <f t="shared" si="135"/>
        <v>0</v>
      </c>
      <c r="M447" s="377">
        <f t="shared" si="135"/>
        <v>50139.100000000006</v>
      </c>
    </row>
    <row r="448" spans="1:13" s="379" customFormat="1" ht="37.5" x14ac:dyDescent="0.3">
      <c r="A448" s="358"/>
      <c r="B448" s="383" t="s">
        <v>383</v>
      </c>
      <c r="C448" s="374" t="s">
        <v>453</v>
      </c>
      <c r="D448" s="357" t="s">
        <v>304</v>
      </c>
      <c r="E448" s="357" t="s">
        <v>119</v>
      </c>
      <c r="F448" s="375" t="s">
        <v>119</v>
      </c>
      <c r="G448" s="376" t="s">
        <v>98</v>
      </c>
      <c r="H448" s="376" t="s">
        <v>90</v>
      </c>
      <c r="I448" s="913" t="s">
        <v>97</v>
      </c>
      <c r="J448" s="357"/>
      <c r="K448" s="377">
        <f>K449+K451</f>
        <v>50139.100000000006</v>
      </c>
      <c r="L448" s="377">
        <f>L449+L451</f>
        <v>0</v>
      </c>
      <c r="M448" s="377">
        <f>M449+M451</f>
        <v>50139.100000000006</v>
      </c>
    </row>
    <row r="449" spans="1:14" s="379" customFormat="1" ht="93.75" x14ac:dyDescent="0.3">
      <c r="A449" s="358"/>
      <c r="B449" s="380" t="s">
        <v>454</v>
      </c>
      <c r="C449" s="374" t="s">
        <v>453</v>
      </c>
      <c r="D449" s="357" t="s">
        <v>304</v>
      </c>
      <c r="E449" s="357" t="s">
        <v>119</v>
      </c>
      <c r="F449" s="375" t="s">
        <v>119</v>
      </c>
      <c r="G449" s="376" t="s">
        <v>98</v>
      </c>
      <c r="H449" s="376" t="s">
        <v>90</v>
      </c>
      <c r="I449" s="913" t="s">
        <v>153</v>
      </c>
      <c r="J449" s="357"/>
      <c r="K449" s="377">
        <f t="shared" si="135"/>
        <v>49869.700000000004</v>
      </c>
      <c r="L449" s="377">
        <f t="shared" si="135"/>
        <v>0</v>
      </c>
      <c r="M449" s="377">
        <f t="shared" si="135"/>
        <v>49869.700000000004</v>
      </c>
    </row>
    <row r="450" spans="1:14" s="378" customFormat="1" ht="56.25" x14ac:dyDescent="0.3">
      <c r="A450" s="358"/>
      <c r="B450" s="381" t="s">
        <v>135</v>
      </c>
      <c r="C450" s="374" t="s">
        <v>453</v>
      </c>
      <c r="D450" s="357" t="s">
        <v>304</v>
      </c>
      <c r="E450" s="357" t="s">
        <v>119</v>
      </c>
      <c r="F450" s="375" t="s">
        <v>119</v>
      </c>
      <c r="G450" s="376" t="s">
        <v>98</v>
      </c>
      <c r="H450" s="376" t="s">
        <v>90</v>
      </c>
      <c r="I450" s="913" t="s">
        <v>153</v>
      </c>
      <c r="J450" s="357" t="s">
        <v>136</v>
      </c>
      <c r="K450" s="590">
        <f>49157.4+712.3</f>
        <v>49869.700000000004</v>
      </c>
      <c r="L450" s="252">
        <f>M450-K450</f>
        <v>0</v>
      </c>
      <c r="M450" s="590">
        <f>49157.4+712.3</f>
        <v>49869.700000000004</v>
      </c>
    </row>
    <row r="451" spans="1:14" s="378" customFormat="1" ht="37.5" x14ac:dyDescent="0.3">
      <c r="A451" s="358"/>
      <c r="B451" s="381" t="s">
        <v>455</v>
      </c>
      <c r="C451" s="374" t="s">
        <v>453</v>
      </c>
      <c r="D451" s="357" t="s">
        <v>304</v>
      </c>
      <c r="E451" s="357" t="s">
        <v>119</v>
      </c>
      <c r="F451" s="485" t="s">
        <v>119</v>
      </c>
      <c r="G451" s="486" t="s">
        <v>98</v>
      </c>
      <c r="H451" s="486" t="s">
        <v>90</v>
      </c>
      <c r="I451" s="913" t="s">
        <v>456</v>
      </c>
      <c r="J451" s="357"/>
      <c r="K451" s="377">
        <f t="shared" ref="K451:M451" si="136">K452</f>
        <v>269.39999999999998</v>
      </c>
      <c r="L451" s="377">
        <f t="shared" si="136"/>
        <v>0</v>
      </c>
      <c r="M451" s="377">
        <f t="shared" si="136"/>
        <v>269.39999999999998</v>
      </c>
    </row>
    <row r="452" spans="1:14" s="378" customFormat="1" ht="56.25" x14ac:dyDescent="0.3">
      <c r="A452" s="358"/>
      <c r="B452" s="373" t="s">
        <v>135</v>
      </c>
      <c r="C452" s="374" t="s">
        <v>453</v>
      </c>
      <c r="D452" s="357" t="s">
        <v>304</v>
      </c>
      <c r="E452" s="357" t="s">
        <v>119</v>
      </c>
      <c r="F452" s="485" t="s">
        <v>119</v>
      </c>
      <c r="G452" s="486" t="s">
        <v>98</v>
      </c>
      <c r="H452" s="486" t="s">
        <v>90</v>
      </c>
      <c r="I452" s="913" t="s">
        <v>456</v>
      </c>
      <c r="J452" s="357" t="s">
        <v>136</v>
      </c>
      <c r="K452" s="377">
        <v>269.39999999999998</v>
      </c>
      <c r="L452" s="252">
        <f>M452-K452</f>
        <v>0</v>
      </c>
      <c r="M452" s="377">
        <v>269.39999999999998</v>
      </c>
    </row>
    <row r="453" spans="1:14" s="378" customFormat="1" ht="18.75" x14ac:dyDescent="0.3">
      <c r="A453" s="358"/>
      <c r="B453" s="373" t="s">
        <v>518</v>
      </c>
      <c r="C453" s="374" t="s">
        <v>453</v>
      </c>
      <c r="D453" s="357" t="s">
        <v>304</v>
      </c>
      <c r="E453" s="357" t="s">
        <v>304</v>
      </c>
      <c r="F453" s="911"/>
      <c r="G453" s="912"/>
      <c r="H453" s="912"/>
      <c r="I453" s="913"/>
      <c r="J453" s="357"/>
      <c r="K453" s="377"/>
      <c r="L453" s="252">
        <f t="shared" ref="L453:M457" si="137">L454</f>
        <v>270</v>
      </c>
      <c r="M453" s="252">
        <f t="shared" si="137"/>
        <v>270</v>
      </c>
    </row>
    <row r="454" spans="1:14" s="919" customFormat="1" ht="56.25" x14ac:dyDescent="0.3">
      <c r="A454" s="879"/>
      <c r="B454" s="916" t="s">
        <v>293</v>
      </c>
      <c r="C454" s="917" t="s">
        <v>453</v>
      </c>
      <c r="D454" s="880" t="s">
        <v>304</v>
      </c>
      <c r="E454" s="880" t="s">
        <v>304</v>
      </c>
      <c r="F454" s="881" t="s">
        <v>119</v>
      </c>
      <c r="G454" s="882" t="s">
        <v>95</v>
      </c>
      <c r="H454" s="882" t="s">
        <v>96</v>
      </c>
      <c r="I454" s="883" t="s">
        <v>97</v>
      </c>
      <c r="J454" s="880"/>
      <c r="K454" s="884"/>
      <c r="L454" s="884">
        <f t="shared" si="137"/>
        <v>270</v>
      </c>
      <c r="M454" s="884">
        <f t="shared" si="137"/>
        <v>270</v>
      </c>
    </row>
    <row r="455" spans="1:14" s="919" customFormat="1" ht="75" x14ac:dyDescent="0.3">
      <c r="A455" s="879"/>
      <c r="B455" s="916" t="s">
        <v>294</v>
      </c>
      <c r="C455" s="917" t="s">
        <v>453</v>
      </c>
      <c r="D455" s="880" t="s">
        <v>304</v>
      </c>
      <c r="E455" s="880" t="s">
        <v>304</v>
      </c>
      <c r="F455" s="881" t="s">
        <v>119</v>
      </c>
      <c r="G455" s="882" t="s">
        <v>98</v>
      </c>
      <c r="H455" s="882" t="s">
        <v>96</v>
      </c>
      <c r="I455" s="883" t="s">
        <v>97</v>
      </c>
      <c r="J455" s="880"/>
      <c r="K455" s="884"/>
      <c r="L455" s="884">
        <f t="shared" si="137"/>
        <v>270</v>
      </c>
      <c r="M455" s="884">
        <f t="shared" si="137"/>
        <v>270</v>
      </c>
    </row>
    <row r="456" spans="1:14" s="919" customFormat="1" ht="56.25" x14ac:dyDescent="0.3">
      <c r="A456" s="879"/>
      <c r="B456" s="920" t="s">
        <v>388</v>
      </c>
      <c r="C456" s="917" t="s">
        <v>453</v>
      </c>
      <c r="D456" s="880" t="s">
        <v>304</v>
      </c>
      <c r="E456" s="880" t="s">
        <v>304</v>
      </c>
      <c r="F456" s="881" t="s">
        <v>119</v>
      </c>
      <c r="G456" s="882" t="s">
        <v>98</v>
      </c>
      <c r="H456" s="882" t="s">
        <v>121</v>
      </c>
      <c r="I456" s="883" t="s">
        <v>97</v>
      </c>
      <c r="J456" s="880"/>
      <c r="K456" s="884"/>
      <c r="L456" s="884">
        <f t="shared" si="137"/>
        <v>270</v>
      </c>
      <c r="M456" s="884">
        <f t="shared" si="137"/>
        <v>270</v>
      </c>
    </row>
    <row r="457" spans="1:14" s="919" customFormat="1" ht="37.5" x14ac:dyDescent="0.3">
      <c r="A457" s="879"/>
      <c r="B457" s="921" t="s">
        <v>827</v>
      </c>
      <c r="C457" s="917" t="s">
        <v>453</v>
      </c>
      <c r="D457" s="880" t="s">
        <v>304</v>
      </c>
      <c r="E457" s="880" t="s">
        <v>304</v>
      </c>
      <c r="F457" s="881" t="s">
        <v>119</v>
      </c>
      <c r="G457" s="882" t="s">
        <v>98</v>
      </c>
      <c r="H457" s="882" t="s">
        <v>121</v>
      </c>
      <c r="I457" s="883" t="s">
        <v>826</v>
      </c>
      <c r="J457" s="880"/>
      <c r="K457" s="884"/>
      <c r="L457" s="884">
        <f t="shared" si="137"/>
        <v>270</v>
      </c>
      <c r="M457" s="884">
        <f t="shared" si="137"/>
        <v>270</v>
      </c>
    </row>
    <row r="458" spans="1:14" s="919" customFormat="1" ht="56.25" x14ac:dyDescent="0.3">
      <c r="A458" s="879"/>
      <c r="B458" s="918" t="s">
        <v>135</v>
      </c>
      <c r="C458" s="917" t="s">
        <v>453</v>
      </c>
      <c r="D458" s="880" t="s">
        <v>304</v>
      </c>
      <c r="E458" s="880" t="s">
        <v>304</v>
      </c>
      <c r="F458" s="881" t="s">
        <v>119</v>
      </c>
      <c r="G458" s="882" t="s">
        <v>98</v>
      </c>
      <c r="H458" s="882" t="s">
        <v>121</v>
      </c>
      <c r="I458" s="883" t="s">
        <v>826</v>
      </c>
      <c r="J458" s="880" t="s">
        <v>136</v>
      </c>
      <c r="K458" s="884"/>
      <c r="L458" s="884">
        <f>M458-K458</f>
        <v>270</v>
      </c>
      <c r="M458" s="884">
        <v>270</v>
      </c>
    </row>
    <row r="459" spans="1:14" s="378" customFormat="1" ht="18.75" x14ac:dyDescent="0.3">
      <c r="A459" s="358"/>
      <c r="B459" s="373" t="s">
        <v>261</v>
      </c>
      <c r="C459" s="374" t="s">
        <v>453</v>
      </c>
      <c r="D459" s="357" t="s">
        <v>304</v>
      </c>
      <c r="E459" s="357" t="s">
        <v>139</v>
      </c>
      <c r="F459" s="375"/>
      <c r="G459" s="376"/>
      <c r="H459" s="376"/>
      <c r="I459" s="913"/>
      <c r="J459" s="357"/>
      <c r="K459" s="377">
        <f t="shared" ref="K459:M463" si="138">K460</f>
        <v>180</v>
      </c>
      <c r="L459" s="377">
        <f t="shared" si="138"/>
        <v>0</v>
      </c>
      <c r="M459" s="377">
        <f t="shared" si="138"/>
        <v>180</v>
      </c>
      <c r="N459" s="461"/>
    </row>
    <row r="460" spans="1:14" s="378" customFormat="1" ht="56.25" x14ac:dyDescent="0.3">
      <c r="A460" s="358"/>
      <c r="B460" s="383" t="s">
        <v>293</v>
      </c>
      <c r="C460" s="374" t="s">
        <v>453</v>
      </c>
      <c r="D460" s="357" t="s">
        <v>304</v>
      </c>
      <c r="E460" s="357" t="s">
        <v>139</v>
      </c>
      <c r="F460" s="375" t="s">
        <v>119</v>
      </c>
      <c r="G460" s="376" t="s">
        <v>95</v>
      </c>
      <c r="H460" s="376" t="s">
        <v>96</v>
      </c>
      <c r="I460" s="913" t="s">
        <v>97</v>
      </c>
      <c r="J460" s="357"/>
      <c r="K460" s="377">
        <f t="shared" si="138"/>
        <v>180</v>
      </c>
      <c r="L460" s="377">
        <f t="shared" si="138"/>
        <v>0</v>
      </c>
      <c r="M460" s="377">
        <f t="shared" si="138"/>
        <v>180</v>
      </c>
      <c r="N460" s="461"/>
    </row>
    <row r="461" spans="1:14" s="378" customFormat="1" ht="75" x14ac:dyDescent="0.3">
      <c r="A461" s="358"/>
      <c r="B461" s="383" t="s">
        <v>294</v>
      </c>
      <c r="C461" s="374" t="s">
        <v>453</v>
      </c>
      <c r="D461" s="357" t="s">
        <v>304</v>
      </c>
      <c r="E461" s="357" t="s">
        <v>139</v>
      </c>
      <c r="F461" s="375" t="s">
        <v>119</v>
      </c>
      <c r="G461" s="376" t="s">
        <v>98</v>
      </c>
      <c r="H461" s="376" t="s">
        <v>96</v>
      </c>
      <c r="I461" s="913" t="s">
        <v>97</v>
      </c>
      <c r="J461" s="357"/>
      <c r="K461" s="377">
        <f t="shared" si="138"/>
        <v>180</v>
      </c>
      <c r="L461" s="377">
        <f t="shared" si="138"/>
        <v>0</v>
      </c>
      <c r="M461" s="377">
        <f t="shared" si="138"/>
        <v>180</v>
      </c>
      <c r="N461" s="461"/>
    </row>
    <row r="462" spans="1:14" s="378" customFormat="1" ht="18.75" x14ac:dyDescent="0.3">
      <c r="A462" s="358"/>
      <c r="B462" s="381" t="s">
        <v>384</v>
      </c>
      <c r="C462" s="374" t="s">
        <v>453</v>
      </c>
      <c r="D462" s="357" t="s">
        <v>304</v>
      </c>
      <c r="E462" s="357" t="s">
        <v>139</v>
      </c>
      <c r="F462" s="375" t="s">
        <v>119</v>
      </c>
      <c r="G462" s="376" t="s">
        <v>98</v>
      </c>
      <c r="H462" s="376" t="s">
        <v>92</v>
      </c>
      <c r="I462" s="913" t="s">
        <v>97</v>
      </c>
      <c r="J462" s="357"/>
      <c r="K462" s="377">
        <f t="shared" si="138"/>
        <v>180</v>
      </c>
      <c r="L462" s="377">
        <f t="shared" si="138"/>
        <v>0</v>
      </c>
      <c r="M462" s="377">
        <f t="shared" si="138"/>
        <v>180</v>
      </c>
      <c r="N462" s="461"/>
    </row>
    <row r="463" spans="1:14" s="378" customFormat="1" ht="56.25" x14ac:dyDescent="0.3">
      <c r="A463" s="358"/>
      <c r="B463" s="381" t="s">
        <v>291</v>
      </c>
      <c r="C463" s="374" t="s">
        <v>453</v>
      </c>
      <c r="D463" s="357" t="s">
        <v>304</v>
      </c>
      <c r="E463" s="357" t="s">
        <v>139</v>
      </c>
      <c r="F463" s="375" t="s">
        <v>119</v>
      </c>
      <c r="G463" s="376" t="s">
        <v>98</v>
      </c>
      <c r="H463" s="376" t="s">
        <v>92</v>
      </c>
      <c r="I463" s="913" t="s">
        <v>386</v>
      </c>
      <c r="J463" s="357"/>
      <c r="K463" s="377">
        <f t="shared" si="138"/>
        <v>180</v>
      </c>
      <c r="L463" s="377">
        <f t="shared" si="138"/>
        <v>0</v>
      </c>
      <c r="M463" s="377">
        <f t="shared" si="138"/>
        <v>180</v>
      </c>
      <c r="N463" s="461"/>
    </row>
    <row r="464" spans="1:14" s="378" customFormat="1" ht="37.5" x14ac:dyDescent="0.3">
      <c r="A464" s="358"/>
      <c r="B464" s="381" t="s">
        <v>183</v>
      </c>
      <c r="C464" s="374" t="s">
        <v>453</v>
      </c>
      <c r="D464" s="357" t="s">
        <v>304</v>
      </c>
      <c r="E464" s="357" t="s">
        <v>139</v>
      </c>
      <c r="F464" s="375" t="s">
        <v>119</v>
      </c>
      <c r="G464" s="376" t="s">
        <v>98</v>
      </c>
      <c r="H464" s="376" t="s">
        <v>92</v>
      </c>
      <c r="I464" s="913" t="s">
        <v>386</v>
      </c>
      <c r="J464" s="357" t="s">
        <v>184</v>
      </c>
      <c r="K464" s="377">
        <v>180</v>
      </c>
      <c r="L464" s="252">
        <f>M464-K464</f>
        <v>0</v>
      </c>
      <c r="M464" s="377">
        <v>180</v>
      </c>
      <c r="N464" s="461"/>
    </row>
    <row r="465" spans="1:14" s="378" customFormat="1" ht="18.75" x14ac:dyDescent="0.3">
      <c r="A465" s="358"/>
      <c r="B465" s="373" t="s">
        <v>263</v>
      </c>
      <c r="C465" s="374" t="s">
        <v>453</v>
      </c>
      <c r="D465" s="357" t="s">
        <v>306</v>
      </c>
      <c r="E465" s="357"/>
      <c r="F465" s="375"/>
      <c r="G465" s="376"/>
      <c r="H465" s="376"/>
      <c r="I465" s="913"/>
      <c r="J465" s="357"/>
      <c r="K465" s="377">
        <f>K466+K485</f>
        <v>32982.6</v>
      </c>
      <c r="L465" s="377">
        <f>L466+L485</f>
        <v>251.60000000000002</v>
      </c>
      <c r="M465" s="377">
        <f>M466+M485</f>
        <v>33234.199999999997</v>
      </c>
      <c r="N465" s="461"/>
    </row>
    <row r="466" spans="1:14" s="378" customFormat="1" ht="18.75" x14ac:dyDescent="0.3">
      <c r="A466" s="358"/>
      <c r="B466" s="373" t="s">
        <v>265</v>
      </c>
      <c r="C466" s="374" t="s">
        <v>453</v>
      </c>
      <c r="D466" s="357" t="s">
        <v>306</v>
      </c>
      <c r="E466" s="357" t="s">
        <v>90</v>
      </c>
      <c r="F466" s="375"/>
      <c r="G466" s="376"/>
      <c r="H466" s="376"/>
      <c r="I466" s="913"/>
      <c r="J466" s="357"/>
      <c r="K466" s="377">
        <f t="shared" ref="K466:M466" si="139">K467</f>
        <v>23878.899999999998</v>
      </c>
      <c r="L466" s="377">
        <f t="shared" si="139"/>
        <v>25</v>
      </c>
      <c r="M466" s="377">
        <f t="shared" si="139"/>
        <v>23903.899999999998</v>
      </c>
    </row>
    <row r="467" spans="1:14" s="378" customFormat="1" ht="56.25" x14ac:dyDescent="0.3">
      <c r="A467" s="358"/>
      <c r="B467" s="383" t="s">
        <v>293</v>
      </c>
      <c r="C467" s="374" t="s">
        <v>453</v>
      </c>
      <c r="D467" s="357" t="s">
        <v>306</v>
      </c>
      <c r="E467" s="357" t="s">
        <v>90</v>
      </c>
      <c r="F467" s="375" t="s">
        <v>119</v>
      </c>
      <c r="G467" s="376" t="s">
        <v>95</v>
      </c>
      <c r="H467" s="376" t="s">
        <v>96</v>
      </c>
      <c r="I467" s="913" t="s">
        <v>97</v>
      </c>
      <c r="J467" s="357"/>
      <c r="K467" s="377">
        <f>K468+K481</f>
        <v>23878.899999999998</v>
      </c>
      <c r="L467" s="377">
        <f>L468+L481</f>
        <v>25</v>
      </c>
      <c r="M467" s="377">
        <f>M468+M481</f>
        <v>23903.899999999998</v>
      </c>
      <c r="N467" s="461"/>
    </row>
    <row r="468" spans="1:14" s="354" customFormat="1" ht="75" x14ac:dyDescent="0.3">
      <c r="A468" s="358"/>
      <c r="B468" s="383" t="s">
        <v>294</v>
      </c>
      <c r="C468" s="374" t="s">
        <v>453</v>
      </c>
      <c r="D468" s="357" t="s">
        <v>306</v>
      </c>
      <c r="E468" s="357" t="s">
        <v>90</v>
      </c>
      <c r="F468" s="412" t="s">
        <v>119</v>
      </c>
      <c r="G468" s="443" t="s">
        <v>98</v>
      </c>
      <c r="H468" s="443" t="s">
        <v>96</v>
      </c>
      <c r="I468" s="459" t="s">
        <v>97</v>
      </c>
      <c r="J468" s="458"/>
      <c r="K468" s="377">
        <f>K469+K476</f>
        <v>23858.899999999998</v>
      </c>
      <c r="L468" s="377">
        <f>L469+L476</f>
        <v>25</v>
      </c>
      <c r="M468" s="377">
        <f>M469+M476</f>
        <v>23883.899999999998</v>
      </c>
    </row>
    <row r="469" spans="1:14" s="354" customFormat="1" ht="18.75" x14ac:dyDescent="0.3">
      <c r="A469" s="358"/>
      <c r="B469" s="373" t="s">
        <v>457</v>
      </c>
      <c r="C469" s="374" t="s">
        <v>453</v>
      </c>
      <c r="D469" s="357" t="s">
        <v>306</v>
      </c>
      <c r="E469" s="357" t="s">
        <v>90</v>
      </c>
      <c r="F469" s="412" t="s">
        <v>119</v>
      </c>
      <c r="G469" s="443" t="s">
        <v>98</v>
      </c>
      <c r="H469" s="443" t="s">
        <v>119</v>
      </c>
      <c r="I469" s="459" t="s">
        <v>97</v>
      </c>
      <c r="J469" s="458"/>
      <c r="K469" s="377">
        <f>K470+K472+K474</f>
        <v>11804.099999999999</v>
      </c>
      <c r="L469" s="377">
        <f>L470+L472+L474</f>
        <v>25</v>
      </c>
      <c r="M469" s="377">
        <f>M470+M472+M474</f>
        <v>11829.099999999999</v>
      </c>
    </row>
    <row r="470" spans="1:14" s="354" customFormat="1" ht="93.75" x14ac:dyDescent="0.3">
      <c r="A470" s="358"/>
      <c r="B470" s="380" t="s">
        <v>458</v>
      </c>
      <c r="C470" s="374" t="s">
        <v>453</v>
      </c>
      <c r="D470" s="357" t="s">
        <v>306</v>
      </c>
      <c r="E470" s="357" t="s">
        <v>90</v>
      </c>
      <c r="F470" s="412" t="s">
        <v>119</v>
      </c>
      <c r="G470" s="443" t="s">
        <v>98</v>
      </c>
      <c r="H470" s="443" t="s">
        <v>119</v>
      </c>
      <c r="I470" s="459" t="s">
        <v>153</v>
      </c>
      <c r="J470" s="458"/>
      <c r="K470" s="377">
        <f t="shared" ref="K470:M470" si="140">K471</f>
        <v>11088.3</v>
      </c>
      <c r="L470" s="377">
        <f t="shared" si="140"/>
        <v>0</v>
      </c>
      <c r="M470" s="377">
        <f t="shared" si="140"/>
        <v>11088.3</v>
      </c>
    </row>
    <row r="471" spans="1:14" s="378" customFormat="1" ht="56.25" x14ac:dyDescent="0.3">
      <c r="A471" s="358"/>
      <c r="B471" s="381" t="s">
        <v>135</v>
      </c>
      <c r="C471" s="374" t="s">
        <v>453</v>
      </c>
      <c r="D471" s="357" t="s">
        <v>306</v>
      </c>
      <c r="E471" s="357" t="s">
        <v>90</v>
      </c>
      <c r="F471" s="375" t="s">
        <v>119</v>
      </c>
      <c r="G471" s="376" t="s">
        <v>98</v>
      </c>
      <c r="H471" s="376" t="s">
        <v>119</v>
      </c>
      <c r="I471" s="913" t="s">
        <v>153</v>
      </c>
      <c r="J471" s="357" t="s">
        <v>136</v>
      </c>
      <c r="K471" s="590">
        <f>11185.9-97.6</f>
        <v>11088.3</v>
      </c>
      <c r="L471" s="252">
        <f>M471-K471</f>
        <v>0</v>
      </c>
      <c r="M471" s="590">
        <f>11185.9-97.6</f>
        <v>11088.3</v>
      </c>
      <c r="N471" s="461"/>
    </row>
    <row r="472" spans="1:14" s="354" customFormat="1" ht="37.5" x14ac:dyDescent="0.3">
      <c r="A472" s="358"/>
      <c r="B472" s="381" t="s">
        <v>455</v>
      </c>
      <c r="C472" s="374" t="s">
        <v>453</v>
      </c>
      <c r="D472" s="357" t="s">
        <v>306</v>
      </c>
      <c r="E472" s="357" t="s">
        <v>90</v>
      </c>
      <c r="F472" s="412" t="s">
        <v>119</v>
      </c>
      <c r="G472" s="443" t="s">
        <v>98</v>
      </c>
      <c r="H472" s="443" t="s">
        <v>119</v>
      </c>
      <c r="I472" s="459" t="s">
        <v>456</v>
      </c>
      <c r="J472" s="458"/>
      <c r="K472" s="377">
        <f>K473</f>
        <v>300.8</v>
      </c>
      <c r="L472" s="377">
        <f>L473</f>
        <v>0</v>
      </c>
      <c r="M472" s="377">
        <f>M473</f>
        <v>300.8</v>
      </c>
    </row>
    <row r="473" spans="1:14" s="354" customFormat="1" ht="56.25" x14ac:dyDescent="0.3">
      <c r="A473" s="358"/>
      <c r="B473" s="381" t="s">
        <v>135</v>
      </c>
      <c r="C473" s="374" t="s">
        <v>453</v>
      </c>
      <c r="D473" s="357" t="s">
        <v>306</v>
      </c>
      <c r="E473" s="357" t="s">
        <v>90</v>
      </c>
      <c r="F473" s="412" t="s">
        <v>119</v>
      </c>
      <c r="G473" s="443" t="s">
        <v>98</v>
      </c>
      <c r="H473" s="443" t="s">
        <v>119</v>
      </c>
      <c r="I473" s="459" t="s">
        <v>456</v>
      </c>
      <c r="J473" s="458" t="s">
        <v>136</v>
      </c>
      <c r="K473" s="377">
        <v>300.8</v>
      </c>
      <c r="L473" s="252">
        <f>M473-K473</f>
        <v>0</v>
      </c>
      <c r="M473" s="377">
        <v>300.8</v>
      </c>
    </row>
    <row r="474" spans="1:14" s="378" customFormat="1" ht="56.25" x14ac:dyDescent="0.3">
      <c r="A474" s="358"/>
      <c r="B474" s="381" t="s">
        <v>295</v>
      </c>
      <c r="C474" s="374" t="s">
        <v>453</v>
      </c>
      <c r="D474" s="357" t="s">
        <v>306</v>
      </c>
      <c r="E474" s="357" t="s">
        <v>90</v>
      </c>
      <c r="F474" s="375" t="s">
        <v>119</v>
      </c>
      <c r="G474" s="376" t="s">
        <v>98</v>
      </c>
      <c r="H474" s="376" t="s">
        <v>119</v>
      </c>
      <c r="I474" s="913" t="s">
        <v>459</v>
      </c>
      <c r="J474" s="357"/>
      <c r="K474" s="377">
        <f>K475</f>
        <v>415</v>
      </c>
      <c r="L474" s="377">
        <f>L475</f>
        <v>25</v>
      </c>
      <c r="M474" s="377">
        <f>M475</f>
        <v>440</v>
      </c>
      <c r="N474" s="461"/>
    </row>
    <row r="475" spans="1:14" s="354" customFormat="1" ht="56.25" x14ac:dyDescent="0.3">
      <c r="A475" s="358"/>
      <c r="B475" s="381" t="s">
        <v>135</v>
      </c>
      <c r="C475" s="374" t="s">
        <v>453</v>
      </c>
      <c r="D475" s="357" t="s">
        <v>306</v>
      </c>
      <c r="E475" s="357" t="s">
        <v>90</v>
      </c>
      <c r="F475" s="375" t="s">
        <v>119</v>
      </c>
      <c r="G475" s="376" t="s">
        <v>98</v>
      </c>
      <c r="H475" s="376" t="s">
        <v>119</v>
      </c>
      <c r="I475" s="913" t="s">
        <v>459</v>
      </c>
      <c r="J475" s="357" t="s">
        <v>136</v>
      </c>
      <c r="K475" s="377">
        <v>415</v>
      </c>
      <c r="L475" s="252">
        <f>M475-K475</f>
        <v>25</v>
      </c>
      <c r="M475" s="377">
        <f>415+25</f>
        <v>440</v>
      </c>
      <c r="N475" s="354">
        <v>25</v>
      </c>
    </row>
    <row r="476" spans="1:14" s="354" customFormat="1" ht="37.5" x14ac:dyDescent="0.3">
      <c r="A476" s="358"/>
      <c r="B476" s="381" t="s">
        <v>460</v>
      </c>
      <c r="C476" s="374" t="s">
        <v>453</v>
      </c>
      <c r="D476" s="357" t="s">
        <v>306</v>
      </c>
      <c r="E476" s="357" t="s">
        <v>90</v>
      </c>
      <c r="F476" s="412" t="s">
        <v>119</v>
      </c>
      <c r="G476" s="443" t="s">
        <v>98</v>
      </c>
      <c r="H476" s="443" t="s">
        <v>105</v>
      </c>
      <c r="I476" s="913" t="s">
        <v>97</v>
      </c>
      <c r="J476" s="357"/>
      <c r="K476" s="377">
        <f>K477</f>
        <v>12054.8</v>
      </c>
      <c r="L476" s="377">
        <f>L477</f>
        <v>0</v>
      </c>
      <c r="M476" s="377">
        <f>M477</f>
        <v>12054.8</v>
      </c>
    </row>
    <row r="477" spans="1:14" s="354" customFormat="1" ht="93.75" x14ac:dyDescent="0.3">
      <c r="A477" s="358"/>
      <c r="B477" s="380" t="s">
        <v>458</v>
      </c>
      <c r="C477" s="374" t="s">
        <v>453</v>
      </c>
      <c r="D477" s="357" t="s">
        <v>306</v>
      </c>
      <c r="E477" s="357" t="s">
        <v>90</v>
      </c>
      <c r="F477" s="412" t="s">
        <v>119</v>
      </c>
      <c r="G477" s="443" t="s">
        <v>98</v>
      </c>
      <c r="H477" s="443" t="s">
        <v>105</v>
      </c>
      <c r="I477" s="459" t="s">
        <v>153</v>
      </c>
      <c r="J477" s="458"/>
      <c r="K477" s="377">
        <f t="shared" ref="K477" si="141">SUM(K478:K480)</f>
        <v>12054.8</v>
      </c>
      <c r="L477" s="377">
        <f t="shared" ref="L477:M477" si="142">SUM(L478:L480)</f>
        <v>0</v>
      </c>
      <c r="M477" s="377">
        <f t="shared" si="142"/>
        <v>12054.8</v>
      </c>
    </row>
    <row r="478" spans="1:14" s="378" customFormat="1" ht="112.5" x14ac:dyDescent="0.3">
      <c r="A478" s="358"/>
      <c r="B478" s="373" t="s">
        <v>102</v>
      </c>
      <c r="C478" s="374" t="s">
        <v>453</v>
      </c>
      <c r="D478" s="357" t="s">
        <v>306</v>
      </c>
      <c r="E478" s="357" t="s">
        <v>90</v>
      </c>
      <c r="F478" s="375" t="s">
        <v>119</v>
      </c>
      <c r="G478" s="376" t="s">
        <v>98</v>
      </c>
      <c r="H478" s="376" t="s">
        <v>105</v>
      </c>
      <c r="I478" s="913" t="s">
        <v>153</v>
      </c>
      <c r="J478" s="357" t="s">
        <v>103</v>
      </c>
      <c r="K478" s="590">
        <f>11254.8-85</f>
        <v>11169.8</v>
      </c>
      <c r="L478" s="252">
        <f t="shared" ref="L478:L480" si="143">M478-K478</f>
        <v>0</v>
      </c>
      <c r="M478" s="590">
        <f>11254.8-85</f>
        <v>11169.8</v>
      </c>
      <c r="N478" s="461"/>
    </row>
    <row r="479" spans="1:14" s="378" customFormat="1" ht="56.25" x14ac:dyDescent="0.3">
      <c r="A479" s="358"/>
      <c r="B479" s="373" t="s">
        <v>108</v>
      </c>
      <c r="C479" s="374" t="s">
        <v>453</v>
      </c>
      <c r="D479" s="357" t="s">
        <v>306</v>
      </c>
      <c r="E479" s="357" t="s">
        <v>90</v>
      </c>
      <c r="F479" s="375" t="s">
        <v>119</v>
      </c>
      <c r="G479" s="376" t="s">
        <v>98</v>
      </c>
      <c r="H479" s="376" t="s">
        <v>105</v>
      </c>
      <c r="I479" s="913" t="s">
        <v>153</v>
      </c>
      <c r="J479" s="357" t="s">
        <v>109</v>
      </c>
      <c r="K479" s="377">
        <v>863.6</v>
      </c>
      <c r="L479" s="252">
        <f t="shared" si="143"/>
        <v>0</v>
      </c>
      <c r="M479" s="377">
        <v>863.6</v>
      </c>
      <c r="N479" s="461"/>
    </row>
    <row r="480" spans="1:14" s="378" customFormat="1" ht="18.75" x14ac:dyDescent="0.3">
      <c r="A480" s="358"/>
      <c r="B480" s="373" t="s">
        <v>110</v>
      </c>
      <c r="C480" s="374" t="s">
        <v>453</v>
      </c>
      <c r="D480" s="357" t="s">
        <v>306</v>
      </c>
      <c r="E480" s="357" t="s">
        <v>90</v>
      </c>
      <c r="F480" s="375" t="s">
        <v>119</v>
      </c>
      <c r="G480" s="376" t="s">
        <v>98</v>
      </c>
      <c r="H480" s="376" t="s">
        <v>105</v>
      </c>
      <c r="I480" s="913" t="s">
        <v>153</v>
      </c>
      <c r="J480" s="357" t="s">
        <v>111</v>
      </c>
      <c r="K480" s="377">
        <v>21.4</v>
      </c>
      <c r="L480" s="252">
        <f t="shared" si="143"/>
        <v>0</v>
      </c>
      <c r="M480" s="377">
        <v>21.4</v>
      </c>
      <c r="N480" s="461"/>
    </row>
    <row r="481" spans="1:14" s="354" customFormat="1" ht="56.25" x14ac:dyDescent="0.3">
      <c r="A481" s="358"/>
      <c r="B481" s="373" t="s">
        <v>469</v>
      </c>
      <c r="C481" s="374" t="s">
        <v>453</v>
      </c>
      <c r="D481" s="357" t="s">
        <v>306</v>
      </c>
      <c r="E481" s="357" t="s">
        <v>90</v>
      </c>
      <c r="F481" s="412" t="s">
        <v>119</v>
      </c>
      <c r="G481" s="443" t="s">
        <v>150</v>
      </c>
      <c r="H481" s="443" t="s">
        <v>96</v>
      </c>
      <c r="I481" s="913" t="s">
        <v>97</v>
      </c>
      <c r="J481" s="357"/>
      <c r="K481" s="377">
        <f t="shared" ref="K481:M481" si="144">K482</f>
        <v>20</v>
      </c>
      <c r="L481" s="377">
        <f t="shared" si="144"/>
        <v>0</v>
      </c>
      <c r="M481" s="377">
        <f t="shared" si="144"/>
        <v>20</v>
      </c>
    </row>
    <row r="482" spans="1:14" s="354" customFormat="1" ht="112.5" x14ac:dyDescent="0.3">
      <c r="A482" s="358"/>
      <c r="B482" s="381" t="s">
        <v>461</v>
      </c>
      <c r="C482" s="374" t="s">
        <v>453</v>
      </c>
      <c r="D482" s="357" t="s">
        <v>306</v>
      </c>
      <c r="E482" s="357" t="s">
        <v>90</v>
      </c>
      <c r="F482" s="412" t="s">
        <v>119</v>
      </c>
      <c r="G482" s="443" t="s">
        <v>150</v>
      </c>
      <c r="H482" s="443" t="s">
        <v>119</v>
      </c>
      <c r="I482" s="913" t="s">
        <v>97</v>
      </c>
      <c r="J482" s="357"/>
      <c r="K482" s="377">
        <f>K483</f>
        <v>20</v>
      </c>
      <c r="L482" s="377">
        <f>L483</f>
        <v>0</v>
      </c>
      <c r="M482" s="377">
        <f>M483</f>
        <v>20</v>
      </c>
    </row>
    <row r="483" spans="1:14" s="354" customFormat="1" ht="37.5" x14ac:dyDescent="0.3">
      <c r="A483" s="358"/>
      <c r="B483" s="381" t="s">
        <v>455</v>
      </c>
      <c r="C483" s="374" t="s">
        <v>453</v>
      </c>
      <c r="D483" s="357" t="s">
        <v>306</v>
      </c>
      <c r="E483" s="357" t="s">
        <v>90</v>
      </c>
      <c r="F483" s="412" t="s">
        <v>119</v>
      </c>
      <c r="G483" s="443" t="s">
        <v>150</v>
      </c>
      <c r="H483" s="443" t="s">
        <v>119</v>
      </c>
      <c r="I483" s="459" t="s">
        <v>456</v>
      </c>
      <c r="J483" s="458"/>
      <c r="K483" s="377">
        <f>SUM(K484:K484)</f>
        <v>20</v>
      </c>
      <c r="L483" s="377">
        <f>SUM(L484:L484)</f>
        <v>0</v>
      </c>
      <c r="M483" s="377">
        <f>SUM(M484:M484)</f>
        <v>20</v>
      </c>
    </row>
    <row r="484" spans="1:14" s="378" customFormat="1" ht="56.25" x14ac:dyDescent="0.3">
      <c r="A484" s="358"/>
      <c r="B484" s="381" t="s">
        <v>135</v>
      </c>
      <c r="C484" s="374" t="s">
        <v>453</v>
      </c>
      <c r="D484" s="357" t="s">
        <v>306</v>
      </c>
      <c r="E484" s="357" t="s">
        <v>90</v>
      </c>
      <c r="F484" s="375" t="s">
        <v>119</v>
      </c>
      <c r="G484" s="376" t="s">
        <v>150</v>
      </c>
      <c r="H484" s="376" t="s">
        <v>119</v>
      </c>
      <c r="I484" s="913" t="s">
        <v>456</v>
      </c>
      <c r="J484" s="357" t="s">
        <v>136</v>
      </c>
      <c r="K484" s="377">
        <v>20</v>
      </c>
      <c r="L484" s="252">
        <f>M484-K484</f>
        <v>0</v>
      </c>
      <c r="M484" s="377">
        <v>20</v>
      </c>
      <c r="N484" s="461"/>
    </row>
    <row r="485" spans="1:14" s="354" customFormat="1" ht="37.5" x14ac:dyDescent="0.3">
      <c r="A485" s="358"/>
      <c r="B485" s="373" t="s">
        <v>462</v>
      </c>
      <c r="C485" s="374" t="s">
        <v>453</v>
      </c>
      <c r="D485" s="357" t="s">
        <v>306</v>
      </c>
      <c r="E485" s="357" t="s">
        <v>105</v>
      </c>
      <c r="F485" s="412"/>
      <c r="G485" s="443"/>
      <c r="H485" s="443"/>
      <c r="I485" s="459"/>
      <c r="J485" s="458"/>
      <c r="K485" s="377">
        <f t="shared" ref="K485:M485" si="145">K486</f>
        <v>9103.6999999999989</v>
      </c>
      <c r="L485" s="377">
        <f t="shared" si="145"/>
        <v>226.60000000000002</v>
      </c>
      <c r="M485" s="377">
        <f t="shared" si="145"/>
        <v>9330.2999999999993</v>
      </c>
    </row>
    <row r="486" spans="1:14" s="354" customFormat="1" ht="56.25" x14ac:dyDescent="0.3">
      <c r="A486" s="358"/>
      <c r="B486" s="383" t="s">
        <v>293</v>
      </c>
      <c r="C486" s="374" t="s">
        <v>453</v>
      </c>
      <c r="D486" s="357" t="s">
        <v>306</v>
      </c>
      <c r="E486" s="357" t="s">
        <v>105</v>
      </c>
      <c r="F486" s="412" t="s">
        <v>119</v>
      </c>
      <c r="G486" s="443" t="s">
        <v>95</v>
      </c>
      <c r="H486" s="443" t="s">
        <v>96</v>
      </c>
      <c r="I486" s="459" t="s">
        <v>97</v>
      </c>
      <c r="J486" s="458"/>
      <c r="K486" s="377">
        <f>K491+K487</f>
        <v>9103.6999999999989</v>
      </c>
      <c r="L486" s="377">
        <f>L491+L487</f>
        <v>226.60000000000002</v>
      </c>
      <c r="M486" s="377">
        <f>M491+M487</f>
        <v>9330.2999999999993</v>
      </c>
    </row>
    <row r="487" spans="1:14" s="378" customFormat="1" ht="56.25" x14ac:dyDescent="0.3">
      <c r="A487" s="358"/>
      <c r="B487" s="373" t="s">
        <v>469</v>
      </c>
      <c r="C487" s="374" t="s">
        <v>453</v>
      </c>
      <c r="D487" s="357" t="s">
        <v>306</v>
      </c>
      <c r="E487" s="357" t="s">
        <v>105</v>
      </c>
      <c r="F487" s="375" t="s">
        <v>119</v>
      </c>
      <c r="G487" s="376" t="s">
        <v>150</v>
      </c>
      <c r="H487" s="376" t="s">
        <v>96</v>
      </c>
      <c r="I487" s="913" t="s">
        <v>97</v>
      </c>
      <c r="J487" s="357"/>
      <c r="K487" s="377">
        <f>K488</f>
        <v>542.79999999999995</v>
      </c>
      <c r="L487" s="377">
        <f>L488</f>
        <v>220</v>
      </c>
      <c r="M487" s="377">
        <f>M488</f>
        <v>762.8</v>
      </c>
      <c r="N487" s="461"/>
    </row>
    <row r="488" spans="1:14" s="378" customFormat="1" ht="112.5" x14ac:dyDescent="0.3">
      <c r="A488" s="358"/>
      <c r="B488" s="381" t="s">
        <v>461</v>
      </c>
      <c r="C488" s="374" t="s">
        <v>453</v>
      </c>
      <c r="D488" s="357" t="s">
        <v>306</v>
      </c>
      <c r="E488" s="357" t="s">
        <v>105</v>
      </c>
      <c r="F488" s="375" t="s">
        <v>119</v>
      </c>
      <c r="G488" s="376" t="s">
        <v>150</v>
      </c>
      <c r="H488" s="376" t="s">
        <v>119</v>
      </c>
      <c r="I488" s="913" t="s">
        <v>97</v>
      </c>
      <c r="J488" s="357"/>
      <c r="K488" s="377">
        <f t="shared" ref="K488:M489" si="146">K489</f>
        <v>542.79999999999995</v>
      </c>
      <c r="L488" s="377">
        <f t="shared" si="146"/>
        <v>220</v>
      </c>
      <c r="M488" s="377">
        <f t="shared" si="146"/>
        <v>762.8</v>
      </c>
      <c r="N488" s="461"/>
    </row>
    <row r="489" spans="1:14" s="378" customFormat="1" ht="37.5" x14ac:dyDescent="0.3">
      <c r="A489" s="358"/>
      <c r="B489" s="381" t="s">
        <v>455</v>
      </c>
      <c r="C489" s="374" t="s">
        <v>453</v>
      </c>
      <c r="D489" s="357" t="s">
        <v>306</v>
      </c>
      <c r="E489" s="357" t="s">
        <v>105</v>
      </c>
      <c r="F489" s="375" t="s">
        <v>119</v>
      </c>
      <c r="G489" s="376" t="s">
        <v>150</v>
      </c>
      <c r="H489" s="376" t="s">
        <v>119</v>
      </c>
      <c r="I489" s="913" t="s">
        <v>456</v>
      </c>
      <c r="J489" s="357"/>
      <c r="K489" s="377">
        <f t="shared" si="146"/>
        <v>542.79999999999995</v>
      </c>
      <c r="L489" s="377">
        <f t="shared" si="146"/>
        <v>220</v>
      </c>
      <c r="M489" s="377">
        <f t="shared" si="146"/>
        <v>762.8</v>
      </c>
      <c r="N489" s="461"/>
    </row>
    <row r="490" spans="1:14" s="378" customFormat="1" ht="56.25" x14ac:dyDescent="0.3">
      <c r="A490" s="358"/>
      <c r="B490" s="373" t="s">
        <v>108</v>
      </c>
      <c r="C490" s="374" t="s">
        <v>453</v>
      </c>
      <c r="D490" s="357" t="s">
        <v>306</v>
      </c>
      <c r="E490" s="357" t="s">
        <v>105</v>
      </c>
      <c r="F490" s="375" t="s">
        <v>119</v>
      </c>
      <c r="G490" s="376" t="s">
        <v>150</v>
      </c>
      <c r="H490" s="376" t="s">
        <v>119</v>
      </c>
      <c r="I490" s="913" t="s">
        <v>456</v>
      </c>
      <c r="J490" s="357" t="s">
        <v>109</v>
      </c>
      <c r="K490" s="377">
        <v>542.79999999999995</v>
      </c>
      <c r="L490" s="252">
        <f>M490-K490</f>
        <v>220</v>
      </c>
      <c r="M490" s="377">
        <f>542.8+220</f>
        <v>762.8</v>
      </c>
      <c r="N490" s="461"/>
    </row>
    <row r="491" spans="1:14" s="378" customFormat="1" ht="56.25" x14ac:dyDescent="0.3">
      <c r="A491" s="358"/>
      <c r="B491" s="373" t="s">
        <v>296</v>
      </c>
      <c r="C491" s="374" t="s">
        <v>453</v>
      </c>
      <c r="D491" s="357" t="s">
        <v>306</v>
      </c>
      <c r="E491" s="357" t="s">
        <v>105</v>
      </c>
      <c r="F491" s="375" t="s">
        <v>119</v>
      </c>
      <c r="G491" s="376" t="s">
        <v>83</v>
      </c>
      <c r="H491" s="376" t="s">
        <v>96</v>
      </c>
      <c r="I491" s="913" t="s">
        <v>97</v>
      </c>
      <c r="J491" s="357"/>
      <c r="K491" s="377">
        <f t="shared" ref="K491:M491" si="147">K492</f>
        <v>8560.9</v>
      </c>
      <c r="L491" s="377">
        <f t="shared" si="147"/>
        <v>6.6000000000000227</v>
      </c>
      <c r="M491" s="377">
        <f t="shared" si="147"/>
        <v>8567.5</v>
      </c>
      <c r="N491" s="461"/>
    </row>
    <row r="492" spans="1:14" s="378" customFormat="1" ht="37.5" x14ac:dyDescent="0.3">
      <c r="A492" s="358"/>
      <c r="B492" s="373" t="s">
        <v>389</v>
      </c>
      <c r="C492" s="374" t="s">
        <v>453</v>
      </c>
      <c r="D492" s="357" t="s">
        <v>306</v>
      </c>
      <c r="E492" s="357" t="s">
        <v>105</v>
      </c>
      <c r="F492" s="375" t="s">
        <v>119</v>
      </c>
      <c r="G492" s="376" t="s">
        <v>83</v>
      </c>
      <c r="H492" s="376" t="s">
        <v>90</v>
      </c>
      <c r="I492" s="913" t="s">
        <v>97</v>
      </c>
      <c r="J492" s="357"/>
      <c r="K492" s="377">
        <f>K493+K497</f>
        <v>8560.9</v>
      </c>
      <c r="L492" s="377">
        <f>L493+L497</f>
        <v>6.6000000000000227</v>
      </c>
      <c r="M492" s="377">
        <f>M493+M497</f>
        <v>8567.5</v>
      </c>
      <c r="N492" s="461"/>
    </row>
    <row r="493" spans="1:14" s="354" customFormat="1" ht="37.5" x14ac:dyDescent="0.3">
      <c r="A493" s="358"/>
      <c r="B493" s="373" t="s">
        <v>100</v>
      </c>
      <c r="C493" s="374" t="s">
        <v>453</v>
      </c>
      <c r="D493" s="357" t="s">
        <v>306</v>
      </c>
      <c r="E493" s="357" t="s">
        <v>105</v>
      </c>
      <c r="F493" s="375" t="s">
        <v>119</v>
      </c>
      <c r="G493" s="376" t="s">
        <v>83</v>
      </c>
      <c r="H493" s="376" t="s">
        <v>90</v>
      </c>
      <c r="I493" s="913" t="s">
        <v>101</v>
      </c>
      <c r="J493" s="458"/>
      <c r="K493" s="377">
        <f t="shared" ref="K493" si="148">K494+K495+K496</f>
        <v>2619.8999999999996</v>
      </c>
      <c r="L493" s="377">
        <f t="shared" ref="L493:M493" si="149">L494+L495+L496</f>
        <v>0</v>
      </c>
      <c r="M493" s="377">
        <f t="shared" si="149"/>
        <v>2619.8999999999996</v>
      </c>
    </row>
    <row r="494" spans="1:14" s="354" customFormat="1" ht="112.5" x14ac:dyDescent="0.3">
      <c r="A494" s="358"/>
      <c r="B494" s="373" t="s">
        <v>102</v>
      </c>
      <c r="C494" s="374" t="s">
        <v>453</v>
      </c>
      <c r="D494" s="357" t="s">
        <v>306</v>
      </c>
      <c r="E494" s="357" t="s">
        <v>105</v>
      </c>
      <c r="F494" s="375" t="s">
        <v>119</v>
      </c>
      <c r="G494" s="376" t="s">
        <v>83</v>
      </c>
      <c r="H494" s="376" t="s">
        <v>90</v>
      </c>
      <c r="I494" s="913" t="s">
        <v>101</v>
      </c>
      <c r="J494" s="458" t="s">
        <v>103</v>
      </c>
      <c r="K494" s="377">
        <v>2413.1999999999998</v>
      </c>
      <c r="L494" s="252">
        <f t="shared" ref="L494:L496" si="150">M494-K494</f>
        <v>0</v>
      </c>
      <c r="M494" s="377">
        <v>2413.1999999999998</v>
      </c>
    </row>
    <row r="495" spans="1:14" s="354" customFormat="1" ht="56.25" x14ac:dyDescent="0.3">
      <c r="A495" s="358"/>
      <c r="B495" s="373" t="s">
        <v>108</v>
      </c>
      <c r="C495" s="374" t="s">
        <v>453</v>
      </c>
      <c r="D495" s="357" t="s">
        <v>306</v>
      </c>
      <c r="E495" s="357" t="s">
        <v>105</v>
      </c>
      <c r="F495" s="375" t="s">
        <v>119</v>
      </c>
      <c r="G495" s="376" t="s">
        <v>83</v>
      </c>
      <c r="H495" s="376" t="s">
        <v>90</v>
      </c>
      <c r="I495" s="913" t="s">
        <v>101</v>
      </c>
      <c r="J495" s="458" t="s">
        <v>109</v>
      </c>
      <c r="K495" s="377">
        <v>202.2</v>
      </c>
      <c r="L495" s="252">
        <f t="shared" si="150"/>
        <v>0</v>
      </c>
      <c r="M495" s="377">
        <v>202.2</v>
      </c>
    </row>
    <row r="496" spans="1:14" s="354" customFormat="1" ht="18.75" x14ac:dyDescent="0.3">
      <c r="A496" s="358"/>
      <c r="B496" s="373" t="s">
        <v>110</v>
      </c>
      <c r="C496" s="374" t="s">
        <v>453</v>
      </c>
      <c r="D496" s="357" t="s">
        <v>306</v>
      </c>
      <c r="E496" s="357" t="s">
        <v>105</v>
      </c>
      <c r="F496" s="375" t="s">
        <v>119</v>
      </c>
      <c r="G496" s="376" t="s">
        <v>83</v>
      </c>
      <c r="H496" s="376" t="s">
        <v>90</v>
      </c>
      <c r="I496" s="913" t="s">
        <v>101</v>
      </c>
      <c r="J496" s="357" t="s">
        <v>111</v>
      </c>
      <c r="K496" s="377">
        <v>4.5</v>
      </c>
      <c r="L496" s="252">
        <f t="shared" si="150"/>
        <v>0</v>
      </c>
      <c r="M496" s="377">
        <v>4.5</v>
      </c>
    </row>
    <row r="497" spans="1:14" s="378" customFormat="1" ht="93.75" x14ac:dyDescent="0.3">
      <c r="A497" s="358"/>
      <c r="B497" s="380" t="s">
        <v>458</v>
      </c>
      <c r="C497" s="374" t="s">
        <v>453</v>
      </c>
      <c r="D497" s="357" t="s">
        <v>306</v>
      </c>
      <c r="E497" s="357" t="s">
        <v>105</v>
      </c>
      <c r="F497" s="375" t="s">
        <v>119</v>
      </c>
      <c r="G497" s="376" t="s">
        <v>83</v>
      </c>
      <c r="H497" s="376" t="s">
        <v>90</v>
      </c>
      <c r="I497" s="913" t="s">
        <v>153</v>
      </c>
      <c r="J497" s="357"/>
      <c r="K497" s="377">
        <f>K498+K499+K500</f>
        <v>5941</v>
      </c>
      <c r="L497" s="377">
        <f>L498+L499+L500</f>
        <v>6.6000000000000227</v>
      </c>
      <c r="M497" s="377">
        <f>M498+M499+M500</f>
        <v>5947.5999999999995</v>
      </c>
      <c r="N497" s="461"/>
    </row>
    <row r="498" spans="1:14" s="354" customFormat="1" ht="112.5" x14ac:dyDescent="0.3">
      <c r="A498" s="358"/>
      <c r="B498" s="373" t="s">
        <v>102</v>
      </c>
      <c r="C498" s="457" t="s">
        <v>453</v>
      </c>
      <c r="D498" s="458" t="s">
        <v>306</v>
      </c>
      <c r="E498" s="458" t="s">
        <v>105</v>
      </c>
      <c r="F498" s="375" t="s">
        <v>119</v>
      </c>
      <c r="G498" s="376" t="s">
        <v>83</v>
      </c>
      <c r="H498" s="376" t="s">
        <v>90</v>
      </c>
      <c r="I498" s="913" t="s">
        <v>153</v>
      </c>
      <c r="J498" s="458" t="s">
        <v>103</v>
      </c>
      <c r="K498" s="377">
        <v>5519.4</v>
      </c>
      <c r="L498" s="252">
        <f t="shared" ref="L498:L500" si="151">M498-K498</f>
        <v>0</v>
      </c>
      <c r="M498" s="377">
        <v>5519.4</v>
      </c>
    </row>
    <row r="499" spans="1:14" s="354" customFormat="1" ht="56.25" x14ac:dyDescent="0.3">
      <c r="A499" s="358"/>
      <c r="B499" s="373" t="s">
        <v>108</v>
      </c>
      <c r="C499" s="457" t="s">
        <v>453</v>
      </c>
      <c r="D499" s="458" t="s">
        <v>306</v>
      </c>
      <c r="E499" s="458" t="s">
        <v>105</v>
      </c>
      <c r="F499" s="375" t="s">
        <v>119</v>
      </c>
      <c r="G499" s="376" t="s">
        <v>83</v>
      </c>
      <c r="H499" s="376" t="s">
        <v>90</v>
      </c>
      <c r="I499" s="913" t="s">
        <v>153</v>
      </c>
      <c r="J499" s="458" t="s">
        <v>109</v>
      </c>
      <c r="K499" s="377">
        <v>419.8</v>
      </c>
      <c r="L499" s="252">
        <f t="shared" si="151"/>
        <v>6.6000000000000227</v>
      </c>
      <c r="M499" s="377">
        <f>419.8+6.6</f>
        <v>426.40000000000003</v>
      </c>
    </row>
    <row r="500" spans="1:14" s="378" customFormat="1" ht="18.75" x14ac:dyDescent="0.3">
      <c r="A500" s="358"/>
      <c r="B500" s="373" t="s">
        <v>110</v>
      </c>
      <c r="C500" s="457" t="s">
        <v>453</v>
      </c>
      <c r="D500" s="458" t="s">
        <v>306</v>
      </c>
      <c r="E500" s="458" t="s">
        <v>105</v>
      </c>
      <c r="F500" s="375" t="s">
        <v>119</v>
      </c>
      <c r="G500" s="376" t="s">
        <v>83</v>
      </c>
      <c r="H500" s="376" t="s">
        <v>90</v>
      </c>
      <c r="I500" s="913" t="s">
        <v>153</v>
      </c>
      <c r="J500" s="357" t="s">
        <v>111</v>
      </c>
      <c r="K500" s="377">
        <v>1.8</v>
      </c>
      <c r="L500" s="252">
        <f t="shared" si="151"/>
        <v>0</v>
      </c>
      <c r="M500" s="377">
        <v>1.8</v>
      </c>
      <c r="N500" s="461"/>
    </row>
    <row r="501" spans="1:14" s="378" customFormat="1" ht="18.75" x14ac:dyDescent="0.3">
      <c r="A501" s="358"/>
      <c r="B501" s="373"/>
      <c r="C501" s="457"/>
      <c r="D501" s="458"/>
      <c r="E501" s="458"/>
      <c r="F501" s="375"/>
      <c r="G501" s="376"/>
      <c r="H501" s="376"/>
      <c r="I501" s="913"/>
      <c r="J501" s="357"/>
      <c r="K501" s="377"/>
      <c r="L501" s="377"/>
      <c r="M501" s="377"/>
      <c r="N501" s="461"/>
    </row>
    <row r="502" spans="1:14" s="372" customFormat="1" ht="56.25" x14ac:dyDescent="0.3">
      <c r="A502" s="365">
        <v>7</v>
      </c>
      <c r="B502" s="366" t="s">
        <v>58</v>
      </c>
      <c r="C502" s="367" t="s">
        <v>398</v>
      </c>
      <c r="D502" s="368"/>
      <c r="E502" s="368"/>
      <c r="F502" s="369"/>
      <c r="G502" s="370"/>
      <c r="H502" s="370"/>
      <c r="I502" s="371"/>
      <c r="J502" s="368"/>
      <c r="K502" s="519">
        <f t="shared" ref="K502:M502" si="152">K503</f>
        <v>40440.400000000001</v>
      </c>
      <c r="L502" s="519">
        <f t="shared" si="152"/>
        <v>-1802.5000000000007</v>
      </c>
      <c r="M502" s="519">
        <f t="shared" si="152"/>
        <v>38637.9</v>
      </c>
    </row>
    <row r="503" spans="1:14" s="378" customFormat="1" ht="18.75" x14ac:dyDescent="0.3">
      <c r="A503" s="358"/>
      <c r="B503" s="383" t="s">
        <v>463</v>
      </c>
      <c r="C503" s="374" t="s">
        <v>398</v>
      </c>
      <c r="D503" s="357" t="s">
        <v>123</v>
      </c>
      <c r="E503" s="357"/>
      <c r="F503" s="375"/>
      <c r="G503" s="376"/>
      <c r="H503" s="376"/>
      <c r="I503" s="913"/>
      <c r="J503" s="357"/>
      <c r="K503" s="377">
        <f>K504+K518+K529</f>
        <v>40440.400000000001</v>
      </c>
      <c r="L503" s="377">
        <f>L504+L518+L529</f>
        <v>-1802.5000000000007</v>
      </c>
      <c r="M503" s="377">
        <f>M504+M518+M529</f>
        <v>38637.9</v>
      </c>
    </row>
    <row r="504" spans="1:14" s="372" customFormat="1" ht="18.75" x14ac:dyDescent="0.3">
      <c r="A504" s="358"/>
      <c r="B504" s="383" t="s">
        <v>538</v>
      </c>
      <c r="C504" s="374" t="s">
        <v>398</v>
      </c>
      <c r="D504" s="357" t="s">
        <v>123</v>
      </c>
      <c r="E504" s="357" t="s">
        <v>90</v>
      </c>
      <c r="F504" s="375"/>
      <c r="G504" s="376"/>
      <c r="H504" s="376"/>
      <c r="I504" s="913"/>
      <c r="J504" s="357"/>
      <c r="K504" s="377">
        <f t="shared" ref="K504:M504" si="153">K505</f>
        <v>36580</v>
      </c>
      <c r="L504" s="377">
        <f t="shared" si="153"/>
        <v>-1802.5000000000007</v>
      </c>
      <c r="M504" s="377">
        <f t="shared" si="153"/>
        <v>34777.5</v>
      </c>
    </row>
    <row r="505" spans="1:14" s="372" customFormat="1" ht="56.25" x14ac:dyDescent="0.3">
      <c r="A505" s="358"/>
      <c r="B505" s="373" t="s">
        <v>297</v>
      </c>
      <c r="C505" s="374" t="s">
        <v>398</v>
      </c>
      <c r="D505" s="357" t="s">
        <v>123</v>
      </c>
      <c r="E505" s="357" t="s">
        <v>90</v>
      </c>
      <c r="F505" s="375" t="s">
        <v>105</v>
      </c>
      <c r="G505" s="376" t="s">
        <v>95</v>
      </c>
      <c r="H505" s="376" t="s">
        <v>96</v>
      </c>
      <c r="I505" s="913" t="s">
        <v>97</v>
      </c>
      <c r="J505" s="357"/>
      <c r="K505" s="377">
        <f t="shared" ref="K505" si="154">K506+K510</f>
        <v>36580</v>
      </c>
      <c r="L505" s="377">
        <f t="shared" ref="L505:M505" si="155">L506+L510</f>
        <v>-1802.5000000000007</v>
      </c>
      <c r="M505" s="377">
        <f t="shared" si="155"/>
        <v>34777.5</v>
      </c>
    </row>
    <row r="506" spans="1:14" s="372" customFormat="1" ht="37.5" x14ac:dyDescent="0.3">
      <c r="A506" s="358"/>
      <c r="B506" s="383" t="s">
        <v>298</v>
      </c>
      <c r="C506" s="374" t="s">
        <v>398</v>
      </c>
      <c r="D506" s="357" t="s">
        <v>123</v>
      </c>
      <c r="E506" s="357" t="s">
        <v>90</v>
      </c>
      <c r="F506" s="375" t="s">
        <v>105</v>
      </c>
      <c r="G506" s="376" t="s">
        <v>98</v>
      </c>
      <c r="H506" s="376" t="s">
        <v>96</v>
      </c>
      <c r="I506" s="913" t="s">
        <v>97</v>
      </c>
      <c r="J506" s="357"/>
      <c r="K506" s="377">
        <f t="shared" ref="K506:M508" si="156">K507</f>
        <v>171</v>
      </c>
      <c r="L506" s="377">
        <f t="shared" si="156"/>
        <v>0</v>
      </c>
      <c r="M506" s="377">
        <f t="shared" si="156"/>
        <v>171</v>
      </c>
    </row>
    <row r="507" spans="1:14" s="372" customFormat="1" ht="18.75" x14ac:dyDescent="0.3">
      <c r="A507" s="358"/>
      <c r="B507" s="373" t="s">
        <v>384</v>
      </c>
      <c r="C507" s="374" t="s">
        <v>398</v>
      </c>
      <c r="D507" s="357" t="s">
        <v>123</v>
      </c>
      <c r="E507" s="357" t="s">
        <v>90</v>
      </c>
      <c r="F507" s="375" t="s">
        <v>105</v>
      </c>
      <c r="G507" s="376" t="s">
        <v>98</v>
      </c>
      <c r="H507" s="376" t="s">
        <v>90</v>
      </c>
      <c r="I507" s="913" t="s">
        <v>97</v>
      </c>
      <c r="J507" s="357"/>
      <c r="K507" s="377">
        <f t="shared" si="156"/>
        <v>171</v>
      </c>
      <c r="L507" s="377">
        <f t="shared" si="156"/>
        <v>0</v>
      </c>
      <c r="M507" s="377">
        <f t="shared" si="156"/>
        <v>171</v>
      </c>
    </row>
    <row r="508" spans="1:14" s="372" customFormat="1" ht="56.25" x14ac:dyDescent="0.3">
      <c r="A508" s="358"/>
      <c r="B508" s="373" t="s">
        <v>385</v>
      </c>
      <c r="C508" s="374" t="s">
        <v>398</v>
      </c>
      <c r="D508" s="357" t="s">
        <v>123</v>
      </c>
      <c r="E508" s="357" t="s">
        <v>90</v>
      </c>
      <c r="F508" s="375" t="s">
        <v>105</v>
      </c>
      <c r="G508" s="376" t="s">
        <v>98</v>
      </c>
      <c r="H508" s="376" t="s">
        <v>90</v>
      </c>
      <c r="I508" s="913" t="s">
        <v>386</v>
      </c>
      <c r="J508" s="357"/>
      <c r="K508" s="377">
        <f t="shared" si="156"/>
        <v>171</v>
      </c>
      <c r="L508" s="377">
        <f t="shared" si="156"/>
        <v>0</v>
      </c>
      <c r="M508" s="377">
        <f t="shared" si="156"/>
        <v>171</v>
      </c>
    </row>
    <row r="509" spans="1:14" s="372" customFormat="1" ht="37.5" x14ac:dyDescent="0.3">
      <c r="A509" s="358"/>
      <c r="B509" s="373" t="s">
        <v>183</v>
      </c>
      <c r="C509" s="374" t="s">
        <v>398</v>
      </c>
      <c r="D509" s="357" t="s">
        <v>123</v>
      </c>
      <c r="E509" s="357" t="s">
        <v>90</v>
      </c>
      <c r="F509" s="375" t="s">
        <v>105</v>
      </c>
      <c r="G509" s="376" t="s">
        <v>98</v>
      </c>
      <c r="H509" s="376" t="s">
        <v>90</v>
      </c>
      <c r="I509" s="913" t="s">
        <v>386</v>
      </c>
      <c r="J509" s="357" t="s">
        <v>184</v>
      </c>
      <c r="K509" s="377">
        <v>171</v>
      </c>
      <c r="L509" s="252">
        <f>M509-K509</f>
        <v>0</v>
      </c>
      <c r="M509" s="377">
        <v>171</v>
      </c>
    </row>
    <row r="510" spans="1:14" s="378" customFormat="1" ht="37.5" x14ac:dyDescent="0.3">
      <c r="A510" s="358"/>
      <c r="B510" s="373" t="s">
        <v>300</v>
      </c>
      <c r="C510" s="374" t="s">
        <v>398</v>
      </c>
      <c r="D510" s="357" t="s">
        <v>123</v>
      </c>
      <c r="E510" s="357" t="s">
        <v>90</v>
      </c>
      <c r="F510" s="375" t="s">
        <v>105</v>
      </c>
      <c r="G510" s="376" t="s">
        <v>150</v>
      </c>
      <c r="H510" s="376" t="s">
        <v>96</v>
      </c>
      <c r="I510" s="913" t="s">
        <v>97</v>
      </c>
      <c r="J510" s="357"/>
      <c r="K510" s="377">
        <f t="shared" ref="K510:M510" si="157">K511</f>
        <v>36409</v>
      </c>
      <c r="L510" s="377">
        <f t="shared" si="157"/>
        <v>-1802.5000000000007</v>
      </c>
      <c r="M510" s="377">
        <f t="shared" si="157"/>
        <v>34606.5</v>
      </c>
    </row>
    <row r="511" spans="1:14" s="372" customFormat="1" ht="37.5" x14ac:dyDescent="0.3">
      <c r="A511" s="358"/>
      <c r="B511" s="373" t="s">
        <v>541</v>
      </c>
      <c r="C511" s="374" t="s">
        <v>398</v>
      </c>
      <c r="D511" s="357" t="s">
        <v>123</v>
      </c>
      <c r="E511" s="357" t="s">
        <v>90</v>
      </c>
      <c r="F511" s="375" t="s">
        <v>105</v>
      </c>
      <c r="G511" s="376" t="s">
        <v>150</v>
      </c>
      <c r="H511" s="376" t="s">
        <v>92</v>
      </c>
      <c r="I511" s="913" t="s">
        <v>97</v>
      </c>
      <c r="J511" s="357"/>
      <c r="K511" s="377">
        <f>K512+K516</f>
        <v>36409</v>
      </c>
      <c r="L511" s="377">
        <f>L512+L516</f>
        <v>-1802.5000000000007</v>
      </c>
      <c r="M511" s="377">
        <f>M512+M516</f>
        <v>34606.5</v>
      </c>
    </row>
    <row r="512" spans="1:14" s="372" customFormat="1" ht="93.75" x14ac:dyDescent="0.3">
      <c r="A512" s="358"/>
      <c r="B512" s="373" t="s">
        <v>151</v>
      </c>
      <c r="C512" s="374" t="s">
        <v>398</v>
      </c>
      <c r="D512" s="357" t="s">
        <v>123</v>
      </c>
      <c r="E512" s="357" t="s">
        <v>90</v>
      </c>
      <c r="F512" s="375" t="s">
        <v>105</v>
      </c>
      <c r="G512" s="376" t="s">
        <v>150</v>
      </c>
      <c r="H512" s="376" t="s">
        <v>92</v>
      </c>
      <c r="I512" s="913" t="s">
        <v>153</v>
      </c>
      <c r="J512" s="357"/>
      <c r="K512" s="377">
        <f t="shared" ref="K512" si="158">K513+K514+K515</f>
        <v>28537.3</v>
      </c>
      <c r="L512" s="377">
        <f t="shared" ref="L512:M512" si="159">L513+L514+L515</f>
        <v>-1802.5000000000007</v>
      </c>
      <c r="M512" s="377">
        <f t="shared" si="159"/>
        <v>26734.799999999999</v>
      </c>
    </row>
    <row r="513" spans="1:14" s="372" customFormat="1" ht="112.5" x14ac:dyDescent="0.3">
      <c r="A513" s="358"/>
      <c r="B513" s="373" t="s">
        <v>102</v>
      </c>
      <c r="C513" s="374" t="s">
        <v>398</v>
      </c>
      <c r="D513" s="357" t="s">
        <v>123</v>
      </c>
      <c r="E513" s="357" t="s">
        <v>90</v>
      </c>
      <c r="F513" s="375" t="s">
        <v>105</v>
      </c>
      <c r="G513" s="376" t="s">
        <v>150</v>
      </c>
      <c r="H513" s="376" t="s">
        <v>92</v>
      </c>
      <c r="I513" s="913" t="s">
        <v>153</v>
      </c>
      <c r="J513" s="357" t="s">
        <v>103</v>
      </c>
      <c r="K513" s="252">
        <v>21275.200000000001</v>
      </c>
      <c r="L513" s="252">
        <f t="shared" ref="L513:L515" si="160">M513-K513</f>
        <v>277.79999999999927</v>
      </c>
      <c r="M513" s="252">
        <f>21275.2+1081.3+200-1003.5</f>
        <v>21553</v>
      </c>
    </row>
    <row r="514" spans="1:14" s="378" customFormat="1" ht="56.25" x14ac:dyDescent="0.3">
      <c r="A514" s="358"/>
      <c r="B514" s="373" t="s">
        <v>108</v>
      </c>
      <c r="C514" s="374" t="s">
        <v>398</v>
      </c>
      <c r="D514" s="357" t="s">
        <v>123</v>
      </c>
      <c r="E514" s="357" t="s">
        <v>90</v>
      </c>
      <c r="F514" s="375" t="s">
        <v>105</v>
      </c>
      <c r="G514" s="376" t="s">
        <v>150</v>
      </c>
      <c r="H514" s="376" t="s">
        <v>92</v>
      </c>
      <c r="I514" s="913" t="s">
        <v>153</v>
      </c>
      <c r="J514" s="357" t="s">
        <v>109</v>
      </c>
      <c r="K514" s="590">
        <f>5935.8-1032</f>
        <v>4903.8</v>
      </c>
      <c r="L514" s="252">
        <f t="shared" si="160"/>
        <v>-1203.5</v>
      </c>
      <c r="M514" s="590">
        <f>5935.8-1032-1203.5</f>
        <v>3700.3</v>
      </c>
    </row>
    <row r="515" spans="1:14" s="372" customFormat="1" ht="18.75" x14ac:dyDescent="0.3">
      <c r="A515" s="358"/>
      <c r="B515" s="373" t="s">
        <v>110</v>
      </c>
      <c r="C515" s="374" t="s">
        <v>398</v>
      </c>
      <c r="D515" s="357" t="s">
        <v>123</v>
      </c>
      <c r="E515" s="357" t="s">
        <v>90</v>
      </c>
      <c r="F515" s="375" t="s">
        <v>105</v>
      </c>
      <c r="G515" s="376" t="s">
        <v>150</v>
      </c>
      <c r="H515" s="376" t="s">
        <v>92</v>
      </c>
      <c r="I515" s="913" t="s">
        <v>153</v>
      </c>
      <c r="J515" s="357" t="s">
        <v>111</v>
      </c>
      <c r="K515" s="252">
        <v>2358.3000000000002</v>
      </c>
      <c r="L515" s="252">
        <f t="shared" si="160"/>
        <v>-876.8</v>
      </c>
      <c r="M515" s="252">
        <f>2358.3-876.8</f>
        <v>1481.5000000000002</v>
      </c>
    </row>
    <row r="516" spans="1:14" s="372" customFormat="1" ht="37.5" x14ac:dyDescent="0.3">
      <c r="A516" s="358"/>
      <c r="B516" s="373" t="s">
        <v>619</v>
      </c>
      <c r="C516" s="374" t="s">
        <v>398</v>
      </c>
      <c r="D516" s="357" t="s">
        <v>123</v>
      </c>
      <c r="E516" s="357" t="s">
        <v>90</v>
      </c>
      <c r="F516" s="563" t="s">
        <v>105</v>
      </c>
      <c r="G516" s="564" t="s">
        <v>150</v>
      </c>
      <c r="H516" s="564" t="s">
        <v>92</v>
      </c>
      <c r="I516" s="562" t="s">
        <v>618</v>
      </c>
      <c r="J516" s="565"/>
      <c r="K516" s="252">
        <f>K517</f>
        <v>7871.7</v>
      </c>
      <c r="L516" s="252">
        <f>L517</f>
        <v>0</v>
      </c>
      <c r="M516" s="252">
        <f>M517</f>
        <v>7871.7</v>
      </c>
    </row>
    <row r="517" spans="1:14" s="372" customFormat="1" ht="56.25" x14ac:dyDescent="0.3">
      <c r="A517" s="358"/>
      <c r="B517" s="373" t="s">
        <v>108</v>
      </c>
      <c r="C517" s="374" t="s">
        <v>398</v>
      </c>
      <c r="D517" s="357" t="s">
        <v>123</v>
      </c>
      <c r="E517" s="357" t="s">
        <v>90</v>
      </c>
      <c r="F517" s="563" t="s">
        <v>105</v>
      </c>
      <c r="G517" s="564" t="s">
        <v>150</v>
      </c>
      <c r="H517" s="564" t="s">
        <v>92</v>
      </c>
      <c r="I517" s="562" t="s">
        <v>618</v>
      </c>
      <c r="J517" s="565" t="s">
        <v>109</v>
      </c>
      <c r="K517" s="590">
        <f>6926.7+945</f>
        <v>7871.7</v>
      </c>
      <c r="L517" s="252">
        <f>M517-K517</f>
        <v>0</v>
      </c>
      <c r="M517" s="590">
        <f>6926.7+945</f>
        <v>7871.7</v>
      </c>
    </row>
    <row r="518" spans="1:14" s="378" customFormat="1" ht="18.75" x14ac:dyDescent="0.3">
      <c r="A518" s="358"/>
      <c r="B518" s="383" t="s">
        <v>401</v>
      </c>
      <c r="C518" s="374" t="s">
        <v>398</v>
      </c>
      <c r="D518" s="357" t="s">
        <v>123</v>
      </c>
      <c r="E518" s="357" t="s">
        <v>92</v>
      </c>
      <c r="F518" s="375"/>
      <c r="G518" s="376"/>
      <c r="H518" s="376"/>
      <c r="I518" s="913"/>
      <c r="J518" s="357"/>
      <c r="K518" s="377">
        <f t="shared" ref="K518:M518" si="161">K519</f>
        <v>1510.3000000000002</v>
      </c>
      <c r="L518" s="377">
        <f t="shared" si="161"/>
        <v>0</v>
      </c>
      <c r="M518" s="377">
        <f t="shared" si="161"/>
        <v>1510.3000000000002</v>
      </c>
      <c r="N518" s="461"/>
    </row>
    <row r="519" spans="1:14" s="378" customFormat="1" ht="56.25" x14ac:dyDescent="0.3">
      <c r="A519" s="358"/>
      <c r="B519" s="373" t="s">
        <v>297</v>
      </c>
      <c r="C519" s="374" t="s">
        <v>398</v>
      </c>
      <c r="D519" s="357" t="s">
        <v>123</v>
      </c>
      <c r="E519" s="357" t="s">
        <v>92</v>
      </c>
      <c r="F519" s="375" t="s">
        <v>105</v>
      </c>
      <c r="G519" s="376" t="s">
        <v>95</v>
      </c>
      <c r="H519" s="376" t="s">
        <v>96</v>
      </c>
      <c r="I519" s="913" t="s">
        <v>97</v>
      </c>
      <c r="J519" s="357"/>
      <c r="K519" s="377">
        <f t="shared" ref="K519:L519" si="162">K520+K525</f>
        <v>1510.3000000000002</v>
      </c>
      <c r="L519" s="377">
        <f t="shared" si="162"/>
        <v>0</v>
      </c>
      <c r="M519" s="377">
        <f t="shared" ref="M519" si="163">M520+M525</f>
        <v>1510.3000000000002</v>
      </c>
    </row>
    <row r="520" spans="1:14" s="378" customFormat="1" ht="37.5" x14ac:dyDescent="0.3">
      <c r="A520" s="358"/>
      <c r="B520" s="383" t="s">
        <v>298</v>
      </c>
      <c r="C520" s="374" t="s">
        <v>398</v>
      </c>
      <c r="D520" s="357" t="s">
        <v>123</v>
      </c>
      <c r="E520" s="357" t="s">
        <v>92</v>
      </c>
      <c r="F520" s="375" t="s">
        <v>105</v>
      </c>
      <c r="G520" s="376" t="s">
        <v>98</v>
      </c>
      <c r="H520" s="376" t="s">
        <v>96</v>
      </c>
      <c r="I520" s="913" t="s">
        <v>97</v>
      </c>
      <c r="J520" s="357"/>
      <c r="K520" s="377">
        <f t="shared" ref="K520:M521" si="164">K521</f>
        <v>487.1</v>
      </c>
      <c r="L520" s="377">
        <f t="shared" si="164"/>
        <v>0</v>
      </c>
      <c r="M520" s="377">
        <f t="shared" si="164"/>
        <v>487.1</v>
      </c>
      <c r="N520" s="461"/>
    </row>
    <row r="521" spans="1:14" s="378" customFormat="1" ht="56.25" x14ac:dyDescent="0.3">
      <c r="A521" s="358"/>
      <c r="B521" s="373" t="s">
        <v>399</v>
      </c>
      <c r="C521" s="374" t="s">
        <v>398</v>
      </c>
      <c r="D521" s="357" t="s">
        <v>123</v>
      </c>
      <c r="E521" s="357" t="s">
        <v>92</v>
      </c>
      <c r="F521" s="375" t="s">
        <v>105</v>
      </c>
      <c r="G521" s="376" t="s">
        <v>98</v>
      </c>
      <c r="H521" s="376" t="s">
        <v>92</v>
      </c>
      <c r="I521" s="913" t="s">
        <v>97</v>
      </c>
      <c r="J521" s="357"/>
      <c r="K521" s="377">
        <f t="shared" si="164"/>
        <v>487.1</v>
      </c>
      <c r="L521" s="377">
        <f t="shared" si="164"/>
        <v>0</v>
      </c>
      <c r="M521" s="377">
        <f t="shared" si="164"/>
        <v>487.1</v>
      </c>
      <c r="N521" s="461"/>
    </row>
    <row r="522" spans="1:14" s="378" customFormat="1" ht="56.25" x14ac:dyDescent="0.3">
      <c r="A522" s="358"/>
      <c r="B522" s="373" t="s">
        <v>299</v>
      </c>
      <c r="C522" s="374" t="s">
        <v>398</v>
      </c>
      <c r="D522" s="357" t="s">
        <v>123</v>
      </c>
      <c r="E522" s="357" t="s">
        <v>92</v>
      </c>
      <c r="F522" s="375" t="s">
        <v>105</v>
      </c>
      <c r="G522" s="376" t="s">
        <v>98</v>
      </c>
      <c r="H522" s="376" t="s">
        <v>92</v>
      </c>
      <c r="I522" s="913" t="s">
        <v>400</v>
      </c>
      <c r="J522" s="357"/>
      <c r="K522" s="377">
        <f t="shared" ref="K522" si="165">SUM(K523:K524)</f>
        <v>487.1</v>
      </c>
      <c r="L522" s="377">
        <f t="shared" ref="L522:M522" si="166">SUM(L523:L524)</f>
        <v>0</v>
      </c>
      <c r="M522" s="377">
        <f t="shared" si="166"/>
        <v>487.1</v>
      </c>
    </row>
    <row r="523" spans="1:14" s="378" customFormat="1" ht="112.5" x14ac:dyDescent="0.3">
      <c r="A523" s="358"/>
      <c r="B523" s="373" t="s">
        <v>102</v>
      </c>
      <c r="C523" s="374" t="s">
        <v>398</v>
      </c>
      <c r="D523" s="357" t="s">
        <v>123</v>
      </c>
      <c r="E523" s="357" t="s">
        <v>92</v>
      </c>
      <c r="F523" s="375" t="s">
        <v>105</v>
      </c>
      <c r="G523" s="376" t="s">
        <v>98</v>
      </c>
      <c r="H523" s="376" t="s">
        <v>92</v>
      </c>
      <c r="I523" s="913" t="s">
        <v>400</v>
      </c>
      <c r="J523" s="357" t="s">
        <v>103</v>
      </c>
      <c r="K523" s="377">
        <v>439.8</v>
      </c>
      <c r="L523" s="252">
        <f t="shared" ref="L523:L524" si="167">M523-K523</f>
        <v>0</v>
      </c>
      <c r="M523" s="377">
        <v>439.8</v>
      </c>
    </row>
    <row r="524" spans="1:14" s="378" customFormat="1" ht="56.25" x14ac:dyDescent="0.3">
      <c r="A524" s="358"/>
      <c r="B524" s="373" t="s">
        <v>108</v>
      </c>
      <c r="C524" s="374" t="s">
        <v>398</v>
      </c>
      <c r="D524" s="357" t="s">
        <v>123</v>
      </c>
      <c r="E524" s="357" t="s">
        <v>92</v>
      </c>
      <c r="F524" s="375" t="s">
        <v>105</v>
      </c>
      <c r="G524" s="376" t="s">
        <v>98</v>
      </c>
      <c r="H524" s="376" t="s">
        <v>92</v>
      </c>
      <c r="I524" s="913" t="s">
        <v>400</v>
      </c>
      <c r="J524" s="357" t="s">
        <v>109</v>
      </c>
      <c r="K524" s="377">
        <v>47.3</v>
      </c>
      <c r="L524" s="252">
        <f t="shared" si="167"/>
        <v>0</v>
      </c>
      <c r="M524" s="377">
        <v>47.3</v>
      </c>
      <c r="N524" s="461"/>
    </row>
    <row r="525" spans="1:14" s="378" customFormat="1" ht="37.5" x14ac:dyDescent="0.3">
      <c r="A525" s="358"/>
      <c r="B525" s="384" t="s">
        <v>491</v>
      </c>
      <c r="C525" s="374" t="s">
        <v>398</v>
      </c>
      <c r="D525" s="357" t="s">
        <v>123</v>
      </c>
      <c r="E525" s="357" t="s">
        <v>92</v>
      </c>
      <c r="F525" s="375" t="s">
        <v>105</v>
      </c>
      <c r="G525" s="376" t="s">
        <v>84</v>
      </c>
      <c r="H525" s="376" t="s">
        <v>96</v>
      </c>
      <c r="I525" s="913" t="s">
        <v>97</v>
      </c>
      <c r="J525" s="357"/>
      <c r="K525" s="377">
        <f t="shared" ref="K525:M527" si="168">K526</f>
        <v>1023.2</v>
      </c>
      <c r="L525" s="377">
        <f t="shared" si="168"/>
        <v>0</v>
      </c>
      <c r="M525" s="377">
        <f t="shared" si="168"/>
        <v>1023.2</v>
      </c>
      <c r="N525" s="461"/>
    </row>
    <row r="526" spans="1:14" s="378" customFormat="1" ht="75" x14ac:dyDescent="0.3">
      <c r="A526" s="358"/>
      <c r="B526" s="373" t="s">
        <v>574</v>
      </c>
      <c r="C526" s="374" t="s">
        <v>398</v>
      </c>
      <c r="D526" s="357" t="s">
        <v>123</v>
      </c>
      <c r="E526" s="357" t="s">
        <v>92</v>
      </c>
      <c r="F526" s="375" t="s">
        <v>105</v>
      </c>
      <c r="G526" s="376" t="s">
        <v>84</v>
      </c>
      <c r="H526" s="376" t="s">
        <v>105</v>
      </c>
      <c r="I526" s="913" t="s">
        <v>97</v>
      </c>
      <c r="J526" s="357"/>
      <c r="K526" s="377">
        <f t="shared" si="168"/>
        <v>1023.2</v>
      </c>
      <c r="L526" s="377">
        <f t="shared" si="168"/>
        <v>0</v>
      </c>
      <c r="M526" s="377">
        <f t="shared" si="168"/>
        <v>1023.2</v>
      </c>
      <c r="N526" s="461"/>
    </row>
    <row r="527" spans="1:14" s="378" customFormat="1" ht="56.25" x14ac:dyDescent="0.3">
      <c r="A527" s="358"/>
      <c r="B527" s="373" t="s">
        <v>133</v>
      </c>
      <c r="C527" s="374" t="s">
        <v>398</v>
      </c>
      <c r="D527" s="357" t="s">
        <v>123</v>
      </c>
      <c r="E527" s="357" t="s">
        <v>92</v>
      </c>
      <c r="F527" s="375" t="s">
        <v>105</v>
      </c>
      <c r="G527" s="376" t="s">
        <v>84</v>
      </c>
      <c r="H527" s="376" t="s">
        <v>105</v>
      </c>
      <c r="I527" s="913" t="s">
        <v>134</v>
      </c>
      <c r="J527" s="357"/>
      <c r="K527" s="377">
        <f t="shared" si="168"/>
        <v>1023.2</v>
      </c>
      <c r="L527" s="377">
        <f t="shared" si="168"/>
        <v>0</v>
      </c>
      <c r="M527" s="377">
        <f t="shared" si="168"/>
        <v>1023.2</v>
      </c>
      <c r="N527" s="461"/>
    </row>
    <row r="528" spans="1:14" s="378" customFormat="1" ht="56.25" x14ac:dyDescent="0.3">
      <c r="A528" s="358"/>
      <c r="B528" s="386" t="s">
        <v>135</v>
      </c>
      <c r="C528" s="374" t="s">
        <v>398</v>
      </c>
      <c r="D528" s="357" t="s">
        <v>123</v>
      </c>
      <c r="E528" s="357" t="s">
        <v>92</v>
      </c>
      <c r="F528" s="375" t="s">
        <v>105</v>
      </c>
      <c r="G528" s="376" t="s">
        <v>84</v>
      </c>
      <c r="H528" s="376" t="s">
        <v>105</v>
      </c>
      <c r="I528" s="913" t="s">
        <v>134</v>
      </c>
      <c r="J528" s="357" t="s">
        <v>136</v>
      </c>
      <c r="K528" s="377">
        <v>1023.2</v>
      </c>
      <c r="L528" s="252">
        <f>M528-K528</f>
        <v>0</v>
      </c>
      <c r="M528" s="377">
        <v>1023.2</v>
      </c>
      <c r="N528" s="461"/>
    </row>
    <row r="529" spans="1:14" s="378" customFormat="1" ht="37.5" x14ac:dyDescent="0.3">
      <c r="A529" s="358"/>
      <c r="B529" s="383" t="s">
        <v>278</v>
      </c>
      <c r="C529" s="374" t="s">
        <v>398</v>
      </c>
      <c r="D529" s="357" t="s">
        <v>123</v>
      </c>
      <c r="E529" s="357" t="s">
        <v>121</v>
      </c>
      <c r="F529" s="375"/>
      <c r="G529" s="376"/>
      <c r="H529" s="376"/>
      <c r="I529" s="913"/>
      <c r="J529" s="357"/>
      <c r="K529" s="377">
        <f t="shared" ref="K529:M532" si="169">K530</f>
        <v>2350.1</v>
      </c>
      <c r="L529" s="377">
        <f t="shared" si="169"/>
        <v>0</v>
      </c>
      <c r="M529" s="377">
        <f t="shared" si="169"/>
        <v>2350.1</v>
      </c>
      <c r="N529" s="461"/>
    </row>
    <row r="530" spans="1:14" s="378" customFormat="1" ht="56.25" x14ac:dyDescent="0.3">
      <c r="A530" s="358"/>
      <c r="B530" s="373" t="s">
        <v>297</v>
      </c>
      <c r="C530" s="374" t="s">
        <v>398</v>
      </c>
      <c r="D530" s="357" t="s">
        <v>123</v>
      </c>
      <c r="E530" s="357" t="s">
        <v>121</v>
      </c>
      <c r="F530" s="375" t="s">
        <v>105</v>
      </c>
      <c r="G530" s="376" t="s">
        <v>95</v>
      </c>
      <c r="H530" s="376" t="s">
        <v>96</v>
      </c>
      <c r="I530" s="913" t="s">
        <v>97</v>
      </c>
      <c r="J530" s="357"/>
      <c r="K530" s="377">
        <f t="shared" si="169"/>
        <v>2350.1</v>
      </c>
      <c r="L530" s="377">
        <f t="shared" si="169"/>
        <v>0</v>
      </c>
      <c r="M530" s="377">
        <f t="shared" si="169"/>
        <v>2350.1</v>
      </c>
      <c r="N530" s="461"/>
    </row>
    <row r="531" spans="1:14" s="378" customFormat="1" ht="37.5" x14ac:dyDescent="0.3">
      <c r="A531" s="358"/>
      <c r="B531" s="381" t="s">
        <v>300</v>
      </c>
      <c r="C531" s="374" t="s">
        <v>398</v>
      </c>
      <c r="D531" s="357" t="s">
        <v>123</v>
      </c>
      <c r="E531" s="357" t="s">
        <v>121</v>
      </c>
      <c r="F531" s="375" t="s">
        <v>105</v>
      </c>
      <c r="G531" s="376" t="s">
        <v>150</v>
      </c>
      <c r="H531" s="376" t="s">
        <v>96</v>
      </c>
      <c r="I531" s="913" t="s">
        <v>97</v>
      </c>
      <c r="J531" s="357"/>
      <c r="K531" s="377">
        <f t="shared" si="169"/>
        <v>2350.1</v>
      </c>
      <c r="L531" s="377">
        <f t="shared" si="169"/>
        <v>0</v>
      </c>
      <c r="M531" s="377">
        <f t="shared" si="169"/>
        <v>2350.1</v>
      </c>
      <c r="N531" s="461"/>
    </row>
    <row r="532" spans="1:14" s="378" customFormat="1" ht="37.5" x14ac:dyDescent="0.3">
      <c r="A532" s="358"/>
      <c r="B532" s="373" t="s">
        <v>389</v>
      </c>
      <c r="C532" s="374" t="s">
        <v>398</v>
      </c>
      <c r="D532" s="357" t="s">
        <v>123</v>
      </c>
      <c r="E532" s="357" t="s">
        <v>121</v>
      </c>
      <c r="F532" s="375" t="s">
        <v>105</v>
      </c>
      <c r="G532" s="376" t="s">
        <v>150</v>
      </c>
      <c r="H532" s="376" t="s">
        <v>90</v>
      </c>
      <c r="I532" s="913" t="s">
        <v>97</v>
      </c>
      <c r="J532" s="357"/>
      <c r="K532" s="377">
        <f t="shared" si="169"/>
        <v>2350.1</v>
      </c>
      <c r="L532" s="377">
        <f t="shared" si="169"/>
        <v>0</v>
      </c>
      <c r="M532" s="377">
        <f t="shared" si="169"/>
        <v>2350.1</v>
      </c>
      <c r="N532" s="461"/>
    </row>
    <row r="533" spans="1:14" s="378" customFormat="1" ht="37.5" x14ac:dyDescent="0.3">
      <c r="A533" s="358"/>
      <c r="B533" s="373" t="s">
        <v>100</v>
      </c>
      <c r="C533" s="374" t="s">
        <v>398</v>
      </c>
      <c r="D533" s="357" t="s">
        <v>123</v>
      </c>
      <c r="E533" s="357" t="s">
        <v>121</v>
      </c>
      <c r="F533" s="375" t="s">
        <v>105</v>
      </c>
      <c r="G533" s="376" t="s">
        <v>150</v>
      </c>
      <c r="H533" s="376" t="s">
        <v>90</v>
      </c>
      <c r="I533" s="913" t="s">
        <v>101</v>
      </c>
      <c r="J533" s="357"/>
      <c r="K533" s="377">
        <f t="shared" ref="K533" si="170">K534+K535+K536</f>
        <v>2350.1</v>
      </c>
      <c r="L533" s="377">
        <f t="shared" ref="L533:M533" si="171">L534+L535+L536</f>
        <v>0</v>
      </c>
      <c r="M533" s="377">
        <f t="shared" si="171"/>
        <v>2350.1</v>
      </c>
      <c r="N533" s="461"/>
    </row>
    <row r="534" spans="1:14" s="378" customFormat="1" ht="112.5" x14ac:dyDescent="0.3">
      <c r="A534" s="358"/>
      <c r="B534" s="373" t="s">
        <v>102</v>
      </c>
      <c r="C534" s="374" t="s">
        <v>398</v>
      </c>
      <c r="D534" s="357" t="s">
        <v>123</v>
      </c>
      <c r="E534" s="357" t="s">
        <v>121</v>
      </c>
      <c r="F534" s="375" t="s">
        <v>105</v>
      </c>
      <c r="G534" s="376" t="s">
        <v>150</v>
      </c>
      <c r="H534" s="376" t="s">
        <v>90</v>
      </c>
      <c r="I534" s="913" t="s">
        <v>101</v>
      </c>
      <c r="J534" s="357" t="s">
        <v>103</v>
      </c>
      <c r="K534" s="377">
        <v>2262.1</v>
      </c>
      <c r="L534" s="252">
        <f t="shared" ref="L534:L536" si="172">M534-K534</f>
        <v>0</v>
      </c>
      <c r="M534" s="377">
        <v>2262.1</v>
      </c>
      <c r="N534" s="461"/>
    </row>
    <row r="535" spans="1:14" s="378" customFormat="1" ht="56.25" x14ac:dyDescent="0.3">
      <c r="A535" s="358"/>
      <c r="B535" s="373" t="s">
        <v>108</v>
      </c>
      <c r="C535" s="374" t="s">
        <v>398</v>
      </c>
      <c r="D535" s="357" t="s">
        <v>123</v>
      </c>
      <c r="E535" s="357" t="s">
        <v>121</v>
      </c>
      <c r="F535" s="375" t="s">
        <v>105</v>
      </c>
      <c r="G535" s="376" t="s">
        <v>150</v>
      </c>
      <c r="H535" s="376" t="s">
        <v>90</v>
      </c>
      <c r="I535" s="913" t="s">
        <v>101</v>
      </c>
      <c r="J535" s="357" t="s">
        <v>109</v>
      </c>
      <c r="K535" s="377">
        <v>85.8</v>
      </c>
      <c r="L535" s="252">
        <f t="shared" si="172"/>
        <v>0</v>
      </c>
      <c r="M535" s="377">
        <v>85.8</v>
      </c>
      <c r="N535" s="461"/>
    </row>
    <row r="536" spans="1:14" s="378" customFormat="1" ht="18.75" x14ac:dyDescent="0.3">
      <c r="A536" s="358"/>
      <c r="B536" s="373" t="s">
        <v>110</v>
      </c>
      <c r="C536" s="374" t="s">
        <v>398</v>
      </c>
      <c r="D536" s="357" t="s">
        <v>123</v>
      </c>
      <c r="E536" s="357" t="s">
        <v>121</v>
      </c>
      <c r="F536" s="375" t="s">
        <v>105</v>
      </c>
      <c r="G536" s="376" t="s">
        <v>150</v>
      </c>
      <c r="H536" s="376" t="s">
        <v>90</v>
      </c>
      <c r="I536" s="913" t="s">
        <v>101</v>
      </c>
      <c r="J536" s="357" t="s">
        <v>111</v>
      </c>
      <c r="K536" s="377">
        <v>2.2000000000000002</v>
      </c>
      <c r="L536" s="252">
        <f t="shared" si="172"/>
        <v>0</v>
      </c>
      <c r="M536" s="377">
        <v>2.2000000000000002</v>
      </c>
      <c r="N536" s="461"/>
    </row>
    <row r="537" spans="1:14" s="378" customFormat="1" ht="18.75" x14ac:dyDescent="0.3">
      <c r="A537" s="358"/>
      <c r="B537" s="373"/>
      <c r="C537" s="374"/>
      <c r="D537" s="357"/>
      <c r="E537" s="357"/>
      <c r="F537" s="375"/>
      <c r="G537" s="376"/>
      <c r="H537" s="376"/>
      <c r="I537" s="913"/>
      <c r="J537" s="357"/>
      <c r="K537" s="377"/>
      <c r="L537" s="377"/>
      <c r="M537" s="377"/>
      <c r="N537" s="461"/>
    </row>
    <row r="538" spans="1:14" s="372" customFormat="1" ht="56.25" x14ac:dyDescent="0.3">
      <c r="A538" s="365">
        <v>8</v>
      </c>
      <c r="B538" s="366" t="s">
        <v>59</v>
      </c>
      <c r="C538" s="367" t="s">
        <v>394</v>
      </c>
      <c r="D538" s="368"/>
      <c r="E538" s="368"/>
      <c r="F538" s="369"/>
      <c r="G538" s="370"/>
      <c r="H538" s="370"/>
      <c r="I538" s="371"/>
      <c r="J538" s="368"/>
      <c r="K538" s="519">
        <f>K539</f>
        <v>5412.7000000000007</v>
      </c>
      <c r="L538" s="519">
        <f>L539</f>
        <v>167.49999999999994</v>
      </c>
      <c r="M538" s="519">
        <f>M539</f>
        <v>5580.2</v>
      </c>
    </row>
    <row r="539" spans="1:14" s="378" customFormat="1" ht="18.75" x14ac:dyDescent="0.3">
      <c r="A539" s="365"/>
      <c r="B539" s="373" t="s">
        <v>254</v>
      </c>
      <c r="C539" s="374" t="s">
        <v>394</v>
      </c>
      <c r="D539" s="357" t="s">
        <v>304</v>
      </c>
      <c r="E539" s="357"/>
      <c r="F539" s="375"/>
      <c r="G539" s="376"/>
      <c r="H539" s="376"/>
      <c r="I539" s="913"/>
      <c r="J539" s="357"/>
      <c r="K539" s="377">
        <f>K540+K549</f>
        <v>5412.7000000000007</v>
      </c>
      <c r="L539" s="377">
        <f>L540+L549</f>
        <v>167.49999999999994</v>
      </c>
      <c r="M539" s="377">
        <f>M540+M549</f>
        <v>5580.2</v>
      </c>
    </row>
    <row r="540" spans="1:14" s="379" customFormat="1" ht="18.75" x14ac:dyDescent="0.3">
      <c r="A540" s="365"/>
      <c r="B540" s="373" t="s">
        <v>518</v>
      </c>
      <c r="C540" s="374" t="s">
        <v>394</v>
      </c>
      <c r="D540" s="357" t="s">
        <v>304</v>
      </c>
      <c r="E540" s="357" t="s">
        <v>304</v>
      </c>
      <c r="F540" s="375"/>
      <c r="G540" s="376"/>
      <c r="H540" s="376"/>
      <c r="I540" s="913"/>
      <c r="J540" s="357"/>
      <c r="K540" s="377">
        <f t="shared" ref="K540:M542" si="173">K541</f>
        <v>2539.2000000000003</v>
      </c>
      <c r="L540" s="377">
        <f t="shared" si="173"/>
        <v>167.49999999999994</v>
      </c>
      <c r="M540" s="377">
        <f t="shared" si="173"/>
        <v>2706.7</v>
      </c>
    </row>
    <row r="541" spans="1:14" s="379" customFormat="1" ht="56.25" x14ac:dyDescent="0.3">
      <c r="A541" s="365"/>
      <c r="B541" s="373" t="s">
        <v>301</v>
      </c>
      <c r="C541" s="374" t="s">
        <v>394</v>
      </c>
      <c r="D541" s="357" t="s">
        <v>304</v>
      </c>
      <c r="E541" s="357" t="s">
        <v>304</v>
      </c>
      <c r="F541" s="375" t="s">
        <v>121</v>
      </c>
      <c r="G541" s="376" t="s">
        <v>95</v>
      </c>
      <c r="H541" s="376" t="s">
        <v>96</v>
      </c>
      <c r="I541" s="913" t="s">
        <v>97</v>
      </c>
      <c r="J541" s="357"/>
      <c r="K541" s="377">
        <f t="shared" si="173"/>
        <v>2539.2000000000003</v>
      </c>
      <c r="L541" s="377">
        <f t="shared" si="173"/>
        <v>167.49999999999994</v>
      </c>
      <c r="M541" s="377">
        <f t="shared" si="173"/>
        <v>2706.7</v>
      </c>
    </row>
    <row r="542" spans="1:14" s="379" customFormat="1" ht="18.75" x14ac:dyDescent="0.3">
      <c r="A542" s="365"/>
      <c r="B542" s="373" t="s">
        <v>302</v>
      </c>
      <c r="C542" s="374" t="s">
        <v>394</v>
      </c>
      <c r="D542" s="357" t="s">
        <v>304</v>
      </c>
      <c r="E542" s="357" t="s">
        <v>304</v>
      </c>
      <c r="F542" s="375" t="s">
        <v>121</v>
      </c>
      <c r="G542" s="376" t="s">
        <v>98</v>
      </c>
      <c r="H542" s="376" t="s">
        <v>96</v>
      </c>
      <c r="I542" s="913" t="s">
        <v>97</v>
      </c>
      <c r="J542" s="357"/>
      <c r="K542" s="377">
        <f t="shared" si="173"/>
        <v>2539.2000000000003</v>
      </c>
      <c r="L542" s="377">
        <f t="shared" si="173"/>
        <v>167.49999999999994</v>
      </c>
      <c r="M542" s="377">
        <f t="shared" si="173"/>
        <v>2706.7</v>
      </c>
    </row>
    <row r="543" spans="1:14" s="379" customFormat="1" ht="93.75" x14ac:dyDescent="0.3">
      <c r="A543" s="365"/>
      <c r="B543" s="373" t="s">
        <v>395</v>
      </c>
      <c r="C543" s="374" t="s">
        <v>394</v>
      </c>
      <c r="D543" s="357" t="s">
        <v>304</v>
      </c>
      <c r="E543" s="357" t="s">
        <v>304</v>
      </c>
      <c r="F543" s="375" t="s">
        <v>121</v>
      </c>
      <c r="G543" s="376" t="s">
        <v>98</v>
      </c>
      <c r="H543" s="376" t="s">
        <v>90</v>
      </c>
      <c r="I543" s="913" t="s">
        <v>97</v>
      </c>
      <c r="J543" s="357"/>
      <c r="K543" s="377">
        <f>K544+K547</f>
        <v>2539.2000000000003</v>
      </c>
      <c r="L543" s="377">
        <f>L544+L547</f>
        <v>167.49999999999994</v>
      </c>
      <c r="M543" s="377">
        <f>M544+M547</f>
        <v>2706.7</v>
      </c>
    </row>
    <row r="544" spans="1:14" s="379" customFormat="1" ht="93.75" x14ac:dyDescent="0.3">
      <c r="A544" s="365"/>
      <c r="B544" s="373" t="s">
        <v>151</v>
      </c>
      <c r="C544" s="374" t="s">
        <v>394</v>
      </c>
      <c r="D544" s="357" t="s">
        <v>304</v>
      </c>
      <c r="E544" s="357" t="s">
        <v>304</v>
      </c>
      <c r="F544" s="375" t="s">
        <v>121</v>
      </c>
      <c r="G544" s="376" t="s">
        <v>98</v>
      </c>
      <c r="H544" s="376" t="s">
        <v>90</v>
      </c>
      <c r="I544" s="913" t="s">
        <v>153</v>
      </c>
      <c r="J544" s="357"/>
      <c r="K544" s="377">
        <f>K545+K546</f>
        <v>2141.9</v>
      </c>
      <c r="L544" s="377">
        <f>L545+L546</f>
        <v>0</v>
      </c>
      <c r="M544" s="377">
        <f>M545+M546</f>
        <v>2141.9</v>
      </c>
    </row>
    <row r="545" spans="1:14" s="379" customFormat="1" ht="112.5" x14ac:dyDescent="0.3">
      <c r="A545" s="358"/>
      <c r="B545" s="373" t="s">
        <v>102</v>
      </c>
      <c r="C545" s="374" t="s">
        <v>394</v>
      </c>
      <c r="D545" s="357" t="s">
        <v>304</v>
      </c>
      <c r="E545" s="357" t="s">
        <v>304</v>
      </c>
      <c r="F545" s="375" t="s">
        <v>121</v>
      </c>
      <c r="G545" s="376" t="s">
        <v>98</v>
      </c>
      <c r="H545" s="376" t="s">
        <v>90</v>
      </c>
      <c r="I545" s="913" t="s">
        <v>153</v>
      </c>
      <c r="J545" s="357" t="s">
        <v>103</v>
      </c>
      <c r="K545" s="377">
        <v>2114.5</v>
      </c>
      <c r="L545" s="252">
        <f t="shared" ref="L545:L546" si="174">M545-K545</f>
        <v>0</v>
      </c>
      <c r="M545" s="377">
        <v>2114.5</v>
      </c>
    </row>
    <row r="546" spans="1:14" s="378" customFormat="1" ht="56.25" x14ac:dyDescent="0.3">
      <c r="A546" s="358"/>
      <c r="B546" s="373" t="s">
        <v>108</v>
      </c>
      <c r="C546" s="374" t="s">
        <v>394</v>
      </c>
      <c r="D546" s="357" t="s">
        <v>304</v>
      </c>
      <c r="E546" s="357" t="s">
        <v>304</v>
      </c>
      <c r="F546" s="375" t="s">
        <v>121</v>
      </c>
      <c r="G546" s="376" t="s">
        <v>98</v>
      </c>
      <c r="H546" s="376" t="s">
        <v>90</v>
      </c>
      <c r="I546" s="913" t="s">
        <v>153</v>
      </c>
      <c r="J546" s="357" t="s">
        <v>109</v>
      </c>
      <c r="K546" s="377">
        <v>27.4</v>
      </c>
      <c r="L546" s="252">
        <f t="shared" si="174"/>
        <v>0</v>
      </c>
      <c r="M546" s="377">
        <v>27.4</v>
      </c>
    </row>
    <row r="547" spans="1:14" s="354" customFormat="1" ht="56.25" x14ac:dyDescent="0.3">
      <c r="A547" s="358"/>
      <c r="B547" s="373" t="s">
        <v>396</v>
      </c>
      <c r="C547" s="374" t="s">
        <v>394</v>
      </c>
      <c r="D547" s="357" t="s">
        <v>304</v>
      </c>
      <c r="E547" s="357" t="s">
        <v>304</v>
      </c>
      <c r="F547" s="375" t="s">
        <v>121</v>
      </c>
      <c r="G547" s="376" t="s">
        <v>98</v>
      </c>
      <c r="H547" s="376" t="s">
        <v>90</v>
      </c>
      <c r="I547" s="913" t="s">
        <v>397</v>
      </c>
      <c r="J547" s="357"/>
      <c r="K547" s="377">
        <f>K548</f>
        <v>397.3</v>
      </c>
      <c r="L547" s="377">
        <f>L548</f>
        <v>167.49999999999994</v>
      </c>
      <c r="M547" s="377">
        <f>M548</f>
        <v>564.79999999999995</v>
      </c>
    </row>
    <row r="548" spans="1:14" s="354" customFormat="1" ht="56.25" x14ac:dyDescent="0.3">
      <c r="A548" s="358"/>
      <c r="B548" s="373" t="s">
        <v>108</v>
      </c>
      <c r="C548" s="374" t="s">
        <v>394</v>
      </c>
      <c r="D548" s="357" t="s">
        <v>304</v>
      </c>
      <c r="E548" s="357" t="s">
        <v>304</v>
      </c>
      <c r="F548" s="375" t="s">
        <v>121</v>
      </c>
      <c r="G548" s="376" t="s">
        <v>98</v>
      </c>
      <c r="H548" s="376" t="s">
        <v>90</v>
      </c>
      <c r="I548" s="913" t="s">
        <v>397</v>
      </c>
      <c r="J548" s="357" t="s">
        <v>109</v>
      </c>
      <c r="K548" s="377">
        <v>397.3</v>
      </c>
      <c r="L548" s="252">
        <f>M548-K548</f>
        <v>167.49999999999994</v>
      </c>
      <c r="M548" s="377">
        <f>397.3+167.5</f>
        <v>564.79999999999995</v>
      </c>
    </row>
    <row r="549" spans="1:14" s="378" customFormat="1" ht="18.75" x14ac:dyDescent="0.3">
      <c r="A549" s="358"/>
      <c r="B549" s="373" t="s">
        <v>261</v>
      </c>
      <c r="C549" s="462" t="s">
        <v>394</v>
      </c>
      <c r="D549" s="357" t="s">
        <v>304</v>
      </c>
      <c r="E549" s="357" t="s">
        <v>139</v>
      </c>
      <c r="F549" s="463"/>
      <c r="G549" s="464"/>
      <c r="H549" s="464"/>
      <c r="I549" s="465"/>
      <c r="J549" s="466"/>
      <c r="K549" s="377">
        <f t="shared" ref="K549:M552" si="175">K550</f>
        <v>2873.5</v>
      </c>
      <c r="L549" s="377">
        <f t="shared" si="175"/>
        <v>0</v>
      </c>
      <c r="M549" s="377">
        <f t="shared" si="175"/>
        <v>2873.5</v>
      </c>
      <c r="N549" s="461"/>
    </row>
    <row r="550" spans="1:14" s="378" customFormat="1" ht="56.25" x14ac:dyDescent="0.3">
      <c r="A550" s="358"/>
      <c r="B550" s="373" t="s">
        <v>301</v>
      </c>
      <c r="C550" s="462" t="s">
        <v>394</v>
      </c>
      <c r="D550" s="357" t="s">
        <v>304</v>
      </c>
      <c r="E550" s="357" t="s">
        <v>139</v>
      </c>
      <c r="F550" s="463" t="s">
        <v>121</v>
      </c>
      <c r="G550" s="464" t="s">
        <v>95</v>
      </c>
      <c r="H550" s="464" t="s">
        <v>96</v>
      </c>
      <c r="I550" s="465" t="s">
        <v>97</v>
      </c>
      <c r="J550" s="466"/>
      <c r="K550" s="377">
        <f t="shared" si="175"/>
        <v>2873.5</v>
      </c>
      <c r="L550" s="377">
        <f t="shared" si="175"/>
        <v>0</v>
      </c>
      <c r="M550" s="377">
        <f t="shared" si="175"/>
        <v>2873.5</v>
      </c>
      <c r="N550" s="461"/>
    </row>
    <row r="551" spans="1:14" s="354" customFormat="1" ht="37.5" x14ac:dyDescent="0.3">
      <c r="A551" s="358"/>
      <c r="B551" s="373" t="s">
        <v>300</v>
      </c>
      <c r="C551" s="374" t="s">
        <v>394</v>
      </c>
      <c r="D551" s="357" t="s">
        <v>304</v>
      </c>
      <c r="E551" s="357" t="s">
        <v>139</v>
      </c>
      <c r="F551" s="375" t="s">
        <v>121</v>
      </c>
      <c r="G551" s="376" t="s">
        <v>150</v>
      </c>
      <c r="H551" s="376" t="s">
        <v>96</v>
      </c>
      <c r="I551" s="913" t="s">
        <v>97</v>
      </c>
      <c r="J551" s="357"/>
      <c r="K551" s="377">
        <f t="shared" si="175"/>
        <v>2873.5</v>
      </c>
      <c r="L551" s="377">
        <f t="shared" si="175"/>
        <v>0</v>
      </c>
      <c r="M551" s="377">
        <f t="shared" si="175"/>
        <v>2873.5</v>
      </c>
    </row>
    <row r="552" spans="1:14" s="379" customFormat="1" ht="37.5" x14ac:dyDescent="0.3">
      <c r="A552" s="358"/>
      <c r="B552" s="373" t="s">
        <v>389</v>
      </c>
      <c r="C552" s="374" t="s">
        <v>394</v>
      </c>
      <c r="D552" s="357" t="s">
        <v>304</v>
      </c>
      <c r="E552" s="357" t="s">
        <v>139</v>
      </c>
      <c r="F552" s="375" t="s">
        <v>121</v>
      </c>
      <c r="G552" s="376" t="s">
        <v>150</v>
      </c>
      <c r="H552" s="376" t="s">
        <v>90</v>
      </c>
      <c r="I552" s="913" t="s">
        <v>97</v>
      </c>
      <c r="J552" s="357"/>
      <c r="K552" s="377">
        <f t="shared" si="175"/>
        <v>2873.5</v>
      </c>
      <c r="L552" s="377">
        <f t="shared" si="175"/>
        <v>0</v>
      </c>
      <c r="M552" s="377">
        <f t="shared" si="175"/>
        <v>2873.5</v>
      </c>
    </row>
    <row r="553" spans="1:14" s="378" customFormat="1" ht="37.5" x14ac:dyDescent="0.3">
      <c r="A553" s="358"/>
      <c r="B553" s="373" t="s">
        <v>100</v>
      </c>
      <c r="C553" s="374" t="s">
        <v>394</v>
      </c>
      <c r="D553" s="357" t="s">
        <v>304</v>
      </c>
      <c r="E553" s="357" t="s">
        <v>139</v>
      </c>
      <c r="F553" s="375" t="s">
        <v>121</v>
      </c>
      <c r="G553" s="376" t="s">
        <v>150</v>
      </c>
      <c r="H553" s="376" t="s">
        <v>90</v>
      </c>
      <c r="I553" s="913" t="s">
        <v>101</v>
      </c>
      <c r="J553" s="357"/>
      <c r="K553" s="377">
        <f>K554+K555+K556</f>
        <v>2873.5</v>
      </c>
      <c r="L553" s="377">
        <f>L554+L555+L556</f>
        <v>0</v>
      </c>
      <c r="M553" s="377">
        <f>M554+M555+M556</f>
        <v>2873.5</v>
      </c>
    </row>
    <row r="554" spans="1:14" s="378" customFormat="1" ht="112.5" x14ac:dyDescent="0.3">
      <c r="A554" s="358"/>
      <c r="B554" s="373" t="s">
        <v>102</v>
      </c>
      <c r="C554" s="374" t="s">
        <v>394</v>
      </c>
      <c r="D554" s="357" t="s">
        <v>304</v>
      </c>
      <c r="E554" s="357" t="s">
        <v>139</v>
      </c>
      <c r="F554" s="375" t="s">
        <v>121</v>
      </c>
      <c r="G554" s="376" t="s">
        <v>150</v>
      </c>
      <c r="H554" s="376" t="s">
        <v>90</v>
      </c>
      <c r="I554" s="913" t="s">
        <v>101</v>
      </c>
      <c r="J554" s="357" t="s">
        <v>103</v>
      </c>
      <c r="K554" s="377">
        <v>2534.1</v>
      </c>
      <c r="L554" s="252">
        <f t="shared" ref="L554:L556" si="176">M554-K554</f>
        <v>0</v>
      </c>
      <c r="M554" s="377">
        <v>2534.1</v>
      </c>
      <c r="N554" s="461"/>
    </row>
    <row r="555" spans="1:14" s="378" customFormat="1" ht="56.25" x14ac:dyDescent="0.3">
      <c r="A555" s="358"/>
      <c r="B555" s="373" t="s">
        <v>108</v>
      </c>
      <c r="C555" s="457" t="s">
        <v>394</v>
      </c>
      <c r="D555" s="458" t="s">
        <v>304</v>
      </c>
      <c r="E555" s="458" t="s">
        <v>139</v>
      </c>
      <c r="F555" s="375" t="s">
        <v>121</v>
      </c>
      <c r="G555" s="376" t="s">
        <v>150</v>
      </c>
      <c r="H555" s="376" t="s">
        <v>90</v>
      </c>
      <c r="I555" s="913" t="s">
        <v>101</v>
      </c>
      <c r="J555" s="357" t="s">
        <v>109</v>
      </c>
      <c r="K555" s="377">
        <v>335.8</v>
      </c>
      <c r="L555" s="252">
        <f t="shared" si="176"/>
        <v>0</v>
      </c>
      <c r="M555" s="377">
        <v>335.8</v>
      </c>
    </row>
    <row r="556" spans="1:14" s="378" customFormat="1" ht="18.75" x14ac:dyDescent="0.3">
      <c r="A556" s="358"/>
      <c r="B556" s="373" t="s">
        <v>110</v>
      </c>
      <c r="C556" s="457" t="s">
        <v>394</v>
      </c>
      <c r="D556" s="458" t="s">
        <v>304</v>
      </c>
      <c r="E556" s="458" t="s">
        <v>139</v>
      </c>
      <c r="F556" s="375" t="s">
        <v>121</v>
      </c>
      <c r="G556" s="376" t="s">
        <v>150</v>
      </c>
      <c r="H556" s="376" t="s">
        <v>90</v>
      </c>
      <c r="I556" s="913" t="s">
        <v>101</v>
      </c>
      <c r="J556" s="357" t="s">
        <v>111</v>
      </c>
      <c r="K556" s="377">
        <v>3.6</v>
      </c>
      <c r="L556" s="252">
        <f t="shared" si="176"/>
        <v>0</v>
      </c>
      <c r="M556" s="377">
        <v>3.6</v>
      </c>
      <c r="N556" s="461"/>
    </row>
    <row r="557" spans="1:14" ht="18.75" x14ac:dyDescent="0.3">
      <c r="A557" s="358"/>
      <c r="B557" s="373"/>
      <c r="C557" s="457"/>
      <c r="D557" s="458"/>
      <c r="E557" s="458"/>
      <c r="F557" s="412"/>
      <c r="G557" s="443"/>
      <c r="H557" s="443"/>
      <c r="I557" s="459"/>
      <c r="J557" s="458"/>
      <c r="K557" s="377"/>
      <c r="L557" s="377"/>
      <c r="M557" s="377"/>
    </row>
    <row r="558" spans="1:14" s="372" customFormat="1" ht="56.25" x14ac:dyDescent="0.3">
      <c r="A558" s="365">
        <v>9</v>
      </c>
      <c r="B558" s="366" t="s">
        <v>60</v>
      </c>
      <c r="C558" s="367" t="s">
        <v>406</v>
      </c>
      <c r="D558" s="368"/>
      <c r="E558" s="368"/>
      <c r="F558" s="369"/>
      <c r="G558" s="370"/>
      <c r="H558" s="370"/>
      <c r="I558" s="371"/>
      <c r="J558" s="368"/>
      <c r="K558" s="519">
        <f>K559+K566</f>
        <v>66635.8</v>
      </c>
      <c r="L558" s="519">
        <f>L559+L566</f>
        <v>0</v>
      </c>
      <c r="M558" s="519">
        <f>M559+M566</f>
        <v>66635.8</v>
      </c>
    </row>
    <row r="559" spans="1:14" s="378" customFormat="1" ht="18.75" x14ac:dyDescent="0.3">
      <c r="A559" s="358"/>
      <c r="B559" s="383" t="s">
        <v>254</v>
      </c>
      <c r="C559" s="374" t="s">
        <v>406</v>
      </c>
      <c r="D559" s="357" t="s">
        <v>304</v>
      </c>
      <c r="E559" s="357"/>
      <c r="F559" s="375"/>
      <c r="G559" s="376"/>
      <c r="H559" s="376"/>
      <c r="I559" s="913"/>
      <c r="J559" s="357"/>
      <c r="K559" s="377">
        <f t="shared" ref="K559:M564" si="177">K560</f>
        <v>15.6</v>
      </c>
      <c r="L559" s="377">
        <f t="shared" si="177"/>
        <v>0</v>
      </c>
      <c r="M559" s="377">
        <f t="shared" si="177"/>
        <v>15.6</v>
      </c>
    </row>
    <row r="560" spans="1:14" s="379" customFormat="1" ht="18.75" x14ac:dyDescent="0.3">
      <c r="A560" s="358"/>
      <c r="B560" s="373" t="s">
        <v>518</v>
      </c>
      <c r="C560" s="374" t="s">
        <v>406</v>
      </c>
      <c r="D560" s="357" t="s">
        <v>304</v>
      </c>
      <c r="E560" s="357" t="s">
        <v>304</v>
      </c>
      <c r="F560" s="375"/>
      <c r="G560" s="376"/>
      <c r="H560" s="376"/>
      <c r="I560" s="913"/>
      <c r="J560" s="357"/>
      <c r="K560" s="377">
        <f t="shared" si="177"/>
        <v>15.6</v>
      </c>
      <c r="L560" s="377">
        <f t="shared" si="177"/>
        <v>0</v>
      </c>
      <c r="M560" s="377">
        <f t="shared" si="177"/>
        <v>15.6</v>
      </c>
    </row>
    <row r="561" spans="1:15" s="379" customFormat="1" ht="56.25" x14ac:dyDescent="0.3">
      <c r="A561" s="358"/>
      <c r="B561" s="373" t="s">
        <v>407</v>
      </c>
      <c r="C561" s="374" t="s">
        <v>406</v>
      </c>
      <c r="D561" s="357" t="s">
        <v>304</v>
      </c>
      <c r="E561" s="357" t="s">
        <v>304</v>
      </c>
      <c r="F561" s="375" t="s">
        <v>139</v>
      </c>
      <c r="G561" s="376" t="s">
        <v>95</v>
      </c>
      <c r="H561" s="376" t="s">
        <v>96</v>
      </c>
      <c r="I561" s="913" t="s">
        <v>97</v>
      </c>
      <c r="J561" s="357"/>
      <c r="K561" s="377">
        <f t="shared" si="177"/>
        <v>15.6</v>
      </c>
      <c r="L561" s="377">
        <f t="shared" si="177"/>
        <v>0</v>
      </c>
      <c r="M561" s="377">
        <f t="shared" si="177"/>
        <v>15.6</v>
      </c>
    </row>
    <row r="562" spans="1:15" s="379" customFormat="1" ht="37.5" x14ac:dyDescent="0.3">
      <c r="A562" s="358"/>
      <c r="B562" s="373" t="s">
        <v>491</v>
      </c>
      <c r="C562" s="374" t="s">
        <v>406</v>
      </c>
      <c r="D562" s="357" t="s">
        <v>304</v>
      </c>
      <c r="E562" s="357" t="s">
        <v>304</v>
      </c>
      <c r="F562" s="375" t="s">
        <v>139</v>
      </c>
      <c r="G562" s="376" t="s">
        <v>98</v>
      </c>
      <c r="H562" s="376" t="s">
        <v>96</v>
      </c>
      <c r="I562" s="913" t="s">
        <v>97</v>
      </c>
      <c r="J562" s="357"/>
      <c r="K562" s="377">
        <f t="shared" si="177"/>
        <v>15.6</v>
      </c>
      <c r="L562" s="377">
        <f t="shared" si="177"/>
        <v>0</v>
      </c>
      <c r="M562" s="377">
        <f t="shared" si="177"/>
        <v>15.6</v>
      </c>
    </row>
    <row r="563" spans="1:15" s="379" customFormat="1" ht="37.5" x14ac:dyDescent="0.3">
      <c r="A563" s="358"/>
      <c r="B563" s="373" t="s">
        <v>392</v>
      </c>
      <c r="C563" s="374" t="s">
        <v>406</v>
      </c>
      <c r="D563" s="357" t="s">
        <v>304</v>
      </c>
      <c r="E563" s="357" t="s">
        <v>304</v>
      </c>
      <c r="F563" s="375" t="s">
        <v>139</v>
      </c>
      <c r="G563" s="376" t="s">
        <v>98</v>
      </c>
      <c r="H563" s="376" t="s">
        <v>90</v>
      </c>
      <c r="I563" s="913" t="s">
        <v>97</v>
      </c>
      <c r="J563" s="357"/>
      <c r="K563" s="377">
        <f t="shared" si="177"/>
        <v>15.6</v>
      </c>
      <c r="L563" s="377">
        <f t="shared" si="177"/>
        <v>0</v>
      </c>
      <c r="M563" s="377">
        <f t="shared" si="177"/>
        <v>15.6</v>
      </c>
    </row>
    <row r="564" spans="1:15" s="379" customFormat="1" ht="168.75" x14ac:dyDescent="0.3">
      <c r="A564" s="358"/>
      <c r="B564" s="467" t="s">
        <v>534</v>
      </c>
      <c r="C564" s="374" t="s">
        <v>406</v>
      </c>
      <c r="D564" s="357" t="s">
        <v>304</v>
      </c>
      <c r="E564" s="357" t="s">
        <v>304</v>
      </c>
      <c r="F564" s="375" t="s">
        <v>139</v>
      </c>
      <c r="G564" s="376" t="s">
        <v>98</v>
      </c>
      <c r="H564" s="376" t="s">
        <v>90</v>
      </c>
      <c r="I564" s="913" t="s">
        <v>408</v>
      </c>
      <c r="J564" s="357"/>
      <c r="K564" s="377">
        <f t="shared" si="177"/>
        <v>15.6</v>
      </c>
      <c r="L564" s="377">
        <f t="shared" si="177"/>
        <v>0</v>
      </c>
      <c r="M564" s="377">
        <f t="shared" si="177"/>
        <v>15.6</v>
      </c>
    </row>
    <row r="565" spans="1:15" s="379" customFormat="1" ht="37.5" x14ac:dyDescent="0.3">
      <c r="A565" s="2"/>
      <c r="B565" s="98" t="s">
        <v>183</v>
      </c>
      <c r="C565" s="99" t="s">
        <v>406</v>
      </c>
      <c r="D565" s="100" t="s">
        <v>304</v>
      </c>
      <c r="E565" s="100" t="s">
        <v>304</v>
      </c>
      <c r="F565" s="347" t="s">
        <v>139</v>
      </c>
      <c r="G565" s="504" t="s">
        <v>98</v>
      </c>
      <c r="H565" s="504" t="s">
        <v>90</v>
      </c>
      <c r="I565" s="914" t="s">
        <v>408</v>
      </c>
      <c r="J565" s="100" t="s">
        <v>184</v>
      </c>
      <c r="K565" s="252">
        <v>15.6</v>
      </c>
      <c r="L565" s="252">
        <f>M565-K565</f>
        <v>0</v>
      </c>
      <c r="M565" s="252">
        <v>15.6</v>
      </c>
    </row>
    <row r="566" spans="1:15" s="378" customFormat="1" ht="18.75" x14ac:dyDescent="0.3">
      <c r="A566" s="358"/>
      <c r="B566" s="383" t="s">
        <v>182</v>
      </c>
      <c r="C566" s="374" t="s">
        <v>406</v>
      </c>
      <c r="D566" s="357" t="s">
        <v>167</v>
      </c>
      <c r="E566" s="357"/>
      <c r="F566" s="375"/>
      <c r="G566" s="376"/>
      <c r="H566" s="376"/>
      <c r="I566" s="913"/>
      <c r="J566" s="357"/>
      <c r="K566" s="377">
        <f t="shared" ref="K566" si="178">K567+K588</f>
        <v>66620.2</v>
      </c>
      <c r="L566" s="377">
        <f t="shared" ref="L566:M566" si="179">L567+L588</f>
        <v>0</v>
      </c>
      <c r="M566" s="377">
        <f t="shared" si="179"/>
        <v>66620.2</v>
      </c>
    </row>
    <row r="567" spans="1:15" s="378" customFormat="1" ht="18.75" x14ac:dyDescent="0.3">
      <c r="A567" s="358"/>
      <c r="B567" s="373" t="s">
        <v>272</v>
      </c>
      <c r="C567" s="374" t="s">
        <v>406</v>
      </c>
      <c r="D567" s="357" t="s">
        <v>167</v>
      </c>
      <c r="E567" s="357" t="s">
        <v>105</v>
      </c>
      <c r="F567" s="375"/>
      <c r="G567" s="376"/>
      <c r="H567" s="376"/>
      <c r="I567" s="913"/>
      <c r="J567" s="357"/>
      <c r="K567" s="377">
        <f t="shared" ref="K567:M567" si="180">K568</f>
        <v>60371.4</v>
      </c>
      <c r="L567" s="377">
        <f t="shared" si="180"/>
        <v>0</v>
      </c>
      <c r="M567" s="377">
        <f t="shared" si="180"/>
        <v>60371.4</v>
      </c>
    </row>
    <row r="568" spans="1:15" s="354" customFormat="1" ht="56.25" x14ac:dyDescent="0.3">
      <c r="A568" s="358"/>
      <c r="B568" s="381" t="s">
        <v>310</v>
      </c>
      <c r="C568" s="374" t="s">
        <v>406</v>
      </c>
      <c r="D568" s="357" t="s">
        <v>167</v>
      </c>
      <c r="E568" s="357" t="s">
        <v>105</v>
      </c>
      <c r="F568" s="375" t="s">
        <v>139</v>
      </c>
      <c r="G568" s="376" t="s">
        <v>95</v>
      </c>
      <c r="H568" s="376" t="s">
        <v>96</v>
      </c>
      <c r="I568" s="913" t="s">
        <v>97</v>
      </c>
      <c r="J568" s="357"/>
      <c r="K568" s="377">
        <f t="shared" ref="K568:M568" si="181">K569</f>
        <v>60371.4</v>
      </c>
      <c r="L568" s="377">
        <f t="shared" si="181"/>
        <v>0</v>
      </c>
      <c r="M568" s="377">
        <f t="shared" si="181"/>
        <v>60371.4</v>
      </c>
    </row>
    <row r="569" spans="1:15" s="354" customFormat="1" ht="37.5" x14ac:dyDescent="0.3">
      <c r="A569" s="358"/>
      <c r="B569" s="373" t="s">
        <v>491</v>
      </c>
      <c r="C569" s="374" t="s">
        <v>406</v>
      </c>
      <c r="D569" s="357" t="s">
        <v>167</v>
      </c>
      <c r="E569" s="357" t="s">
        <v>105</v>
      </c>
      <c r="F569" s="375" t="s">
        <v>139</v>
      </c>
      <c r="G569" s="376" t="s">
        <v>98</v>
      </c>
      <c r="H569" s="376" t="s">
        <v>96</v>
      </c>
      <c r="I569" s="913" t="s">
        <v>97</v>
      </c>
      <c r="J569" s="357"/>
      <c r="K569" s="377">
        <f t="shared" ref="K569" si="182">K570+K583</f>
        <v>60371.4</v>
      </c>
      <c r="L569" s="377">
        <f t="shared" ref="L569:M569" si="183">L570+L583</f>
        <v>0</v>
      </c>
      <c r="M569" s="377">
        <f t="shared" si="183"/>
        <v>60371.4</v>
      </c>
    </row>
    <row r="570" spans="1:15" s="379" customFormat="1" ht="37.5" x14ac:dyDescent="0.3">
      <c r="A570" s="358"/>
      <c r="B570" s="373" t="s">
        <v>392</v>
      </c>
      <c r="C570" s="374" t="s">
        <v>406</v>
      </c>
      <c r="D570" s="357" t="s">
        <v>167</v>
      </c>
      <c r="E570" s="357" t="s">
        <v>105</v>
      </c>
      <c r="F570" s="375" t="s">
        <v>139</v>
      </c>
      <c r="G570" s="376" t="s">
        <v>98</v>
      </c>
      <c r="H570" s="376" t="s">
        <v>90</v>
      </c>
      <c r="I570" s="913" t="s">
        <v>97</v>
      </c>
      <c r="J570" s="357"/>
      <c r="K570" s="377">
        <f t="shared" ref="K570" si="184">K571+K574+K577+K580</f>
        <v>60135.200000000004</v>
      </c>
      <c r="L570" s="377">
        <f t="shared" ref="L570:M570" si="185">L571+L574+L577+L580</f>
        <v>0</v>
      </c>
      <c r="M570" s="377">
        <f t="shared" si="185"/>
        <v>60135.200000000004</v>
      </c>
    </row>
    <row r="571" spans="1:15" s="379" customFormat="1" ht="168.75" x14ac:dyDescent="0.3">
      <c r="A571" s="358"/>
      <c r="B571" s="470" t="s">
        <v>535</v>
      </c>
      <c r="C571" s="291" t="s">
        <v>406</v>
      </c>
      <c r="D571" s="292" t="s">
        <v>167</v>
      </c>
      <c r="E571" s="292" t="s">
        <v>105</v>
      </c>
      <c r="F571" s="511" t="s">
        <v>139</v>
      </c>
      <c r="G571" s="293" t="s">
        <v>98</v>
      </c>
      <c r="H571" s="293" t="s">
        <v>90</v>
      </c>
      <c r="I571" s="294" t="s">
        <v>409</v>
      </c>
      <c r="J571" s="292"/>
      <c r="K571" s="377">
        <f t="shared" ref="K571" si="186">SUM(K572:K573)</f>
        <v>33015.800000000003</v>
      </c>
      <c r="L571" s="377">
        <f t="shared" ref="L571:M571" si="187">SUM(L572:L573)</f>
        <v>0</v>
      </c>
      <c r="M571" s="377">
        <f t="shared" si="187"/>
        <v>33015.800000000003</v>
      </c>
    </row>
    <row r="572" spans="1:15" s="379" customFormat="1" ht="56.25" x14ac:dyDescent="0.3">
      <c r="A572" s="358"/>
      <c r="B572" s="373" t="s">
        <v>108</v>
      </c>
      <c r="C572" s="374" t="s">
        <v>406</v>
      </c>
      <c r="D572" s="357" t="s">
        <v>167</v>
      </c>
      <c r="E572" s="357" t="s">
        <v>105</v>
      </c>
      <c r="F572" s="375" t="s">
        <v>139</v>
      </c>
      <c r="G572" s="376" t="s">
        <v>98</v>
      </c>
      <c r="H572" s="376" t="s">
        <v>90</v>
      </c>
      <c r="I572" s="913" t="s">
        <v>409</v>
      </c>
      <c r="J572" s="357" t="s">
        <v>109</v>
      </c>
      <c r="K572" s="377">
        <v>164.3</v>
      </c>
      <c r="L572" s="252">
        <f t="shared" ref="L572:L573" si="188">M572-K572</f>
        <v>0</v>
      </c>
      <c r="M572" s="377">
        <v>164.3</v>
      </c>
    </row>
    <row r="573" spans="1:15" s="379" customFormat="1" ht="37.5" x14ac:dyDescent="0.3">
      <c r="A573" s="358"/>
      <c r="B573" s="373" t="s">
        <v>183</v>
      </c>
      <c r="C573" s="291" t="s">
        <v>406</v>
      </c>
      <c r="D573" s="292" t="s">
        <v>167</v>
      </c>
      <c r="E573" s="292" t="s">
        <v>105</v>
      </c>
      <c r="F573" s="511" t="s">
        <v>139</v>
      </c>
      <c r="G573" s="293" t="s">
        <v>98</v>
      </c>
      <c r="H573" s="293" t="s">
        <v>90</v>
      </c>
      <c r="I573" s="294" t="s">
        <v>409</v>
      </c>
      <c r="J573" s="292" t="s">
        <v>184</v>
      </c>
      <c r="K573" s="295">
        <v>32851.5</v>
      </c>
      <c r="L573" s="252">
        <f t="shared" si="188"/>
        <v>0</v>
      </c>
      <c r="M573" s="295">
        <v>32851.5</v>
      </c>
      <c r="O573" s="938"/>
    </row>
    <row r="574" spans="1:15" s="379" customFormat="1" ht="93.75" x14ac:dyDescent="0.3">
      <c r="A574" s="358"/>
      <c r="B574" s="373" t="s">
        <v>536</v>
      </c>
      <c r="C574" s="374" t="s">
        <v>406</v>
      </c>
      <c r="D574" s="357" t="s">
        <v>167</v>
      </c>
      <c r="E574" s="357" t="s">
        <v>105</v>
      </c>
      <c r="F574" s="375" t="s">
        <v>139</v>
      </c>
      <c r="G574" s="376" t="s">
        <v>98</v>
      </c>
      <c r="H574" s="376" t="s">
        <v>90</v>
      </c>
      <c r="I574" s="913" t="s">
        <v>410</v>
      </c>
      <c r="J574" s="357"/>
      <c r="K574" s="377">
        <f>SUM(K575:K576)</f>
        <v>26177</v>
      </c>
      <c r="L574" s="377">
        <f>SUM(L575:L576)</f>
        <v>0</v>
      </c>
      <c r="M574" s="377">
        <f>SUM(M575:M576)</f>
        <v>26177</v>
      </c>
    </row>
    <row r="575" spans="1:15" s="379" customFormat="1" ht="56.25" x14ac:dyDescent="0.3">
      <c r="A575" s="358"/>
      <c r="B575" s="373" t="s">
        <v>108</v>
      </c>
      <c r="C575" s="374" t="s">
        <v>406</v>
      </c>
      <c r="D575" s="357" t="s">
        <v>167</v>
      </c>
      <c r="E575" s="357" t="s">
        <v>105</v>
      </c>
      <c r="F575" s="375" t="s">
        <v>139</v>
      </c>
      <c r="G575" s="376" t="s">
        <v>98</v>
      </c>
      <c r="H575" s="376" t="s">
        <v>90</v>
      </c>
      <c r="I575" s="913" t="s">
        <v>410</v>
      </c>
      <c r="J575" s="357" t="s">
        <v>109</v>
      </c>
      <c r="K575" s="377">
        <v>130.19999999999999</v>
      </c>
      <c r="L575" s="252">
        <f t="shared" ref="L575:L576" si="189">M575-K575</f>
        <v>0</v>
      </c>
      <c r="M575" s="377">
        <v>130.19999999999999</v>
      </c>
    </row>
    <row r="576" spans="1:15" s="379" customFormat="1" ht="37.5" x14ac:dyDescent="0.3">
      <c r="A576" s="358"/>
      <c r="B576" s="373" t="s">
        <v>183</v>
      </c>
      <c r="C576" s="374" t="s">
        <v>406</v>
      </c>
      <c r="D576" s="357" t="s">
        <v>167</v>
      </c>
      <c r="E576" s="357" t="s">
        <v>105</v>
      </c>
      <c r="F576" s="375" t="s">
        <v>139</v>
      </c>
      <c r="G576" s="376" t="s">
        <v>98</v>
      </c>
      <c r="H576" s="376" t="s">
        <v>90</v>
      </c>
      <c r="I576" s="913" t="s">
        <v>410</v>
      </c>
      <c r="J576" s="357" t="s">
        <v>184</v>
      </c>
      <c r="K576" s="377">
        <v>26046.799999999999</v>
      </c>
      <c r="L576" s="252">
        <f t="shared" si="189"/>
        <v>0</v>
      </c>
      <c r="M576" s="377">
        <v>26046.799999999999</v>
      </c>
    </row>
    <row r="577" spans="1:15" s="379" customFormat="1" ht="93.75" x14ac:dyDescent="0.3">
      <c r="A577" s="358"/>
      <c r="B577" s="373" t="s">
        <v>537</v>
      </c>
      <c r="C577" s="291" t="s">
        <v>406</v>
      </c>
      <c r="D577" s="292" t="s">
        <v>167</v>
      </c>
      <c r="E577" s="292" t="s">
        <v>105</v>
      </c>
      <c r="F577" s="511" t="s">
        <v>139</v>
      </c>
      <c r="G577" s="293" t="s">
        <v>98</v>
      </c>
      <c r="H577" s="293" t="s">
        <v>90</v>
      </c>
      <c r="I577" s="294" t="s">
        <v>411</v>
      </c>
      <c r="J577" s="292"/>
      <c r="K577" s="377">
        <f>SUM(K578:K579)</f>
        <v>449.4</v>
      </c>
      <c r="L577" s="377">
        <f>SUM(L578:L579)</f>
        <v>0</v>
      </c>
      <c r="M577" s="377">
        <f>SUM(M578:M579)</f>
        <v>449.4</v>
      </c>
    </row>
    <row r="578" spans="1:15" s="379" customFormat="1" ht="56.25" x14ac:dyDescent="0.3">
      <c r="A578" s="358"/>
      <c r="B578" s="373" t="s">
        <v>108</v>
      </c>
      <c r="C578" s="374" t="s">
        <v>406</v>
      </c>
      <c r="D578" s="357" t="s">
        <v>167</v>
      </c>
      <c r="E578" s="357" t="s">
        <v>105</v>
      </c>
      <c r="F578" s="375" t="s">
        <v>139</v>
      </c>
      <c r="G578" s="376" t="s">
        <v>98</v>
      </c>
      <c r="H578" s="376" t="s">
        <v>90</v>
      </c>
      <c r="I578" s="913" t="s">
        <v>411</v>
      </c>
      <c r="J578" s="357" t="s">
        <v>109</v>
      </c>
      <c r="K578" s="377">
        <v>2.2000000000000002</v>
      </c>
      <c r="L578" s="252">
        <f t="shared" ref="L578:L579" si="190">M578-K578</f>
        <v>0</v>
      </c>
      <c r="M578" s="377">
        <v>2.2000000000000002</v>
      </c>
    </row>
    <row r="579" spans="1:15" s="379" customFormat="1" ht="37.5" x14ac:dyDescent="0.3">
      <c r="A579" s="358"/>
      <c r="B579" s="373" t="s">
        <v>183</v>
      </c>
      <c r="C579" s="291" t="s">
        <v>406</v>
      </c>
      <c r="D579" s="292" t="s">
        <v>167</v>
      </c>
      <c r="E579" s="292" t="s">
        <v>105</v>
      </c>
      <c r="F579" s="511" t="s">
        <v>139</v>
      </c>
      <c r="G579" s="293" t="s">
        <v>98</v>
      </c>
      <c r="H579" s="293" t="s">
        <v>90</v>
      </c>
      <c r="I579" s="294" t="s">
        <v>411</v>
      </c>
      <c r="J579" s="292" t="s">
        <v>184</v>
      </c>
      <c r="K579" s="295">
        <v>447.2</v>
      </c>
      <c r="L579" s="252">
        <f t="shared" si="190"/>
        <v>0</v>
      </c>
      <c r="M579" s="295">
        <v>447.2</v>
      </c>
      <c r="O579" s="938"/>
    </row>
    <row r="580" spans="1:15" s="379" customFormat="1" ht="131.25" x14ac:dyDescent="0.3">
      <c r="A580" s="358"/>
      <c r="B580" s="373" t="s">
        <v>555</v>
      </c>
      <c r="C580" s="374" t="s">
        <v>406</v>
      </c>
      <c r="D580" s="357" t="s">
        <v>167</v>
      </c>
      <c r="E580" s="357" t="s">
        <v>105</v>
      </c>
      <c r="F580" s="375" t="s">
        <v>139</v>
      </c>
      <c r="G580" s="376" t="s">
        <v>98</v>
      </c>
      <c r="H580" s="376" t="s">
        <v>90</v>
      </c>
      <c r="I580" s="913" t="s">
        <v>412</v>
      </c>
      <c r="J580" s="357"/>
      <c r="K580" s="377">
        <f>SUM(K581:K582)</f>
        <v>493</v>
      </c>
      <c r="L580" s="377">
        <f>SUM(L581:L582)</f>
        <v>0</v>
      </c>
      <c r="M580" s="377">
        <f>SUM(M581:M582)</f>
        <v>493</v>
      </c>
    </row>
    <row r="581" spans="1:15" s="379" customFormat="1" ht="56.25" x14ac:dyDescent="0.3">
      <c r="A581" s="358"/>
      <c r="B581" s="373" t="s">
        <v>108</v>
      </c>
      <c r="C581" s="374" t="s">
        <v>406</v>
      </c>
      <c r="D581" s="357" t="s">
        <v>167</v>
      </c>
      <c r="E581" s="357" t="s">
        <v>105</v>
      </c>
      <c r="F581" s="375" t="s">
        <v>139</v>
      </c>
      <c r="G581" s="376" t="s">
        <v>98</v>
      </c>
      <c r="H581" s="376" t="s">
        <v>90</v>
      </c>
      <c r="I581" s="913" t="s">
        <v>412</v>
      </c>
      <c r="J581" s="357" t="s">
        <v>109</v>
      </c>
      <c r="K581" s="377">
        <v>2.5</v>
      </c>
      <c r="L581" s="252">
        <f t="shared" ref="L581:L582" si="191">M581-K581</f>
        <v>0</v>
      </c>
      <c r="M581" s="377">
        <v>2.5</v>
      </c>
    </row>
    <row r="582" spans="1:15" s="379" customFormat="1" ht="37.5" x14ac:dyDescent="0.3">
      <c r="A582" s="358"/>
      <c r="B582" s="373" t="s">
        <v>183</v>
      </c>
      <c r="C582" s="374" t="s">
        <v>406</v>
      </c>
      <c r="D582" s="357" t="s">
        <v>167</v>
      </c>
      <c r="E582" s="357" t="s">
        <v>105</v>
      </c>
      <c r="F582" s="375" t="s">
        <v>139</v>
      </c>
      <c r="G582" s="376" t="s">
        <v>98</v>
      </c>
      <c r="H582" s="376" t="s">
        <v>90</v>
      </c>
      <c r="I582" s="913" t="s">
        <v>412</v>
      </c>
      <c r="J582" s="357" t="s">
        <v>184</v>
      </c>
      <c r="K582" s="377">
        <v>490.5</v>
      </c>
      <c r="L582" s="252">
        <f t="shared" si="191"/>
        <v>0</v>
      </c>
      <c r="M582" s="377">
        <v>490.5</v>
      </c>
    </row>
    <row r="583" spans="1:15" s="372" customFormat="1" ht="93.75" x14ac:dyDescent="0.3">
      <c r="A583" s="358"/>
      <c r="B583" s="468" t="s">
        <v>421</v>
      </c>
      <c r="C583" s="374" t="s">
        <v>406</v>
      </c>
      <c r="D583" s="357" t="s">
        <v>167</v>
      </c>
      <c r="E583" s="357" t="s">
        <v>105</v>
      </c>
      <c r="F583" s="502" t="s">
        <v>139</v>
      </c>
      <c r="G583" s="502" t="s">
        <v>98</v>
      </c>
      <c r="H583" s="502" t="s">
        <v>92</v>
      </c>
      <c r="I583" s="913" t="s">
        <v>97</v>
      </c>
      <c r="J583" s="357"/>
      <c r="K583" s="377">
        <f t="shared" ref="K583:L583" si="192">K584+K586</f>
        <v>236.2</v>
      </c>
      <c r="L583" s="377">
        <f t="shared" si="192"/>
        <v>0</v>
      </c>
      <c r="M583" s="377">
        <f t="shared" ref="M583" si="193">M584+M586</f>
        <v>236.2</v>
      </c>
      <c r="O583" s="454"/>
    </row>
    <row r="584" spans="1:15" s="372" customFormat="1" ht="206.25" x14ac:dyDescent="0.3">
      <c r="A584" s="358"/>
      <c r="B584" s="469" t="s">
        <v>543</v>
      </c>
      <c r="C584" s="374" t="s">
        <v>406</v>
      </c>
      <c r="D584" s="357" t="s">
        <v>167</v>
      </c>
      <c r="E584" s="357" t="s">
        <v>105</v>
      </c>
      <c r="F584" s="502" t="s">
        <v>139</v>
      </c>
      <c r="G584" s="502" t="s">
        <v>98</v>
      </c>
      <c r="H584" s="502" t="s">
        <v>92</v>
      </c>
      <c r="I584" s="913" t="s">
        <v>544</v>
      </c>
      <c r="J584" s="357"/>
      <c r="K584" s="377">
        <f t="shared" ref="K584:M584" si="194">K585</f>
        <v>5.2</v>
      </c>
      <c r="L584" s="377">
        <f t="shared" si="194"/>
        <v>0</v>
      </c>
      <c r="M584" s="377">
        <f t="shared" si="194"/>
        <v>5.2</v>
      </c>
      <c r="O584" s="454"/>
    </row>
    <row r="585" spans="1:15" s="372" customFormat="1" ht="37.5" x14ac:dyDescent="0.3">
      <c r="A585" s="358"/>
      <c r="B585" s="384" t="s">
        <v>183</v>
      </c>
      <c r="C585" s="374" t="s">
        <v>406</v>
      </c>
      <c r="D585" s="357" t="s">
        <v>167</v>
      </c>
      <c r="E585" s="357" t="s">
        <v>105</v>
      </c>
      <c r="F585" s="502" t="s">
        <v>139</v>
      </c>
      <c r="G585" s="502" t="s">
        <v>98</v>
      </c>
      <c r="H585" s="502" t="s">
        <v>92</v>
      </c>
      <c r="I585" s="913" t="s">
        <v>544</v>
      </c>
      <c r="J585" s="357" t="s">
        <v>184</v>
      </c>
      <c r="K585" s="377">
        <v>5.2</v>
      </c>
      <c r="L585" s="252">
        <f>M585-K585</f>
        <v>0</v>
      </c>
      <c r="M585" s="377">
        <v>5.2</v>
      </c>
      <c r="O585" s="454"/>
    </row>
    <row r="586" spans="1:15" s="372" customFormat="1" ht="318.75" x14ac:dyDescent="0.3">
      <c r="A586" s="358"/>
      <c r="B586" s="469" t="s">
        <v>554</v>
      </c>
      <c r="C586" s="374" t="s">
        <v>406</v>
      </c>
      <c r="D586" s="357" t="s">
        <v>167</v>
      </c>
      <c r="E586" s="357" t="s">
        <v>105</v>
      </c>
      <c r="F586" s="502" t="s">
        <v>139</v>
      </c>
      <c r="G586" s="502" t="s">
        <v>98</v>
      </c>
      <c r="H586" s="502" t="s">
        <v>92</v>
      </c>
      <c r="I586" s="913" t="s">
        <v>545</v>
      </c>
      <c r="J586" s="357"/>
      <c r="K586" s="377">
        <f>K587</f>
        <v>231</v>
      </c>
      <c r="L586" s="377">
        <f>L587</f>
        <v>0</v>
      </c>
      <c r="M586" s="377">
        <f>M587</f>
        <v>231</v>
      </c>
      <c r="O586" s="454"/>
    </row>
    <row r="587" spans="1:15" s="372" customFormat="1" ht="37.5" x14ac:dyDescent="0.3">
      <c r="A587" s="358"/>
      <c r="B587" s="384" t="s">
        <v>183</v>
      </c>
      <c r="C587" s="374" t="s">
        <v>406</v>
      </c>
      <c r="D587" s="357" t="s">
        <v>167</v>
      </c>
      <c r="E587" s="357" t="s">
        <v>105</v>
      </c>
      <c r="F587" s="502" t="s">
        <v>139</v>
      </c>
      <c r="G587" s="502" t="s">
        <v>98</v>
      </c>
      <c r="H587" s="502" t="s">
        <v>92</v>
      </c>
      <c r="I587" s="913" t="s">
        <v>545</v>
      </c>
      <c r="J587" s="357" t="s">
        <v>184</v>
      </c>
      <c r="K587" s="377">
        <v>231</v>
      </c>
      <c r="L587" s="252">
        <f>M587-K587</f>
        <v>0</v>
      </c>
      <c r="M587" s="377">
        <v>231</v>
      </c>
      <c r="O587" s="454"/>
    </row>
    <row r="588" spans="1:15" s="378" customFormat="1" ht="37.5" x14ac:dyDescent="0.3">
      <c r="A588" s="358"/>
      <c r="B588" s="373" t="s">
        <v>413</v>
      </c>
      <c r="C588" s="374" t="s">
        <v>406</v>
      </c>
      <c r="D588" s="357" t="s">
        <v>167</v>
      </c>
      <c r="E588" s="357" t="s">
        <v>141</v>
      </c>
      <c r="F588" s="375"/>
      <c r="G588" s="376"/>
      <c r="H588" s="376"/>
      <c r="I588" s="913"/>
      <c r="J588" s="357"/>
      <c r="K588" s="377">
        <f t="shared" ref="K588:M590" si="195">K589</f>
        <v>6248.8</v>
      </c>
      <c r="L588" s="377">
        <f t="shared" si="195"/>
        <v>0</v>
      </c>
      <c r="M588" s="377">
        <f t="shared" si="195"/>
        <v>6248.8</v>
      </c>
    </row>
    <row r="589" spans="1:15" s="354" customFormat="1" ht="56.25" x14ac:dyDescent="0.3">
      <c r="A589" s="358"/>
      <c r="B589" s="381" t="s">
        <v>310</v>
      </c>
      <c r="C589" s="374" t="s">
        <v>406</v>
      </c>
      <c r="D589" s="357" t="s">
        <v>167</v>
      </c>
      <c r="E589" s="357" t="s">
        <v>141</v>
      </c>
      <c r="F589" s="375" t="s">
        <v>139</v>
      </c>
      <c r="G589" s="376" t="s">
        <v>95</v>
      </c>
      <c r="H589" s="376" t="s">
        <v>96</v>
      </c>
      <c r="I589" s="913" t="s">
        <v>97</v>
      </c>
      <c r="J589" s="357"/>
      <c r="K589" s="377">
        <f t="shared" si="195"/>
        <v>6248.8</v>
      </c>
      <c r="L589" s="377">
        <f t="shared" si="195"/>
        <v>0</v>
      </c>
      <c r="M589" s="377">
        <f t="shared" si="195"/>
        <v>6248.8</v>
      </c>
    </row>
    <row r="590" spans="1:15" s="354" customFormat="1" ht="37.5" x14ac:dyDescent="0.3">
      <c r="A590" s="358"/>
      <c r="B590" s="373" t="s">
        <v>491</v>
      </c>
      <c r="C590" s="374" t="s">
        <v>406</v>
      </c>
      <c r="D590" s="357" t="s">
        <v>167</v>
      </c>
      <c r="E590" s="357" t="s">
        <v>141</v>
      </c>
      <c r="F590" s="375" t="s">
        <v>139</v>
      </c>
      <c r="G590" s="376" t="s">
        <v>98</v>
      </c>
      <c r="H590" s="376" t="s">
        <v>96</v>
      </c>
      <c r="I590" s="913" t="s">
        <v>97</v>
      </c>
      <c r="J590" s="357"/>
      <c r="K590" s="377">
        <f t="shared" si="195"/>
        <v>6248.8</v>
      </c>
      <c r="L590" s="377">
        <f t="shared" si="195"/>
        <v>0</v>
      </c>
      <c r="M590" s="377">
        <f t="shared" si="195"/>
        <v>6248.8</v>
      </c>
    </row>
    <row r="591" spans="1:15" s="379" customFormat="1" ht="37.5" x14ac:dyDescent="0.3">
      <c r="A591" s="358"/>
      <c r="B591" s="373" t="s">
        <v>309</v>
      </c>
      <c r="C591" s="374" t="s">
        <v>406</v>
      </c>
      <c r="D591" s="357" t="s">
        <v>167</v>
      </c>
      <c r="E591" s="357" t="s">
        <v>141</v>
      </c>
      <c r="F591" s="375" t="s">
        <v>139</v>
      </c>
      <c r="G591" s="376" t="s">
        <v>98</v>
      </c>
      <c r="H591" s="376" t="s">
        <v>119</v>
      </c>
      <c r="I591" s="913" t="s">
        <v>97</v>
      </c>
      <c r="J591" s="357"/>
      <c r="K591" s="377">
        <f t="shared" ref="K591" si="196">K592+K595+K598</f>
        <v>6248.8</v>
      </c>
      <c r="L591" s="377">
        <f t="shared" ref="L591:M591" si="197">L592+L595+L598</f>
        <v>0</v>
      </c>
      <c r="M591" s="377">
        <f t="shared" si="197"/>
        <v>6248.8</v>
      </c>
    </row>
    <row r="592" spans="1:15" s="379" customFormat="1" ht="93.75" x14ac:dyDescent="0.3">
      <c r="A592" s="358"/>
      <c r="B592" s="373" t="s">
        <v>311</v>
      </c>
      <c r="C592" s="374" t="s">
        <v>406</v>
      </c>
      <c r="D592" s="357" t="s">
        <v>167</v>
      </c>
      <c r="E592" s="357" t="s">
        <v>141</v>
      </c>
      <c r="F592" s="375" t="s">
        <v>139</v>
      </c>
      <c r="G592" s="376" t="s">
        <v>98</v>
      </c>
      <c r="H592" s="376" t="s">
        <v>119</v>
      </c>
      <c r="I592" s="913" t="s">
        <v>414</v>
      </c>
      <c r="J592" s="357"/>
      <c r="K592" s="377">
        <f t="shared" ref="K592" si="198">K593+K594</f>
        <v>4784.5</v>
      </c>
      <c r="L592" s="377">
        <f t="shared" ref="L592:M592" si="199">L593+L594</f>
        <v>0</v>
      </c>
      <c r="M592" s="377">
        <f t="shared" si="199"/>
        <v>4784.5</v>
      </c>
    </row>
    <row r="593" spans="1:13" s="379" customFormat="1" ht="112.5" x14ac:dyDescent="0.3">
      <c r="A593" s="358"/>
      <c r="B593" s="373" t="s">
        <v>102</v>
      </c>
      <c r="C593" s="374" t="s">
        <v>406</v>
      </c>
      <c r="D593" s="357" t="s">
        <v>167</v>
      </c>
      <c r="E593" s="357" t="s">
        <v>141</v>
      </c>
      <c r="F593" s="375" t="s">
        <v>139</v>
      </c>
      <c r="G593" s="376" t="s">
        <v>98</v>
      </c>
      <c r="H593" s="376" t="s">
        <v>119</v>
      </c>
      <c r="I593" s="913" t="s">
        <v>414</v>
      </c>
      <c r="J593" s="357" t="s">
        <v>103</v>
      </c>
      <c r="K593" s="591">
        <f>4413.5+21</f>
        <v>4434.5</v>
      </c>
      <c r="L593" s="252">
        <f t="shared" ref="L593:L594" si="200">M593-K593</f>
        <v>0</v>
      </c>
      <c r="M593" s="591">
        <f>4413.5+21</f>
        <v>4434.5</v>
      </c>
    </row>
    <row r="594" spans="1:13" s="379" customFormat="1" ht="56.25" x14ac:dyDescent="0.3">
      <c r="A594" s="358"/>
      <c r="B594" s="373" t="s">
        <v>108</v>
      </c>
      <c r="C594" s="374" t="s">
        <v>406</v>
      </c>
      <c r="D594" s="357" t="s">
        <v>167</v>
      </c>
      <c r="E594" s="357" t="s">
        <v>141</v>
      </c>
      <c r="F594" s="471" t="s">
        <v>139</v>
      </c>
      <c r="G594" s="472" t="s">
        <v>98</v>
      </c>
      <c r="H594" s="472" t="s">
        <v>119</v>
      </c>
      <c r="I594" s="473" t="s">
        <v>414</v>
      </c>
      <c r="J594" s="357" t="s">
        <v>109</v>
      </c>
      <c r="K594" s="377">
        <v>350</v>
      </c>
      <c r="L594" s="252">
        <f t="shared" si="200"/>
        <v>0</v>
      </c>
      <c r="M594" s="377">
        <v>350</v>
      </c>
    </row>
    <row r="595" spans="1:13" s="379" customFormat="1" ht="56.25" x14ac:dyDescent="0.3">
      <c r="A595" s="358"/>
      <c r="B595" s="373" t="s">
        <v>601</v>
      </c>
      <c r="C595" s="374" t="s">
        <v>406</v>
      </c>
      <c r="D595" s="357" t="s">
        <v>167</v>
      </c>
      <c r="E595" s="357" t="s">
        <v>141</v>
      </c>
      <c r="F595" s="375" t="s">
        <v>139</v>
      </c>
      <c r="G595" s="376" t="s">
        <v>98</v>
      </c>
      <c r="H595" s="376" t="s">
        <v>119</v>
      </c>
      <c r="I595" s="913" t="s">
        <v>415</v>
      </c>
      <c r="J595" s="357"/>
      <c r="K595" s="377">
        <f>K596+K597</f>
        <v>617.29999999999995</v>
      </c>
      <c r="L595" s="377">
        <f>L596+L597</f>
        <v>0</v>
      </c>
      <c r="M595" s="377">
        <f>M596+M597</f>
        <v>617.29999999999995</v>
      </c>
    </row>
    <row r="596" spans="1:13" s="379" customFormat="1" ht="112.5" x14ac:dyDescent="0.3">
      <c r="A596" s="358"/>
      <c r="B596" s="373" t="s">
        <v>102</v>
      </c>
      <c r="C596" s="374" t="s">
        <v>406</v>
      </c>
      <c r="D596" s="357" t="s">
        <v>167</v>
      </c>
      <c r="E596" s="357" t="s">
        <v>141</v>
      </c>
      <c r="F596" s="375" t="s">
        <v>139</v>
      </c>
      <c r="G596" s="376" t="s">
        <v>98</v>
      </c>
      <c r="H596" s="376" t="s">
        <v>119</v>
      </c>
      <c r="I596" s="913" t="s">
        <v>415</v>
      </c>
      <c r="J596" s="357" t="s">
        <v>103</v>
      </c>
      <c r="K596" s="591">
        <f>564.3+3</f>
        <v>567.29999999999995</v>
      </c>
      <c r="L596" s="252">
        <f t="shared" ref="L596:L597" si="201">M596-K596</f>
        <v>0</v>
      </c>
      <c r="M596" s="591">
        <f>564.3+3</f>
        <v>567.29999999999995</v>
      </c>
    </row>
    <row r="597" spans="1:13" s="379" customFormat="1" ht="56.25" x14ac:dyDescent="0.3">
      <c r="A597" s="358"/>
      <c r="B597" s="373" t="s">
        <v>108</v>
      </c>
      <c r="C597" s="374" t="s">
        <v>406</v>
      </c>
      <c r="D597" s="357" t="s">
        <v>167</v>
      </c>
      <c r="E597" s="357" t="s">
        <v>141</v>
      </c>
      <c r="F597" s="375" t="s">
        <v>139</v>
      </c>
      <c r="G597" s="376" t="s">
        <v>98</v>
      </c>
      <c r="H597" s="376" t="s">
        <v>119</v>
      </c>
      <c r="I597" s="913" t="s">
        <v>415</v>
      </c>
      <c r="J597" s="357" t="s">
        <v>109</v>
      </c>
      <c r="K597" s="377">
        <v>50</v>
      </c>
      <c r="L597" s="252">
        <f t="shared" si="201"/>
        <v>0</v>
      </c>
      <c r="M597" s="377">
        <v>50</v>
      </c>
    </row>
    <row r="598" spans="1:13" s="379" customFormat="1" ht="300" x14ac:dyDescent="0.3">
      <c r="A598" s="358"/>
      <c r="B598" s="373" t="s">
        <v>312</v>
      </c>
      <c r="C598" s="374" t="s">
        <v>406</v>
      </c>
      <c r="D598" s="357" t="s">
        <v>167</v>
      </c>
      <c r="E598" s="357" t="s">
        <v>141</v>
      </c>
      <c r="F598" s="375" t="s">
        <v>139</v>
      </c>
      <c r="G598" s="376" t="s">
        <v>98</v>
      </c>
      <c r="H598" s="376" t="s">
        <v>119</v>
      </c>
      <c r="I598" s="913" t="s">
        <v>416</v>
      </c>
      <c r="J598" s="357"/>
      <c r="K598" s="377">
        <f>K599+K600</f>
        <v>847</v>
      </c>
      <c r="L598" s="377">
        <f>L599+L600</f>
        <v>0</v>
      </c>
      <c r="M598" s="377">
        <f>M599+M600</f>
        <v>847</v>
      </c>
    </row>
    <row r="599" spans="1:13" s="379" customFormat="1" ht="112.5" x14ac:dyDescent="0.3">
      <c r="A599" s="358"/>
      <c r="B599" s="373" t="s">
        <v>102</v>
      </c>
      <c r="C599" s="374" t="s">
        <v>406</v>
      </c>
      <c r="D599" s="357" t="s">
        <v>167</v>
      </c>
      <c r="E599" s="357" t="s">
        <v>141</v>
      </c>
      <c r="F599" s="375" t="s">
        <v>139</v>
      </c>
      <c r="G599" s="376" t="s">
        <v>98</v>
      </c>
      <c r="H599" s="376" t="s">
        <v>119</v>
      </c>
      <c r="I599" s="913" t="s">
        <v>416</v>
      </c>
      <c r="J599" s="357" t="s">
        <v>103</v>
      </c>
      <c r="K599" s="591">
        <f>761+6</f>
        <v>767</v>
      </c>
      <c r="L599" s="252">
        <f t="shared" ref="L599:L600" si="202">M599-K599</f>
        <v>0</v>
      </c>
      <c r="M599" s="591">
        <f>761+6</f>
        <v>767</v>
      </c>
    </row>
    <row r="600" spans="1:13" s="379" customFormat="1" ht="56.25" x14ac:dyDescent="0.3">
      <c r="A600" s="358"/>
      <c r="B600" s="373" t="s">
        <v>108</v>
      </c>
      <c r="C600" s="374" t="s">
        <v>406</v>
      </c>
      <c r="D600" s="357" t="s">
        <v>167</v>
      </c>
      <c r="E600" s="357" t="s">
        <v>141</v>
      </c>
      <c r="F600" s="375" t="s">
        <v>139</v>
      </c>
      <c r="G600" s="376" t="s">
        <v>98</v>
      </c>
      <c r="H600" s="376" t="s">
        <v>119</v>
      </c>
      <c r="I600" s="913" t="s">
        <v>416</v>
      </c>
      <c r="J600" s="357" t="s">
        <v>109</v>
      </c>
      <c r="K600" s="377">
        <v>80</v>
      </c>
      <c r="L600" s="252">
        <f t="shared" si="202"/>
        <v>0</v>
      </c>
      <c r="M600" s="377">
        <v>80</v>
      </c>
    </row>
    <row r="601" spans="1:13" x14ac:dyDescent="0.25">
      <c r="L601" s="484"/>
    </row>
    <row r="602" spans="1:13" x14ac:dyDescent="0.25">
      <c r="L602" s="484"/>
    </row>
    <row r="603" spans="1:13" s="480" customFormat="1" ht="18.75" x14ac:dyDescent="0.3">
      <c r="A603" s="474" t="s">
        <v>588</v>
      </c>
      <c r="B603" s="475"/>
      <c r="C603" s="476"/>
      <c r="D603" s="476"/>
      <c r="E603" s="476"/>
      <c r="F603" s="477"/>
      <c r="G603" s="478"/>
      <c r="H603" s="479"/>
      <c r="K603" s="489"/>
      <c r="L603" s="489"/>
      <c r="M603" s="489"/>
    </row>
    <row r="604" spans="1:13" s="480" customFormat="1" ht="18.75" x14ac:dyDescent="0.3">
      <c r="A604" s="474" t="s">
        <v>589</v>
      </c>
      <c r="B604" s="475"/>
      <c r="C604" s="476"/>
      <c r="D604" s="476"/>
      <c r="E604" s="476"/>
      <c r="F604" s="477"/>
      <c r="G604" s="478"/>
      <c r="H604" s="479"/>
      <c r="K604" s="489"/>
      <c r="L604" s="549"/>
      <c r="M604" s="489"/>
    </row>
    <row r="605" spans="1:13" s="480" customFormat="1" ht="18.75" x14ac:dyDescent="0.3">
      <c r="A605" s="481" t="s">
        <v>590</v>
      </c>
      <c r="B605" s="475"/>
      <c r="D605" s="476"/>
      <c r="E605" s="476"/>
      <c r="F605" s="477"/>
      <c r="K605" s="490"/>
      <c r="L605" s="550"/>
      <c r="M605" s="490" t="s">
        <v>643</v>
      </c>
    </row>
    <row r="608" spans="1:13" ht="18.75" x14ac:dyDescent="0.3">
      <c r="D608" s="466" t="s">
        <v>90</v>
      </c>
      <c r="E608" s="466" t="s">
        <v>92</v>
      </c>
      <c r="F608" s="482"/>
      <c r="G608" s="482"/>
      <c r="H608" s="482"/>
      <c r="I608" s="482"/>
      <c r="J608" s="482"/>
      <c r="K608" s="491">
        <f>K18</f>
        <v>1971.5</v>
      </c>
      <c r="L608" s="491">
        <f>L18</f>
        <v>0</v>
      </c>
      <c r="M608" s="491">
        <f>M18</f>
        <v>1971.5</v>
      </c>
    </row>
    <row r="609" spans="4:13" ht="18.75" x14ac:dyDescent="0.3">
      <c r="D609" s="466" t="s">
        <v>90</v>
      </c>
      <c r="E609" s="466" t="s">
        <v>105</v>
      </c>
      <c r="F609" s="482"/>
      <c r="G609" s="482"/>
      <c r="H609" s="482"/>
      <c r="I609" s="482"/>
      <c r="J609" s="482"/>
      <c r="K609" s="491">
        <f>K24</f>
        <v>65435.3</v>
      </c>
      <c r="L609" s="491">
        <f>L24</f>
        <v>42.149000000000342</v>
      </c>
      <c r="M609" s="491">
        <f>M24</f>
        <v>65477.449000000001</v>
      </c>
    </row>
    <row r="610" spans="4:13" ht="18.75" x14ac:dyDescent="0.3">
      <c r="D610" s="466" t="s">
        <v>90</v>
      </c>
      <c r="E610" s="466" t="s">
        <v>121</v>
      </c>
      <c r="F610" s="482"/>
      <c r="G610" s="482"/>
      <c r="H610" s="482"/>
      <c r="I610" s="482"/>
      <c r="J610" s="482"/>
      <c r="K610" s="491">
        <f>K46</f>
        <v>10.4</v>
      </c>
      <c r="L610" s="491">
        <f>L46</f>
        <v>0</v>
      </c>
      <c r="M610" s="491">
        <f>M46</f>
        <v>10.4</v>
      </c>
    </row>
    <row r="611" spans="4:13" ht="18.75" x14ac:dyDescent="0.3">
      <c r="D611" s="466" t="s">
        <v>90</v>
      </c>
      <c r="E611" s="466" t="s">
        <v>141</v>
      </c>
      <c r="F611" s="482"/>
      <c r="G611" s="482"/>
      <c r="H611" s="482"/>
      <c r="I611" s="482"/>
      <c r="J611" s="482"/>
      <c r="K611" s="491">
        <f>K190+K217</f>
        <v>26838.3</v>
      </c>
      <c r="L611" s="491">
        <f>L190+L217</f>
        <v>776.59999999999923</v>
      </c>
      <c r="M611" s="491">
        <f>M190+M217</f>
        <v>27614.899999999998</v>
      </c>
    </row>
    <row r="612" spans="4:13" ht="18.75" x14ac:dyDescent="0.3">
      <c r="D612" s="466" t="s">
        <v>90</v>
      </c>
      <c r="E612" s="466" t="s">
        <v>304</v>
      </c>
      <c r="F612" s="482"/>
      <c r="G612" s="482"/>
      <c r="H612" s="482"/>
      <c r="I612" s="482"/>
      <c r="J612" s="482"/>
      <c r="K612" s="491"/>
      <c r="L612" s="491"/>
      <c r="M612" s="491"/>
    </row>
    <row r="613" spans="4:13" ht="18.75" x14ac:dyDescent="0.3">
      <c r="D613" s="466" t="s">
        <v>90</v>
      </c>
      <c r="E613" s="466" t="s">
        <v>123</v>
      </c>
      <c r="F613" s="482"/>
      <c r="G613" s="482"/>
      <c r="H613" s="482"/>
      <c r="I613" s="482"/>
      <c r="J613" s="482"/>
      <c r="K613" s="491">
        <f>K52</f>
        <v>3000</v>
      </c>
      <c r="L613" s="491">
        <f>L52</f>
        <v>0</v>
      </c>
      <c r="M613" s="491">
        <f>M52</f>
        <v>3000</v>
      </c>
    </row>
    <row r="614" spans="4:13" ht="18.75" x14ac:dyDescent="0.3">
      <c r="D614" s="466" t="s">
        <v>90</v>
      </c>
      <c r="E614" s="466" t="s">
        <v>130</v>
      </c>
      <c r="F614" s="482"/>
      <c r="G614" s="482"/>
      <c r="H614" s="482"/>
      <c r="I614" s="482"/>
      <c r="J614" s="482"/>
      <c r="K614" s="491">
        <f>K58+K234+K201</f>
        <v>29760.200000000004</v>
      </c>
      <c r="L614" s="491">
        <f>L58+L234+L201</f>
        <v>2521.6999999999998</v>
      </c>
      <c r="M614" s="491">
        <f>M58+M234+M201</f>
        <v>32281.900000000005</v>
      </c>
    </row>
    <row r="615" spans="4:13" ht="18.75" x14ac:dyDescent="0.3">
      <c r="D615" s="483" t="s">
        <v>90</v>
      </c>
      <c r="E615" s="483" t="s">
        <v>96</v>
      </c>
      <c r="F615" s="482"/>
      <c r="G615" s="482"/>
      <c r="H615" s="482"/>
      <c r="I615" s="482"/>
      <c r="J615" s="482"/>
      <c r="K615" s="493">
        <f t="shared" ref="K615" si="203">SUM(K608:K614)</f>
        <v>127015.70000000001</v>
      </c>
      <c r="L615" s="493">
        <f t="shared" ref="L615" si="204">SUM(L608:L614)</f>
        <v>3340.4489999999996</v>
      </c>
      <c r="M615" s="493">
        <f t="shared" ref="M615" si="205">SUM(M608:M614)</f>
        <v>130356.14899999999</v>
      </c>
    </row>
    <row r="616" spans="4:13" ht="18.75" x14ac:dyDescent="0.3">
      <c r="D616" s="466"/>
      <c r="E616" s="466"/>
      <c r="F616" s="482"/>
      <c r="G616" s="482"/>
      <c r="H616" s="482"/>
      <c r="I616" s="482"/>
      <c r="J616" s="482"/>
      <c r="K616" s="491"/>
      <c r="L616" s="491"/>
      <c r="M616" s="491"/>
    </row>
    <row r="617" spans="4:13" ht="18.75" x14ac:dyDescent="0.3">
      <c r="D617" s="466" t="s">
        <v>119</v>
      </c>
      <c r="E617" s="466" t="s">
        <v>139</v>
      </c>
      <c r="F617" s="482"/>
      <c r="G617" s="482"/>
      <c r="H617" s="482"/>
      <c r="I617" s="482"/>
      <c r="J617" s="482"/>
      <c r="K617" s="491">
        <f>K78</f>
        <v>3023.2</v>
      </c>
      <c r="L617" s="491">
        <f>L78</f>
        <v>1053.6166800000001</v>
      </c>
      <c r="M617" s="491">
        <f>M78</f>
        <v>4076.8166799999999</v>
      </c>
    </row>
    <row r="618" spans="4:13" ht="18.75" x14ac:dyDescent="0.3">
      <c r="D618" s="466" t="s">
        <v>119</v>
      </c>
      <c r="E618" s="466" t="s">
        <v>149</v>
      </c>
      <c r="F618" s="482"/>
      <c r="G618" s="482"/>
      <c r="H618" s="482"/>
      <c r="I618" s="482"/>
      <c r="J618" s="482"/>
      <c r="K618" s="491">
        <f>K90</f>
        <v>7632.6</v>
      </c>
      <c r="L618" s="491">
        <f>L90</f>
        <v>67.353999999999814</v>
      </c>
      <c r="M618" s="491">
        <f>M90</f>
        <v>7699.9539999999997</v>
      </c>
    </row>
    <row r="619" spans="4:13" ht="18.75" x14ac:dyDescent="0.3">
      <c r="D619" s="483" t="s">
        <v>119</v>
      </c>
      <c r="E619" s="483" t="s">
        <v>96</v>
      </c>
      <c r="F619" s="482"/>
      <c r="G619" s="482"/>
      <c r="H619" s="482"/>
      <c r="I619" s="482"/>
      <c r="J619" s="482"/>
      <c r="K619" s="493">
        <f>SUBTOTAL(9,K617:K618)</f>
        <v>10655.8</v>
      </c>
      <c r="L619" s="493">
        <f>SUBTOTAL(9,L617:L618)</f>
        <v>1120.9706799999999</v>
      </c>
      <c r="M619" s="493">
        <f>SUBTOTAL(9,M617:M618)</f>
        <v>11776.77068</v>
      </c>
    </row>
    <row r="620" spans="4:13" ht="18.75" x14ac:dyDescent="0.3">
      <c r="D620" s="466"/>
      <c r="E620" s="466"/>
      <c r="F620" s="482"/>
      <c r="G620" s="482"/>
      <c r="H620" s="482"/>
      <c r="I620" s="482"/>
      <c r="J620" s="482"/>
      <c r="K620" s="491"/>
      <c r="L620" s="491"/>
      <c r="M620" s="491"/>
    </row>
    <row r="621" spans="4:13" ht="18.75" x14ac:dyDescent="0.3">
      <c r="D621" s="466" t="s">
        <v>105</v>
      </c>
      <c r="E621" s="466" t="s">
        <v>121</v>
      </c>
      <c r="F621" s="482"/>
      <c r="G621" s="482"/>
      <c r="H621" s="482"/>
      <c r="I621" s="482"/>
      <c r="J621" s="482"/>
      <c r="K621" s="491">
        <f>K108</f>
        <v>11958.5</v>
      </c>
      <c r="L621" s="491">
        <f>L108</f>
        <v>0</v>
      </c>
      <c r="M621" s="491">
        <f>M108</f>
        <v>11958.5</v>
      </c>
    </row>
    <row r="622" spans="4:13" ht="18.75" x14ac:dyDescent="0.3">
      <c r="D622" s="466" t="s">
        <v>105</v>
      </c>
      <c r="E622" s="466" t="s">
        <v>139</v>
      </c>
      <c r="F622" s="482"/>
      <c r="G622" s="482"/>
      <c r="H622" s="482"/>
      <c r="I622" s="482"/>
      <c r="J622" s="482"/>
      <c r="K622" s="491">
        <f>K117</f>
        <v>4108.3</v>
      </c>
      <c r="L622" s="491">
        <f>L117</f>
        <v>1564.7294000000002</v>
      </c>
      <c r="M622" s="491">
        <f>M117</f>
        <v>5673.0294000000004</v>
      </c>
    </row>
    <row r="623" spans="4:13" ht="18.75" x14ac:dyDescent="0.3">
      <c r="D623" s="466" t="s">
        <v>105</v>
      </c>
      <c r="E623" s="466" t="s">
        <v>163</v>
      </c>
      <c r="F623" s="482"/>
      <c r="G623" s="482"/>
      <c r="H623" s="482"/>
      <c r="I623" s="482"/>
      <c r="J623" s="482"/>
      <c r="K623" s="491">
        <f>K123+K273</f>
        <v>9464.7000000000007</v>
      </c>
      <c r="L623" s="491">
        <f>L123+L273</f>
        <v>0</v>
      </c>
      <c r="M623" s="491">
        <f>M123+M273</f>
        <v>9464.7000000000007</v>
      </c>
    </row>
    <row r="624" spans="4:13" ht="18.75" x14ac:dyDescent="0.3">
      <c r="D624" s="483" t="s">
        <v>105</v>
      </c>
      <c r="E624" s="483" t="s">
        <v>96</v>
      </c>
      <c r="F624" s="482"/>
      <c r="G624" s="482"/>
      <c r="H624" s="482"/>
      <c r="I624" s="482"/>
      <c r="J624" s="482"/>
      <c r="K624" s="493">
        <f>SUBTOTAL(9,K621:K623)</f>
        <v>25531.5</v>
      </c>
      <c r="L624" s="493">
        <f>SUBTOTAL(9,L621:L623)</f>
        <v>1564.7294000000002</v>
      </c>
      <c r="M624" s="493">
        <f>SUBTOTAL(9,M621:M623)</f>
        <v>27096.2294</v>
      </c>
    </row>
    <row r="625" spans="4:13" ht="18.75" x14ac:dyDescent="0.3">
      <c r="D625" s="466"/>
      <c r="E625" s="466"/>
      <c r="F625" s="482"/>
      <c r="G625" s="482"/>
      <c r="H625" s="482"/>
      <c r="I625" s="482"/>
      <c r="J625" s="482"/>
      <c r="K625" s="491"/>
      <c r="L625" s="491"/>
      <c r="M625" s="491"/>
    </row>
    <row r="626" spans="4:13" ht="18.75" x14ac:dyDescent="0.3">
      <c r="D626" s="466" t="s">
        <v>121</v>
      </c>
      <c r="E626" s="466" t="s">
        <v>90</v>
      </c>
      <c r="F626" s="482"/>
      <c r="G626" s="482"/>
      <c r="H626" s="482"/>
      <c r="I626" s="482"/>
      <c r="J626" s="482"/>
      <c r="K626" s="491"/>
      <c r="L626" s="491"/>
      <c r="M626" s="491"/>
    </row>
    <row r="627" spans="4:13" ht="18.75" x14ac:dyDescent="0.3">
      <c r="D627" s="466" t="s">
        <v>121</v>
      </c>
      <c r="E627" s="466" t="s">
        <v>92</v>
      </c>
      <c r="F627" s="482"/>
      <c r="G627" s="482"/>
      <c r="H627" s="482"/>
      <c r="I627" s="482"/>
      <c r="J627" s="482"/>
      <c r="K627" s="551">
        <f>K280+K150</f>
        <v>817.8</v>
      </c>
      <c r="L627" s="551">
        <f>L280+L150</f>
        <v>1818.0000000000002</v>
      </c>
      <c r="M627" s="551">
        <f>M280+M150</f>
        <v>2635.8</v>
      </c>
    </row>
    <row r="628" spans="4:13" ht="18.75" x14ac:dyDescent="0.3">
      <c r="D628" s="466" t="s">
        <v>121</v>
      </c>
      <c r="E628" s="466" t="s">
        <v>121</v>
      </c>
      <c r="F628" s="482"/>
      <c r="G628" s="482"/>
      <c r="H628" s="482"/>
      <c r="I628" s="482"/>
      <c r="J628" s="482"/>
      <c r="K628" s="491">
        <f>K156</f>
        <v>35.700000000000003</v>
      </c>
      <c r="L628" s="491">
        <f>L156</f>
        <v>0</v>
      </c>
      <c r="M628" s="491">
        <f>M156</f>
        <v>35.700000000000003</v>
      </c>
    </row>
    <row r="629" spans="4:13" ht="18.75" x14ac:dyDescent="0.3">
      <c r="D629" s="483" t="s">
        <v>121</v>
      </c>
      <c r="E629" s="483" t="s">
        <v>96</v>
      </c>
      <c r="F629" s="482"/>
      <c r="G629" s="482"/>
      <c r="H629" s="482"/>
      <c r="I629" s="482"/>
      <c r="J629" s="482"/>
      <c r="K629" s="493">
        <f>SUBTOTAL(9,K626:K628)</f>
        <v>853.5</v>
      </c>
      <c r="L629" s="493">
        <f>SUBTOTAL(9,L626:L628)</f>
        <v>1818.0000000000002</v>
      </c>
      <c r="M629" s="493">
        <f>SUBTOTAL(9,M626:M628)</f>
        <v>2671.5</v>
      </c>
    </row>
    <row r="630" spans="4:13" ht="18.75" x14ac:dyDescent="0.3">
      <c r="D630" s="466"/>
      <c r="E630" s="466"/>
      <c r="F630" s="482"/>
      <c r="G630" s="482"/>
      <c r="H630" s="482"/>
      <c r="I630" s="482"/>
      <c r="J630" s="482"/>
      <c r="K630" s="491"/>
      <c r="L630" s="491"/>
      <c r="M630" s="491"/>
    </row>
    <row r="631" spans="4:13" ht="18.75" x14ac:dyDescent="0.3">
      <c r="D631" s="466" t="s">
        <v>304</v>
      </c>
      <c r="E631" s="466" t="s">
        <v>90</v>
      </c>
      <c r="F631" s="482"/>
      <c r="G631" s="482"/>
      <c r="H631" s="482"/>
      <c r="I631" s="482"/>
      <c r="J631" s="482"/>
      <c r="K631" s="551">
        <f>K314</f>
        <v>295818.40000000002</v>
      </c>
      <c r="L631" s="551">
        <f>L314</f>
        <v>336.2</v>
      </c>
      <c r="M631" s="551">
        <f>M314</f>
        <v>296154.60000000003</v>
      </c>
    </row>
    <row r="632" spans="4:13" ht="18.75" x14ac:dyDescent="0.3">
      <c r="D632" s="466" t="s">
        <v>304</v>
      </c>
      <c r="E632" s="466" t="s">
        <v>92</v>
      </c>
      <c r="F632" s="482"/>
      <c r="G632" s="482"/>
      <c r="H632" s="482"/>
      <c r="I632" s="482"/>
      <c r="J632" s="482"/>
      <c r="K632" s="494">
        <f>K340</f>
        <v>484193.89999999997</v>
      </c>
      <c r="L632" s="494">
        <f>L340++L287</f>
        <v>4372.8999999999887</v>
      </c>
      <c r="M632" s="494">
        <f>M340++M287</f>
        <v>488566.8</v>
      </c>
    </row>
    <row r="633" spans="4:13" ht="18.75" x14ac:dyDescent="0.3">
      <c r="D633" s="466" t="s">
        <v>304</v>
      </c>
      <c r="E633" s="466" t="s">
        <v>119</v>
      </c>
      <c r="F633" s="482"/>
      <c r="G633" s="482"/>
      <c r="H633" s="482"/>
      <c r="I633" s="482"/>
      <c r="J633" s="482"/>
      <c r="K633" s="491">
        <f>K382+K445</f>
        <v>96610.300000000017</v>
      </c>
      <c r="L633" s="491">
        <f>L382+L445</f>
        <v>3756.5034599999999</v>
      </c>
      <c r="M633" s="491">
        <f>M382+M445</f>
        <v>100366.80346000001</v>
      </c>
    </row>
    <row r="634" spans="4:13" ht="18.75" x14ac:dyDescent="0.3">
      <c r="D634" s="466" t="s">
        <v>304</v>
      </c>
      <c r="E634" s="466" t="s">
        <v>121</v>
      </c>
      <c r="F634" s="482"/>
      <c r="G634" s="482"/>
      <c r="H634" s="482"/>
      <c r="I634" s="482"/>
      <c r="J634" s="482"/>
      <c r="K634" s="491"/>
      <c r="L634" s="491"/>
      <c r="M634" s="491"/>
    </row>
    <row r="635" spans="4:13" ht="18.75" x14ac:dyDescent="0.3">
      <c r="D635" s="466" t="s">
        <v>304</v>
      </c>
      <c r="E635" s="466" t="s">
        <v>304</v>
      </c>
      <c r="F635" s="482"/>
      <c r="G635" s="482"/>
      <c r="H635" s="482"/>
      <c r="I635" s="482"/>
      <c r="J635" s="482"/>
      <c r="K635" s="551">
        <f>K407+K540+K560</f>
        <v>6558.4000000000005</v>
      </c>
      <c r="L635" s="551">
        <f>L407+L540+L560+L453</f>
        <v>1500</v>
      </c>
      <c r="M635" s="551">
        <f>M407+M540+M560+M453</f>
        <v>8058.4000000000005</v>
      </c>
    </row>
    <row r="636" spans="4:13" ht="18.75" x14ac:dyDescent="0.3">
      <c r="D636" s="466" t="s">
        <v>304</v>
      </c>
      <c r="E636" s="466" t="s">
        <v>139</v>
      </c>
      <c r="F636" s="482"/>
      <c r="G636" s="482"/>
      <c r="H636" s="482"/>
      <c r="I636" s="482"/>
      <c r="J636" s="482"/>
      <c r="K636" s="491">
        <f>K416+K549+K459</f>
        <v>44592.2</v>
      </c>
      <c r="L636" s="491">
        <f>L416+L549+L459</f>
        <v>1.5483100000001286</v>
      </c>
      <c r="M636" s="491">
        <f>M416+M549+M459</f>
        <v>44593.768309999992</v>
      </c>
    </row>
    <row r="637" spans="4:13" ht="18.75" x14ac:dyDescent="0.3">
      <c r="D637" s="483" t="s">
        <v>304</v>
      </c>
      <c r="E637" s="483" t="s">
        <v>96</v>
      </c>
      <c r="F637" s="482"/>
      <c r="G637" s="482"/>
      <c r="H637" s="482"/>
      <c r="I637" s="482"/>
      <c r="J637" s="482"/>
      <c r="K637" s="493">
        <f>SUBTOTAL(9,K631:K636)</f>
        <v>927773.20000000007</v>
      </c>
      <c r="L637" s="493">
        <f>SUBTOTAL(9,L631:L636)</f>
        <v>9967.1517699999877</v>
      </c>
      <c r="M637" s="493">
        <f>SUBTOTAL(9,M631:M636)</f>
        <v>937740.37176999997</v>
      </c>
    </row>
    <row r="638" spans="4:13" ht="18.75" x14ac:dyDescent="0.3">
      <c r="D638" s="466"/>
      <c r="E638" s="466"/>
      <c r="F638" s="482"/>
      <c r="G638" s="482"/>
      <c r="H638" s="482"/>
      <c r="I638" s="482"/>
      <c r="J638" s="482"/>
      <c r="K638" s="491"/>
      <c r="L638" s="491"/>
      <c r="M638" s="491"/>
    </row>
    <row r="639" spans="4:13" ht="18.75" x14ac:dyDescent="0.3">
      <c r="D639" s="466" t="s">
        <v>306</v>
      </c>
      <c r="E639" s="466" t="s">
        <v>90</v>
      </c>
      <c r="F639" s="482"/>
      <c r="G639" s="482"/>
      <c r="H639" s="482"/>
      <c r="I639" s="482"/>
      <c r="J639" s="482"/>
      <c r="K639" s="491">
        <f>K466</f>
        <v>23878.899999999998</v>
      </c>
      <c r="L639" s="491">
        <f>L466</f>
        <v>25</v>
      </c>
      <c r="M639" s="491">
        <f>M466</f>
        <v>23903.899999999998</v>
      </c>
    </row>
    <row r="640" spans="4:13" ht="18.75" x14ac:dyDescent="0.3">
      <c r="D640" s="466" t="s">
        <v>306</v>
      </c>
      <c r="E640" s="466" t="s">
        <v>105</v>
      </c>
      <c r="F640" s="482"/>
      <c r="G640" s="482"/>
      <c r="H640" s="482"/>
      <c r="I640" s="482"/>
      <c r="J640" s="482"/>
      <c r="K640" s="491">
        <f>K485</f>
        <v>9103.6999999999989</v>
      </c>
      <c r="L640" s="491">
        <f>L485</f>
        <v>226.60000000000002</v>
      </c>
      <c r="M640" s="491">
        <f>M485</f>
        <v>9330.2999999999993</v>
      </c>
    </row>
    <row r="641" spans="4:13" ht="18.75" x14ac:dyDescent="0.3">
      <c r="D641" s="483" t="s">
        <v>306</v>
      </c>
      <c r="E641" s="483" t="s">
        <v>96</v>
      </c>
      <c r="F641" s="482"/>
      <c r="G641" s="482"/>
      <c r="H641" s="482"/>
      <c r="I641" s="482"/>
      <c r="J641" s="482"/>
      <c r="K641" s="493">
        <f>SUBTOTAL(9,K639:K640)</f>
        <v>32982.6</v>
      </c>
      <c r="L641" s="493">
        <f>SUBTOTAL(9,L639:L640)</f>
        <v>251.60000000000002</v>
      </c>
      <c r="M641" s="493">
        <f>SUBTOTAL(9,M639:M640)</f>
        <v>33234.199999999997</v>
      </c>
    </row>
    <row r="642" spans="4:13" ht="18.75" x14ac:dyDescent="0.3">
      <c r="D642" s="466"/>
      <c r="E642" s="466"/>
      <c r="F642" s="482"/>
      <c r="G642" s="482"/>
      <c r="H642" s="482"/>
      <c r="I642" s="482"/>
      <c r="J642" s="482"/>
      <c r="K642" s="491"/>
      <c r="L642" s="491"/>
      <c r="M642" s="491"/>
    </row>
    <row r="643" spans="4:13" ht="18.75" x14ac:dyDescent="0.3">
      <c r="D643" s="466" t="s">
        <v>139</v>
      </c>
      <c r="E643" s="466" t="s">
        <v>90</v>
      </c>
      <c r="F643" s="482"/>
      <c r="G643" s="482"/>
      <c r="H643" s="482"/>
      <c r="I643" s="482"/>
      <c r="J643" s="482"/>
      <c r="K643" s="491"/>
      <c r="L643" s="491"/>
      <c r="M643" s="491"/>
    </row>
    <row r="644" spans="4:13" ht="18.75" x14ac:dyDescent="0.3">
      <c r="D644" s="466" t="s">
        <v>139</v>
      </c>
      <c r="E644" s="466" t="s">
        <v>92</v>
      </c>
      <c r="F644" s="482"/>
      <c r="G644" s="482"/>
      <c r="H644" s="482"/>
      <c r="I644" s="482"/>
      <c r="J644" s="482"/>
      <c r="K644" s="491">
        <f>K294</f>
        <v>8508.1</v>
      </c>
      <c r="L644" s="491">
        <f>L294</f>
        <v>0</v>
      </c>
      <c r="M644" s="491">
        <f>M294</f>
        <v>8508.1</v>
      </c>
    </row>
    <row r="645" spans="4:13" ht="18.75" x14ac:dyDescent="0.3">
      <c r="D645" s="466" t="s">
        <v>139</v>
      </c>
      <c r="E645" s="466" t="s">
        <v>105</v>
      </c>
      <c r="F645" s="482"/>
      <c r="G645" s="482"/>
      <c r="H645" s="482"/>
      <c r="I645" s="482"/>
      <c r="J645" s="482"/>
      <c r="K645" s="491"/>
      <c r="L645" s="491"/>
      <c r="M645" s="491"/>
    </row>
    <row r="646" spans="4:13" ht="18.75" x14ac:dyDescent="0.3">
      <c r="D646" s="466" t="s">
        <v>139</v>
      </c>
      <c r="E646" s="466" t="s">
        <v>139</v>
      </c>
      <c r="F646" s="482"/>
      <c r="G646" s="482"/>
      <c r="H646" s="482"/>
      <c r="I646" s="482"/>
      <c r="J646" s="482"/>
      <c r="K646" s="491"/>
      <c r="L646" s="491"/>
      <c r="M646" s="491"/>
    </row>
    <row r="647" spans="4:13" ht="18.75" x14ac:dyDescent="0.3">
      <c r="D647" s="483" t="s">
        <v>139</v>
      </c>
      <c r="E647" s="483" t="s">
        <v>96</v>
      </c>
      <c r="F647" s="482"/>
      <c r="G647" s="482"/>
      <c r="H647" s="482"/>
      <c r="I647" s="482"/>
      <c r="J647" s="482"/>
      <c r="K647" s="493">
        <f>SUBTOTAL(9,K643:K646)</f>
        <v>8508.1</v>
      </c>
      <c r="L647" s="493">
        <f>SUBTOTAL(9,L643:L646)</f>
        <v>0</v>
      </c>
      <c r="M647" s="493">
        <f>SUBTOTAL(9,M643:M646)</f>
        <v>8508.1</v>
      </c>
    </row>
    <row r="648" spans="4:13" ht="18.75" x14ac:dyDescent="0.3">
      <c r="D648" s="466"/>
      <c r="E648" s="466"/>
      <c r="F648" s="482"/>
      <c r="G648" s="482"/>
      <c r="H648" s="482"/>
      <c r="I648" s="482"/>
      <c r="J648" s="482"/>
      <c r="K648" s="491"/>
      <c r="L648" s="491"/>
      <c r="M648" s="491"/>
    </row>
    <row r="649" spans="4:13" ht="18.75" x14ac:dyDescent="0.3">
      <c r="D649" s="466" t="s">
        <v>167</v>
      </c>
      <c r="E649" s="466" t="s">
        <v>90</v>
      </c>
      <c r="F649" s="482"/>
      <c r="G649" s="482"/>
      <c r="H649" s="482"/>
      <c r="I649" s="482"/>
      <c r="J649" s="482"/>
      <c r="K649" s="491">
        <f>K163</f>
        <v>276</v>
      </c>
      <c r="L649" s="491">
        <f>L163</f>
        <v>0</v>
      </c>
      <c r="M649" s="491">
        <f>M163</f>
        <v>276</v>
      </c>
    </row>
    <row r="650" spans="4:13" ht="18.75" x14ac:dyDescent="0.3">
      <c r="D650" s="466" t="s">
        <v>167</v>
      </c>
      <c r="E650" s="466" t="s">
        <v>119</v>
      </c>
      <c r="F650" s="482"/>
      <c r="G650" s="482"/>
      <c r="H650" s="482"/>
      <c r="I650" s="482"/>
      <c r="J650" s="482"/>
      <c r="K650" s="491"/>
      <c r="L650" s="491"/>
      <c r="M650" s="491"/>
    </row>
    <row r="651" spans="4:13" ht="18.75" x14ac:dyDescent="0.3">
      <c r="D651" s="466" t="s">
        <v>167</v>
      </c>
      <c r="E651" s="466" t="s">
        <v>105</v>
      </c>
      <c r="F651" s="482"/>
      <c r="G651" s="482"/>
      <c r="H651" s="482"/>
      <c r="I651" s="482"/>
      <c r="J651" s="482"/>
      <c r="K651" s="491">
        <f>K435+K567+K301</f>
        <v>112156.6</v>
      </c>
      <c r="L651" s="491">
        <f>L435+L567+L301</f>
        <v>0</v>
      </c>
      <c r="M651" s="491">
        <f>M435+M567+M301</f>
        <v>112156.6</v>
      </c>
    </row>
    <row r="652" spans="4:13" ht="18.75" x14ac:dyDescent="0.3">
      <c r="D652" s="466" t="s">
        <v>167</v>
      </c>
      <c r="E652" s="466" t="s">
        <v>141</v>
      </c>
      <c r="F652" s="482"/>
      <c r="G652" s="482"/>
      <c r="H652" s="482"/>
      <c r="I652" s="482"/>
      <c r="J652" s="482"/>
      <c r="K652" s="491">
        <f>K169+K588</f>
        <v>8448.4</v>
      </c>
      <c r="L652" s="491">
        <f>L169+L588</f>
        <v>39</v>
      </c>
      <c r="M652" s="491">
        <f>M169+M588</f>
        <v>8487.4</v>
      </c>
    </row>
    <row r="653" spans="4:13" ht="18.75" x14ac:dyDescent="0.3">
      <c r="D653" s="483" t="s">
        <v>167</v>
      </c>
      <c r="E653" s="483" t="s">
        <v>96</v>
      </c>
      <c r="F653" s="482"/>
      <c r="G653" s="482"/>
      <c r="H653" s="482"/>
      <c r="I653" s="482"/>
      <c r="J653" s="482"/>
      <c r="K653" s="493">
        <f>SUBTOTAL(9,K649:K652)</f>
        <v>120881</v>
      </c>
      <c r="L653" s="493">
        <f>SUBTOTAL(9,L649:L652)</f>
        <v>39</v>
      </c>
      <c r="M653" s="493">
        <f>SUBTOTAL(9,M649:M652)</f>
        <v>120920</v>
      </c>
    </row>
    <row r="654" spans="4:13" ht="18.75" x14ac:dyDescent="0.3">
      <c r="D654" s="466"/>
      <c r="E654" s="466"/>
      <c r="F654" s="482"/>
      <c r="G654" s="482"/>
      <c r="H654" s="482"/>
      <c r="I654" s="482"/>
      <c r="J654" s="482"/>
      <c r="K654" s="491"/>
      <c r="L654" s="491"/>
      <c r="M654" s="491"/>
    </row>
    <row r="655" spans="4:13" ht="18.75" x14ac:dyDescent="0.3">
      <c r="D655" s="466" t="s">
        <v>123</v>
      </c>
      <c r="E655" s="466" t="s">
        <v>90</v>
      </c>
      <c r="F655" s="482"/>
      <c r="G655" s="482"/>
      <c r="H655" s="482"/>
      <c r="I655" s="482"/>
      <c r="J655" s="482"/>
      <c r="K655" s="551">
        <f>K504</f>
        <v>36580</v>
      </c>
      <c r="L655" s="551">
        <f>L504</f>
        <v>-1802.5000000000007</v>
      </c>
      <c r="M655" s="551">
        <f>M504</f>
        <v>34777.5</v>
      </c>
    </row>
    <row r="656" spans="4:13" ht="18.75" x14ac:dyDescent="0.3">
      <c r="D656" s="466" t="s">
        <v>123</v>
      </c>
      <c r="E656" s="466" t="s">
        <v>92</v>
      </c>
      <c r="F656" s="482"/>
      <c r="G656" s="482"/>
      <c r="H656" s="482"/>
      <c r="I656" s="482"/>
      <c r="J656" s="482"/>
      <c r="K656" s="491">
        <f>K518</f>
        <v>1510.3000000000002</v>
      </c>
      <c r="L656" s="491">
        <f>L518</f>
        <v>0</v>
      </c>
      <c r="M656" s="491">
        <f>M518</f>
        <v>1510.3000000000002</v>
      </c>
    </row>
    <row r="657" spans="2:13" ht="18.75" x14ac:dyDescent="0.3">
      <c r="D657" s="466" t="s">
        <v>123</v>
      </c>
      <c r="E657" s="466" t="s">
        <v>121</v>
      </c>
      <c r="F657" s="482"/>
      <c r="G657" s="482"/>
      <c r="H657" s="482"/>
      <c r="I657" s="482"/>
      <c r="J657" s="482"/>
      <c r="K657" s="491">
        <f>K529</f>
        <v>2350.1</v>
      </c>
      <c r="L657" s="491">
        <f>L529</f>
        <v>0</v>
      </c>
      <c r="M657" s="491">
        <f>M529</f>
        <v>2350.1</v>
      </c>
    </row>
    <row r="658" spans="2:13" ht="18.75" x14ac:dyDescent="0.3">
      <c r="D658" s="483" t="s">
        <v>123</v>
      </c>
      <c r="E658" s="483" t="s">
        <v>96</v>
      </c>
      <c r="F658" s="482"/>
      <c r="G658" s="482"/>
      <c r="H658" s="482"/>
      <c r="I658" s="482"/>
      <c r="J658" s="482"/>
      <c r="K658" s="493">
        <f>SUBTOTAL(9,K655:K657)</f>
        <v>40440.400000000001</v>
      </c>
      <c r="L658" s="493">
        <f>SUBTOTAL(9,L655:L657)</f>
        <v>-1802.5000000000007</v>
      </c>
      <c r="M658" s="493">
        <f>SUBTOTAL(9,M655:M657)</f>
        <v>38637.9</v>
      </c>
    </row>
    <row r="659" spans="2:13" ht="18.75" x14ac:dyDescent="0.3">
      <c r="D659" s="466"/>
      <c r="E659" s="466"/>
      <c r="F659" s="482"/>
      <c r="G659" s="482"/>
      <c r="H659" s="482"/>
      <c r="I659" s="482"/>
      <c r="J659" s="482"/>
      <c r="K659" s="491"/>
      <c r="L659" s="491"/>
      <c r="M659" s="491"/>
    </row>
    <row r="660" spans="2:13" ht="18.75" x14ac:dyDescent="0.3">
      <c r="D660" s="466" t="s">
        <v>130</v>
      </c>
      <c r="E660" s="466" t="s">
        <v>90</v>
      </c>
      <c r="F660" s="482"/>
      <c r="G660" s="482"/>
      <c r="H660" s="482"/>
      <c r="I660" s="482"/>
      <c r="J660" s="482"/>
      <c r="K660" s="551">
        <f>K181</f>
        <v>6</v>
      </c>
      <c r="L660" s="551">
        <f>L181</f>
        <v>0</v>
      </c>
      <c r="M660" s="551">
        <f>M181</f>
        <v>6</v>
      </c>
    </row>
    <row r="661" spans="2:13" ht="18.75" x14ac:dyDescent="0.3">
      <c r="D661" s="483" t="s">
        <v>130</v>
      </c>
      <c r="E661" s="483" t="s">
        <v>96</v>
      </c>
      <c r="F661" s="482"/>
      <c r="G661" s="482"/>
      <c r="H661" s="482"/>
      <c r="I661" s="482"/>
      <c r="J661" s="482"/>
      <c r="K661" s="493">
        <f>K660</f>
        <v>6</v>
      </c>
      <c r="L661" s="493">
        <f>L660</f>
        <v>0</v>
      </c>
      <c r="M661" s="493">
        <f>M660</f>
        <v>6</v>
      </c>
    </row>
    <row r="662" spans="2:13" ht="18.75" x14ac:dyDescent="0.3">
      <c r="D662" s="466"/>
      <c r="E662" s="466"/>
      <c r="F662" s="482"/>
      <c r="G662" s="482"/>
      <c r="H662" s="482"/>
      <c r="I662" s="482"/>
      <c r="J662" s="482"/>
      <c r="K662" s="491"/>
      <c r="L662" s="491"/>
      <c r="M662" s="491"/>
    </row>
    <row r="663" spans="2:13" ht="18.75" x14ac:dyDescent="0.3">
      <c r="D663" s="466" t="s">
        <v>149</v>
      </c>
      <c r="E663" s="466" t="s">
        <v>90</v>
      </c>
      <c r="F663" s="482"/>
      <c r="G663" s="482"/>
      <c r="H663" s="482"/>
      <c r="I663" s="482"/>
      <c r="J663" s="482"/>
      <c r="K663" s="491">
        <f>K208</f>
        <v>5000</v>
      </c>
      <c r="L663" s="491">
        <f>L208</f>
        <v>0</v>
      </c>
      <c r="M663" s="491">
        <f>M208</f>
        <v>5000</v>
      </c>
    </row>
    <row r="664" spans="2:13" ht="18.75" x14ac:dyDescent="0.3">
      <c r="D664" s="466" t="s">
        <v>149</v>
      </c>
      <c r="E664" s="466" t="s">
        <v>119</v>
      </c>
      <c r="F664" s="482"/>
      <c r="G664" s="482"/>
      <c r="H664" s="482"/>
      <c r="I664" s="482"/>
      <c r="J664" s="482"/>
      <c r="K664" s="491"/>
      <c r="L664" s="491"/>
      <c r="M664" s="491"/>
    </row>
    <row r="665" spans="2:13" ht="18.75" x14ac:dyDescent="0.3">
      <c r="D665" s="483" t="s">
        <v>149</v>
      </c>
      <c r="E665" s="483" t="s">
        <v>96</v>
      </c>
      <c r="F665" s="482"/>
      <c r="G665" s="482"/>
      <c r="H665" s="482"/>
      <c r="I665" s="482"/>
      <c r="J665" s="482"/>
      <c r="K665" s="493">
        <f>SUBTOTAL(9,K663:K664)</f>
        <v>5000</v>
      </c>
      <c r="L665" s="493">
        <f>SUBTOTAL(9,L663:L664)</f>
        <v>0</v>
      </c>
      <c r="M665" s="493">
        <f>SUBTOTAL(9,M663:M664)</f>
        <v>5000</v>
      </c>
    </row>
    <row r="666" spans="2:13" ht="18.75" x14ac:dyDescent="0.3">
      <c r="D666" s="466"/>
      <c r="E666" s="466"/>
      <c r="F666" s="482"/>
      <c r="G666" s="482"/>
      <c r="H666" s="482"/>
      <c r="I666" s="482"/>
      <c r="J666" s="482"/>
      <c r="K666" s="491"/>
      <c r="L666" s="551"/>
      <c r="M666" s="491"/>
    </row>
    <row r="667" spans="2:13" ht="18.75" x14ac:dyDescent="0.3">
      <c r="D667" s="466"/>
      <c r="E667" s="466"/>
      <c r="F667" s="482"/>
      <c r="G667" s="482"/>
      <c r="H667" s="482"/>
      <c r="I667" s="482"/>
      <c r="J667" s="482"/>
      <c r="K667" s="492">
        <f>K665+K658+K653+K647+K641+K637+K629+K624+K619+K615+K661</f>
        <v>1299647.8</v>
      </c>
      <c r="L667" s="553">
        <f>L665+L658+L653+L647+L641+L637+L629+L624+L619+L615+L661</f>
        <v>16299.400849999987</v>
      </c>
      <c r="M667" s="492">
        <f>M665+M658+M653+M647+M641+M637+M629+M624+M619+M615+M661</f>
        <v>1315947.2208500002</v>
      </c>
    </row>
    <row r="668" spans="2:13" ht="18.75" x14ac:dyDescent="0.3">
      <c r="D668" s="466"/>
      <c r="E668" s="466"/>
      <c r="F668" s="482"/>
      <c r="G668" s="482"/>
      <c r="H668" s="482"/>
      <c r="I668" s="482"/>
      <c r="J668" s="482"/>
      <c r="K668" s="494">
        <f>K667-K15</f>
        <v>0</v>
      </c>
      <c r="L668" s="552">
        <f>L667-L15</f>
        <v>0</v>
      </c>
      <c r="M668" s="494">
        <f>M667-M15</f>
        <v>0</v>
      </c>
    </row>
    <row r="669" spans="2:13" ht="18.75" x14ac:dyDescent="0.3">
      <c r="B669" s="348" t="s">
        <v>562</v>
      </c>
      <c r="D669" s="466"/>
      <c r="E669" s="466"/>
      <c r="F669" s="482"/>
      <c r="G669" s="482"/>
      <c r="H669" s="482"/>
      <c r="I669" s="482"/>
      <c r="J669" s="482"/>
      <c r="K669" s="494">
        <f>K658+K653+K647+K641+K637-K588-K553-K533-K493-K423</f>
        <v>1107930.7</v>
      </c>
      <c r="L669" s="552">
        <f>L658+L653+L647+L641+L637-L588-L553-L533-L493-L423</f>
        <v>8455.1287499999889</v>
      </c>
      <c r="M669" s="494">
        <f>M658+M653+M647+M641+M637-M588-M553-M533-M493-M423</f>
        <v>1116385.8487499999</v>
      </c>
    </row>
    <row r="670" spans="2:13" ht="18.75" x14ac:dyDescent="0.3">
      <c r="B670" s="348" t="s">
        <v>561</v>
      </c>
      <c r="D670" s="466"/>
      <c r="E670" s="466"/>
      <c r="F670" s="482"/>
      <c r="G670" s="482"/>
      <c r="H670" s="482"/>
      <c r="I670" s="482"/>
      <c r="J670" s="482"/>
      <c r="K670" s="494">
        <f>K588+K553+K533+K493+K423</f>
        <v>22654.6</v>
      </c>
      <c r="L670" s="552">
        <f>L588+L553+L533+L493+L423</f>
        <v>0.1230199999999968</v>
      </c>
      <c r="M670" s="494">
        <f>M588+M553+M533+M493+M423</f>
        <v>22654.723020000001</v>
      </c>
    </row>
    <row r="671" spans="2:13" ht="18.75" x14ac:dyDescent="0.3">
      <c r="D671" s="466"/>
      <c r="E671" s="466"/>
      <c r="F671" s="482"/>
      <c r="G671" s="482"/>
      <c r="H671" s="482"/>
      <c r="I671" s="482"/>
      <c r="J671" s="482"/>
      <c r="K671" s="495"/>
      <c r="L671" s="554"/>
      <c r="M671" s="495"/>
    </row>
    <row r="672" spans="2:13" ht="18.75" x14ac:dyDescent="0.3">
      <c r="D672" s="466"/>
      <c r="E672" s="466"/>
      <c r="F672" s="482"/>
      <c r="G672" s="482"/>
      <c r="H672" s="482"/>
      <c r="I672" s="482"/>
      <c r="J672" s="482"/>
      <c r="K672" s="484">
        <f>(K669/K667)*100</f>
        <v>85.248534256742474</v>
      </c>
      <c r="L672" s="545">
        <f>(L669/L667)*100</f>
        <v>51.873862283716988</v>
      </c>
      <c r="M672" s="484">
        <f>(M669/M667)*100</f>
        <v>84.83515380114568</v>
      </c>
    </row>
    <row r="673" spans="5:13" x14ac:dyDescent="0.25">
      <c r="E673" s="74"/>
      <c r="F673" s="74"/>
      <c r="G673" s="74"/>
      <c r="H673" s="74"/>
      <c r="I673" s="74"/>
      <c r="J673" s="74"/>
      <c r="K673" s="212"/>
      <c r="L673" s="546"/>
      <c r="M673" s="212"/>
    </row>
  </sheetData>
  <autoFilter ref="A4:M1062"/>
  <mergeCells count="11">
    <mergeCell ref="A8:M8"/>
    <mergeCell ref="L12:M12"/>
    <mergeCell ref="K12:K13"/>
    <mergeCell ref="F14:I14"/>
    <mergeCell ref="A12:A13"/>
    <mergeCell ref="B12:B13"/>
    <mergeCell ref="J12:J13"/>
    <mergeCell ref="F12:I13"/>
    <mergeCell ref="E12:E13"/>
    <mergeCell ref="D12:D13"/>
    <mergeCell ref="C12:C1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7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18"/>
  <sheetViews>
    <sheetView tabSelected="1" zoomScale="80" zoomScaleNormal="80" workbookViewId="0">
      <pane ySplit="4" topLeftCell="A5" activePane="bottomLeft" state="frozen"/>
      <selection activeCell="M15" sqref="M15"/>
      <selection pane="bottomLeft" activeCell="N97" sqref="N97:N114"/>
    </sheetView>
  </sheetViews>
  <sheetFormatPr defaultColWidth="8.85546875" defaultRowHeight="15" x14ac:dyDescent="0.25"/>
  <cols>
    <col min="1" max="1" width="4.7109375" style="74" customWidth="1"/>
    <col min="2" max="2" width="54.42578125" style="74" customWidth="1"/>
    <col min="3" max="3" width="5.5703125" style="74" customWidth="1"/>
    <col min="4" max="4" width="3.7109375" style="74" customWidth="1"/>
    <col min="5" max="5" width="4" style="74" customWidth="1"/>
    <col min="6" max="6" width="3.28515625" style="74" customWidth="1"/>
    <col min="7" max="7" width="2.42578125" style="74" customWidth="1"/>
    <col min="8" max="8" width="2.7109375" style="74" customWidth="1"/>
    <col min="9" max="9" width="7.7109375" style="74" customWidth="1"/>
    <col min="10" max="10" width="5" style="74" customWidth="1"/>
    <col min="11" max="11" width="13.42578125" style="175" hidden="1" customWidth="1"/>
    <col min="12" max="12" width="13.85546875" style="74" customWidth="1"/>
    <col min="13" max="14" width="13.42578125" style="175" customWidth="1"/>
    <col min="15" max="16384" width="8.85546875" style="74"/>
  </cols>
  <sheetData>
    <row r="1" spans="1:14" s="219" customFormat="1" ht="18.75" x14ac:dyDescent="0.3">
      <c r="K1" s="1"/>
      <c r="N1" s="1" t="s">
        <v>701</v>
      </c>
    </row>
    <row r="2" spans="1:14" s="219" customFormat="1" ht="18.75" x14ac:dyDescent="0.3">
      <c r="K2" s="1"/>
      <c r="N2" s="1" t="s">
        <v>0</v>
      </c>
    </row>
    <row r="3" spans="1:14" s="219" customFormat="1" ht="18.75" x14ac:dyDescent="0.3">
      <c r="K3" s="1"/>
      <c r="M3" s="1"/>
    </row>
    <row r="4" spans="1:14" ht="18.75" x14ac:dyDescent="0.3">
      <c r="N4" s="1" t="s">
        <v>641</v>
      </c>
    </row>
    <row r="5" spans="1:14" ht="18.75" x14ac:dyDescent="0.3">
      <c r="N5" s="1" t="s">
        <v>821</v>
      </c>
    </row>
    <row r="7" spans="1:14" x14ac:dyDescent="0.25">
      <c r="K7" s="287"/>
      <c r="M7" s="287"/>
    </row>
    <row r="8" spans="1:14" ht="17.45" customHeight="1" x14ac:dyDescent="0.3">
      <c r="A8" s="993" t="s">
        <v>757</v>
      </c>
      <c r="B8" s="993"/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</row>
    <row r="9" spans="1:14" ht="17.45" customHeight="1" x14ac:dyDescent="0.3">
      <c r="A9" s="574"/>
      <c r="B9" s="574"/>
      <c r="C9" s="574"/>
      <c r="D9" s="574"/>
      <c r="E9" s="574"/>
      <c r="F9" s="574"/>
      <c r="G9" s="574"/>
      <c r="H9" s="574"/>
      <c r="I9" s="574"/>
      <c r="J9" s="574"/>
      <c r="K9" s="899"/>
      <c r="L9" s="574"/>
      <c r="M9" s="574"/>
      <c r="N9" s="574"/>
    </row>
    <row r="10" spans="1:14" ht="17.45" customHeight="1" x14ac:dyDescent="0.3">
      <c r="A10" s="574"/>
      <c r="B10" s="574"/>
      <c r="C10" s="574"/>
      <c r="D10" s="574"/>
      <c r="E10" s="574"/>
      <c r="F10" s="574"/>
      <c r="G10" s="574"/>
      <c r="H10" s="574"/>
      <c r="I10" s="574"/>
      <c r="J10" s="574"/>
      <c r="K10" s="899"/>
      <c r="L10" s="574"/>
      <c r="M10" s="574"/>
      <c r="N10" s="574"/>
    </row>
    <row r="11" spans="1:14" ht="18.75" x14ac:dyDescent="0.3">
      <c r="A11" s="5"/>
      <c r="B11" s="6"/>
      <c r="C11" s="7"/>
      <c r="D11" s="7"/>
      <c r="E11" s="7"/>
      <c r="F11" s="7"/>
      <c r="G11" s="5"/>
      <c r="H11" s="75"/>
      <c r="I11" s="8"/>
      <c r="J11" s="9"/>
      <c r="L11" s="9"/>
      <c r="N11" s="200" t="s">
        <v>75</v>
      </c>
    </row>
    <row r="12" spans="1:14" ht="18" customHeight="1" x14ac:dyDescent="0.25">
      <c r="A12" s="1023" t="s">
        <v>76</v>
      </c>
      <c r="B12" s="1024" t="s">
        <v>77</v>
      </c>
      <c r="C12" s="1020" t="s">
        <v>78</v>
      </c>
      <c r="D12" s="1020" t="s">
        <v>79</v>
      </c>
      <c r="E12" s="1020" t="s">
        <v>80</v>
      </c>
      <c r="F12" s="1019" t="s">
        <v>81</v>
      </c>
      <c r="G12" s="1020"/>
      <c r="H12" s="1020"/>
      <c r="I12" s="1020"/>
      <c r="J12" s="1020" t="s">
        <v>82</v>
      </c>
      <c r="K12" s="1002" t="s">
        <v>820</v>
      </c>
      <c r="L12" s="1027" t="s">
        <v>591</v>
      </c>
      <c r="M12" s="1028"/>
      <c r="N12" s="1025" t="s">
        <v>719</v>
      </c>
    </row>
    <row r="13" spans="1:14" ht="34.9" customHeight="1" x14ac:dyDescent="0.3">
      <c r="A13" s="1023"/>
      <c r="B13" s="1024"/>
      <c r="C13" s="1020"/>
      <c r="D13" s="1020"/>
      <c r="E13" s="1020"/>
      <c r="F13" s="1019"/>
      <c r="G13" s="1020"/>
      <c r="H13" s="1020"/>
      <c r="I13" s="1020"/>
      <c r="J13" s="1020"/>
      <c r="K13" s="1003"/>
      <c r="L13" s="329" t="s">
        <v>606</v>
      </c>
      <c r="M13" s="330" t="s">
        <v>569</v>
      </c>
      <c r="N13" s="1026"/>
    </row>
    <row r="14" spans="1:14" ht="18.75" x14ac:dyDescent="0.3">
      <c r="A14" s="4">
        <v>1</v>
      </c>
      <c r="B14" s="160">
        <v>2</v>
      </c>
      <c r="C14" s="100" t="s">
        <v>83</v>
      </c>
      <c r="D14" s="100" t="s">
        <v>84</v>
      </c>
      <c r="E14" s="100" t="s">
        <v>85</v>
      </c>
      <c r="F14" s="1021" t="s">
        <v>86</v>
      </c>
      <c r="G14" s="1021"/>
      <c r="H14" s="1021"/>
      <c r="I14" s="1022"/>
      <c r="J14" s="100" t="s">
        <v>87</v>
      </c>
      <c r="K14" s="10">
        <v>9</v>
      </c>
      <c r="L14" s="100" t="s">
        <v>607</v>
      </c>
      <c r="M14" s="10">
        <v>9</v>
      </c>
      <c r="N14" s="10">
        <v>10</v>
      </c>
    </row>
    <row r="15" spans="1:14" ht="25.15" customHeight="1" x14ac:dyDescent="0.25">
      <c r="A15" s="2"/>
      <c r="B15" s="88" t="s">
        <v>281</v>
      </c>
      <c r="C15" s="89"/>
      <c r="D15" s="90"/>
      <c r="E15" s="90"/>
      <c r="F15" s="91"/>
      <c r="G15" s="91"/>
      <c r="H15" s="91"/>
      <c r="I15" s="92"/>
      <c r="J15" s="90"/>
      <c r="K15" s="250">
        <f>K16+K95+K112+K124+K154+K232+K260+K279+K297+K341</f>
        <v>1227477.7999999996</v>
      </c>
      <c r="L15" s="250">
        <f>L16+L95+L112+L124+L154+L232+L260+L279+L297+L341</f>
        <v>0</v>
      </c>
      <c r="M15" s="250">
        <f>M16+M95+M112+M124+M154+M232+M260+M279+M297+M341</f>
        <v>1227477.7999999996</v>
      </c>
      <c r="N15" s="250">
        <f>N16+N95+N112+N124+N154+N232+N260+N279+N297+N341</f>
        <v>1225136.7</v>
      </c>
    </row>
    <row r="16" spans="1:14" s="69" customFormat="1" ht="37.5" x14ac:dyDescent="0.3">
      <c r="A16" s="161">
        <v>1</v>
      </c>
      <c r="B16" s="93" t="s">
        <v>4</v>
      </c>
      <c r="C16" s="94" t="s">
        <v>13</v>
      </c>
      <c r="D16" s="95"/>
      <c r="E16" s="95"/>
      <c r="F16" s="96"/>
      <c r="G16" s="96"/>
      <c r="H16" s="96"/>
      <c r="I16" s="97"/>
      <c r="J16" s="95"/>
      <c r="K16" s="251">
        <f t="shared" ref="K16" si="0">K17+K54+K72</f>
        <v>95559.299999999988</v>
      </c>
      <c r="L16" s="251">
        <f>L17+L54+L72</f>
        <v>0</v>
      </c>
      <c r="M16" s="251">
        <f t="shared" ref="M16:N16" si="1">M17+M54+M72</f>
        <v>95559.299999999988</v>
      </c>
      <c r="N16" s="251">
        <f t="shared" si="1"/>
        <v>93705.4</v>
      </c>
    </row>
    <row r="17" spans="1:14" s="70" customFormat="1" ht="18.75" x14ac:dyDescent="0.3">
      <c r="A17" s="2"/>
      <c r="B17" s="98" t="s">
        <v>89</v>
      </c>
      <c r="C17" s="99" t="s">
        <v>13</v>
      </c>
      <c r="D17" s="100" t="s">
        <v>90</v>
      </c>
      <c r="E17" s="100"/>
      <c r="F17" s="272"/>
      <c r="G17" s="272"/>
      <c r="H17" s="272"/>
      <c r="I17" s="273"/>
      <c r="J17" s="100"/>
      <c r="K17" s="252">
        <f t="shared" ref="K17" si="2">K18+K24+K48+K42</f>
        <v>66179.199999999997</v>
      </c>
      <c r="L17" s="252">
        <f>L18+L24+L48+L42</f>
        <v>0</v>
      </c>
      <c r="M17" s="252">
        <f t="shared" ref="M17:N17" si="3">M18+M24+M48+M42</f>
        <v>66179.199999999997</v>
      </c>
      <c r="N17" s="252">
        <f t="shared" si="3"/>
        <v>64340.7</v>
      </c>
    </row>
    <row r="18" spans="1:14" s="67" customFormat="1" ht="56.25" x14ac:dyDescent="0.3">
      <c r="A18" s="2"/>
      <c r="B18" s="98" t="s">
        <v>91</v>
      </c>
      <c r="C18" s="99" t="s">
        <v>13</v>
      </c>
      <c r="D18" s="100" t="s">
        <v>90</v>
      </c>
      <c r="E18" s="100" t="s">
        <v>92</v>
      </c>
      <c r="F18" s="272"/>
      <c r="G18" s="272"/>
      <c r="H18" s="272"/>
      <c r="I18" s="273"/>
      <c r="J18" s="100"/>
      <c r="K18" s="252">
        <f t="shared" ref="K18:N22" si="4">K19</f>
        <v>1971.5</v>
      </c>
      <c r="L18" s="252">
        <f t="shared" si="4"/>
        <v>0</v>
      </c>
      <c r="M18" s="252">
        <f t="shared" si="4"/>
        <v>1971.5</v>
      </c>
      <c r="N18" s="252">
        <f t="shared" si="4"/>
        <v>1971.5</v>
      </c>
    </row>
    <row r="19" spans="1:14" s="67" customFormat="1" ht="75" x14ac:dyDescent="0.3">
      <c r="A19" s="2"/>
      <c r="B19" s="98" t="s">
        <v>93</v>
      </c>
      <c r="C19" s="99" t="s">
        <v>13</v>
      </c>
      <c r="D19" s="100" t="s">
        <v>90</v>
      </c>
      <c r="E19" s="100" t="s">
        <v>92</v>
      </c>
      <c r="F19" s="272" t="s">
        <v>94</v>
      </c>
      <c r="G19" s="272" t="s">
        <v>95</v>
      </c>
      <c r="H19" s="272" t="s">
        <v>96</v>
      </c>
      <c r="I19" s="273" t="s">
        <v>97</v>
      </c>
      <c r="J19" s="100"/>
      <c r="K19" s="252">
        <f t="shared" si="4"/>
        <v>1971.5</v>
      </c>
      <c r="L19" s="252">
        <f t="shared" si="4"/>
        <v>0</v>
      </c>
      <c r="M19" s="252">
        <f t="shared" si="4"/>
        <v>1971.5</v>
      </c>
      <c r="N19" s="252">
        <f t="shared" si="4"/>
        <v>1971.5</v>
      </c>
    </row>
    <row r="20" spans="1:14" s="67" customFormat="1" ht="37.5" x14ac:dyDescent="0.3">
      <c r="A20" s="2"/>
      <c r="B20" s="98" t="s">
        <v>491</v>
      </c>
      <c r="C20" s="99" t="s">
        <v>13</v>
      </c>
      <c r="D20" s="100" t="s">
        <v>90</v>
      </c>
      <c r="E20" s="100" t="s">
        <v>92</v>
      </c>
      <c r="F20" s="272" t="s">
        <v>94</v>
      </c>
      <c r="G20" s="272" t="s">
        <v>98</v>
      </c>
      <c r="H20" s="272" t="s">
        <v>96</v>
      </c>
      <c r="I20" s="273" t="s">
        <v>97</v>
      </c>
      <c r="J20" s="100"/>
      <c r="K20" s="252">
        <f t="shared" si="4"/>
        <v>1971.5</v>
      </c>
      <c r="L20" s="252">
        <f t="shared" si="4"/>
        <v>0</v>
      </c>
      <c r="M20" s="252">
        <f t="shared" si="4"/>
        <v>1971.5</v>
      </c>
      <c r="N20" s="252">
        <f t="shared" si="4"/>
        <v>1971.5</v>
      </c>
    </row>
    <row r="21" spans="1:14" s="67" customFormat="1" ht="49.15" customHeight="1" x14ac:dyDescent="0.3">
      <c r="A21" s="2"/>
      <c r="B21" s="98" t="s">
        <v>99</v>
      </c>
      <c r="C21" s="99" t="s">
        <v>13</v>
      </c>
      <c r="D21" s="100" t="s">
        <v>90</v>
      </c>
      <c r="E21" s="100" t="s">
        <v>92</v>
      </c>
      <c r="F21" s="272" t="s">
        <v>94</v>
      </c>
      <c r="G21" s="272" t="s">
        <v>98</v>
      </c>
      <c r="H21" s="272" t="s">
        <v>90</v>
      </c>
      <c r="I21" s="273" t="s">
        <v>97</v>
      </c>
      <c r="J21" s="100"/>
      <c r="K21" s="252">
        <f t="shared" si="4"/>
        <v>1971.5</v>
      </c>
      <c r="L21" s="252">
        <f t="shared" si="4"/>
        <v>0</v>
      </c>
      <c r="M21" s="252">
        <f t="shared" si="4"/>
        <v>1971.5</v>
      </c>
      <c r="N21" s="252">
        <f t="shared" si="4"/>
        <v>1971.5</v>
      </c>
    </row>
    <row r="22" spans="1:14" s="67" customFormat="1" ht="37.5" x14ac:dyDescent="0.3">
      <c r="A22" s="2"/>
      <c r="B22" s="98" t="s">
        <v>100</v>
      </c>
      <c r="C22" s="99" t="s">
        <v>13</v>
      </c>
      <c r="D22" s="100" t="s">
        <v>90</v>
      </c>
      <c r="E22" s="100" t="s">
        <v>92</v>
      </c>
      <c r="F22" s="272" t="s">
        <v>94</v>
      </c>
      <c r="G22" s="272" t="s">
        <v>98</v>
      </c>
      <c r="H22" s="272" t="s">
        <v>90</v>
      </c>
      <c r="I22" s="273" t="s">
        <v>101</v>
      </c>
      <c r="J22" s="100"/>
      <c r="K22" s="252">
        <f t="shared" si="4"/>
        <v>1971.5</v>
      </c>
      <c r="L22" s="252">
        <f t="shared" si="4"/>
        <v>0</v>
      </c>
      <c r="M22" s="252">
        <f t="shared" si="4"/>
        <v>1971.5</v>
      </c>
      <c r="N22" s="252">
        <f t="shared" si="4"/>
        <v>1971.5</v>
      </c>
    </row>
    <row r="23" spans="1:14" s="67" customFormat="1" ht="86.45" customHeight="1" x14ac:dyDescent="0.3">
      <c r="A23" s="2"/>
      <c r="B23" s="98" t="s">
        <v>102</v>
      </c>
      <c r="C23" s="99" t="s">
        <v>13</v>
      </c>
      <c r="D23" s="100" t="s">
        <v>90</v>
      </c>
      <c r="E23" s="100" t="s">
        <v>92</v>
      </c>
      <c r="F23" s="272" t="s">
        <v>94</v>
      </c>
      <c r="G23" s="272" t="s">
        <v>98</v>
      </c>
      <c r="H23" s="272" t="s">
        <v>90</v>
      </c>
      <c r="I23" s="273" t="s">
        <v>101</v>
      </c>
      <c r="J23" s="100" t="s">
        <v>103</v>
      </c>
      <c r="K23" s="252">
        <v>1971.5</v>
      </c>
      <c r="L23" s="252">
        <f>M23-K23</f>
        <v>0</v>
      </c>
      <c r="M23" s="252">
        <v>1971.5</v>
      </c>
      <c r="N23" s="252">
        <v>1971.5</v>
      </c>
    </row>
    <row r="24" spans="1:14" s="70" customFormat="1" ht="93.75" x14ac:dyDescent="0.3">
      <c r="A24" s="2"/>
      <c r="B24" s="98" t="s">
        <v>104</v>
      </c>
      <c r="C24" s="99" t="s">
        <v>13</v>
      </c>
      <c r="D24" s="100" t="s">
        <v>90</v>
      </c>
      <c r="E24" s="100" t="s">
        <v>105</v>
      </c>
      <c r="F24" s="272"/>
      <c r="G24" s="272"/>
      <c r="H24" s="272"/>
      <c r="I24" s="273"/>
      <c r="J24" s="100"/>
      <c r="K24" s="252">
        <f t="shared" ref="K24:N25" si="5">K25</f>
        <v>61196.9</v>
      </c>
      <c r="L24" s="252">
        <f t="shared" si="5"/>
        <v>0</v>
      </c>
      <c r="M24" s="252">
        <f t="shared" si="5"/>
        <v>61196.9</v>
      </c>
      <c r="N24" s="252">
        <f t="shared" si="5"/>
        <v>59364.5</v>
      </c>
    </row>
    <row r="25" spans="1:14" s="70" customFormat="1" ht="56.25" x14ac:dyDescent="0.3">
      <c r="A25" s="2"/>
      <c r="B25" s="98" t="s">
        <v>106</v>
      </c>
      <c r="C25" s="99" t="s">
        <v>13</v>
      </c>
      <c r="D25" s="100" t="s">
        <v>90</v>
      </c>
      <c r="E25" s="100" t="s">
        <v>105</v>
      </c>
      <c r="F25" s="272" t="s">
        <v>94</v>
      </c>
      <c r="G25" s="272" t="s">
        <v>95</v>
      </c>
      <c r="H25" s="272" t="s">
        <v>96</v>
      </c>
      <c r="I25" s="273" t="s">
        <v>97</v>
      </c>
      <c r="J25" s="100"/>
      <c r="K25" s="252">
        <f t="shared" si="5"/>
        <v>61196.9</v>
      </c>
      <c r="L25" s="252">
        <f t="shared" si="5"/>
        <v>0</v>
      </c>
      <c r="M25" s="252">
        <f t="shared" si="5"/>
        <v>61196.9</v>
      </c>
      <c r="N25" s="252">
        <f t="shared" si="5"/>
        <v>59364.5</v>
      </c>
    </row>
    <row r="26" spans="1:14" s="9" customFormat="1" ht="37.5" x14ac:dyDescent="0.3">
      <c r="A26" s="2"/>
      <c r="B26" s="98" t="s">
        <v>491</v>
      </c>
      <c r="C26" s="99" t="s">
        <v>13</v>
      </c>
      <c r="D26" s="100" t="s">
        <v>90</v>
      </c>
      <c r="E26" s="100" t="s">
        <v>105</v>
      </c>
      <c r="F26" s="272" t="s">
        <v>94</v>
      </c>
      <c r="G26" s="272" t="s">
        <v>98</v>
      </c>
      <c r="H26" s="272" t="s">
        <v>96</v>
      </c>
      <c r="I26" s="273" t="s">
        <v>97</v>
      </c>
      <c r="J26" s="100"/>
      <c r="K26" s="252">
        <f>K27</f>
        <v>61196.9</v>
      </c>
      <c r="L26" s="252">
        <f>L27</f>
        <v>0</v>
      </c>
      <c r="M26" s="252">
        <f>M27</f>
        <v>61196.9</v>
      </c>
      <c r="N26" s="252">
        <f>N27</f>
        <v>59364.5</v>
      </c>
    </row>
    <row r="27" spans="1:14" s="9" customFormat="1" ht="37.5" x14ac:dyDescent="0.3">
      <c r="A27" s="2"/>
      <c r="B27" s="98" t="s">
        <v>107</v>
      </c>
      <c r="C27" s="99" t="s">
        <v>13</v>
      </c>
      <c r="D27" s="100" t="s">
        <v>90</v>
      </c>
      <c r="E27" s="100" t="s">
        <v>105</v>
      </c>
      <c r="F27" s="272" t="s">
        <v>94</v>
      </c>
      <c r="G27" s="272" t="s">
        <v>98</v>
      </c>
      <c r="H27" s="272" t="s">
        <v>92</v>
      </c>
      <c r="I27" s="273" t="s">
        <v>97</v>
      </c>
      <c r="J27" s="100"/>
      <c r="K27" s="252">
        <f>K28+K33+K35+K38+K31+K40</f>
        <v>61196.9</v>
      </c>
      <c r="L27" s="252">
        <f>L28+L33+L35+L38+L31+L40</f>
        <v>0</v>
      </c>
      <c r="M27" s="252">
        <f>M28+M33+M35+M38+M31+M40</f>
        <v>61196.9</v>
      </c>
      <c r="N27" s="252">
        <f>N28+N33+N35+N38+N31+N40</f>
        <v>59364.5</v>
      </c>
    </row>
    <row r="28" spans="1:14" s="67" customFormat="1" ht="37.5" x14ac:dyDescent="0.3">
      <c r="A28" s="2"/>
      <c r="B28" s="98" t="s">
        <v>100</v>
      </c>
      <c r="C28" s="99" t="s">
        <v>13</v>
      </c>
      <c r="D28" s="100" t="s">
        <v>90</v>
      </c>
      <c r="E28" s="100" t="s">
        <v>105</v>
      </c>
      <c r="F28" s="272" t="s">
        <v>94</v>
      </c>
      <c r="G28" s="272" t="s">
        <v>98</v>
      </c>
      <c r="H28" s="272" t="s">
        <v>92</v>
      </c>
      <c r="I28" s="273" t="s">
        <v>101</v>
      </c>
      <c r="J28" s="100"/>
      <c r="K28" s="252">
        <f t="shared" ref="K28" si="6">SUM(K29:K30)</f>
        <v>57331.8</v>
      </c>
      <c r="L28" s="252">
        <f>SUM(L29:L30)</f>
        <v>0</v>
      </c>
      <c r="M28" s="252">
        <f t="shared" ref="M28:N28" si="7">SUM(M29:M30)</f>
        <v>57331.8</v>
      </c>
      <c r="N28" s="252">
        <f t="shared" si="7"/>
        <v>55499.4</v>
      </c>
    </row>
    <row r="29" spans="1:14" s="67" customFormat="1" ht="85.9" customHeight="1" x14ac:dyDescent="0.3">
      <c r="A29" s="2"/>
      <c r="B29" s="98" t="s">
        <v>102</v>
      </c>
      <c r="C29" s="99" t="s">
        <v>13</v>
      </c>
      <c r="D29" s="100" t="s">
        <v>90</v>
      </c>
      <c r="E29" s="100" t="s">
        <v>105</v>
      </c>
      <c r="F29" s="272" t="s">
        <v>94</v>
      </c>
      <c r="G29" s="272" t="s">
        <v>98</v>
      </c>
      <c r="H29" s="272" t="s">
        <v>92</v>
      </c>
      <c r="I29" s="273" t="s">
        <v>101</v>
      </c>
      <c r="J29" s="100" t="s">
        <v>103</v>
      </c>
      <c r="K29" s="252">
        <v>55499.4</v>
      </c>
      <c r="L29" s="252">
        <f t="shared" ref="L29:L30" si="8">M29-K29</f>
        <v>0</v>
      </c>
      <c r="M29" s="252">
        <v>55499.4</v>
      </c>
      <c r="N29" s="252">
        <v>55499.4</v>
      </c>
    </row>
    <row r="30" spans="1:14" s="9" customFormat="1" ht="31.9" customHeight="1" x14ac:dyDescent="0.3">
      <c r="A30" s="2"/>
      <c r="B30" s="98" t="s">
        <v>108</v>
      </c>
      <c r="C30" s="99" t="s">
        <v>13</v>
      </c>
      <c r="D30" s="100" t="s">
        <v>90</v>
      </c>
      <c r="E30" s="100" t="s">
        <v>105</v>
      </c>
      <c r="F30" s="272" t="s">
        <v>94</v>
      </c>
      <c r="G30" s="272" t="s">
        <v>98</v>
      </c>
      <c r="H30" s="272" t="s">
        <v>92</v>
      </c>
      <c r="I30" s="273" t="s">
        <v>101</v>
      </c>
      <c r="J30" s="100" t="s">
        <v>109</v>
      </c>
      <c r="K30" s="252">
        <v>1832.4</v>
      </c>
      <c r="L30" s="252">
        <f t="shared" si="8"/>
        <v>0</v>
      </c>
      <c r="M30" s="252">
        <v>1832.4</v>
      </c>
      <c r="N30" s="252">
        <v>0</v>
      </c>
    </row>
    <row r="31" spans="1:14" s="70" customFormat="1" ht="93.75" x14ac:dyDescent="0.3">
      <c r="A31" s="2"/>
      <c r="B31" s="98" t="s">
        <v>117</v>
      </c>
      <c r="C31" s="99" t="s">
        <v>13</v>
      </c>
      <c r="D31" s="100" t="s">
        <v>90</v>
      </c>
      <c r="E31" s="100" t="s">
        <v>105</v>
      </c>
      <c r="F31" s="272" t="s">
        <v>94</v>
      </c>
      <c r="G31" s="272" t="s">
        <v>98</v>
      </c>
      <c r="H31" s="272" t="s">
        <v>92</v>
      </c>
      <c r="I31" s="273" t="s">
        <v>370</v>
      </c>
      <c r="J31" s="100"/>
      <c r="K31" s="252">
        <f>K32</f>
        <v>66</v>
      </c>
      <c r="L31" s="252">
        <f>L32</f>
        <v>0</v>
      </c>
      <c r="M31" s="252">
        <f>M32</f>
        <v>66</v>
      </c>
      <c r="N31" s="252">
        <f>N32</f>
        <v>66</v>
      </c>
    </row>
    <row r="32" spans="1:14" s="70" customFormat="1" ht="37.9" customHeight="1" x14ac:dyDescent="0.3">
      <c r="A32" s="2"/>
      <c r="B32" s="98" t="s">
        <v>108</v>
      </c>
      <c r="C32" s="99" t="s">
        <v>13</v>
      </c>
      <c r="D32" s="100" t="s">
        <v>90</v>
      </c>
      <c r="E32" s="100" t="s">
        <v>105</v>
      </c>
      <c r="F32" s="272" t="s">
        <v>94</v>
      </c>
      <c r="G32" s="272" t="s">
        <v>98</v>
      </c>
      <c r="H32" s="272" t="s">
        <v>92</v>
      </c>
      <c r="I32" s="273" t="s">
        <v>370</v>
      </c>
      <c r="J32" s="100" t="s">
        <v>109</v>
      </c>
      <c r="K32" s="252">
        <v>66</v>
      </c>
      <c r="L32" s="252">
        <f>M32-K32</f>
        <v>0</v>
      </c>
      <c r="M32" s="252">
        <v>66</v>
      </c>
      <c r="N32" s="252">
        <v>66</v>
      </c>
    </row>
    <row r="33" spans="1:14" s="70" customFormat="1" ht="225" x14ac:dyDescent="0.3">
      <c r="A33" s="2"/>
      <c r="B33" s="576" t="s">
        <v>812</v>
      </c>
      <c r="C33" s="99" t="s">
        <v>13</v>
      </c>
      <c r="D33" s="100" t="s">
        <v>90</v>
      </c>
      <c r="E33" s="100" t="s">
        <v>105</v>
      </c>
      <c r="F33" s="272" t="s">
        <v>94</v>
      </c>
      <c r="G33" s="272" t="s">
        <v>98</v>
      </c>
      <c r="H33" s="272" t="s">
        <v>92</v>
      </c>
      <c r="I33" s="273" t="s">
        <v>112</v>
      </c>
      <c r="J33" s="100"/>
      <c r="K33" s="252">
        <f>K34</f>
        <v>617.1</v>
      </c>
      <c r="L33" s="252">
        <f>L34</f>
        <v>0</v>
      </c>
      <c r="M33" s="252">
        <f>M34</f>
        <v>617.1</v>
      </c>
      <c r="N33" s="252">
        <f>N34</f>
        <v>617.1</v>
      </c>
    </row>
    <row r="34" spans="1:14" s="70" customFormat="1" ht="87" customHeight="1" x14ac:dyDescent="0.3">
      <c r="A34" s="2"/>
      <c r="B34" s="98" t="s">
        <v>102</v>
      </c>
      <c r="C34" s="99" t="s">
        <v>13</v>
      </c>
      <c r="D34" s="100" t="s">
        <v>90</v>
      </c>
      <c r="E34" s="100" t="s">
        <v>105</v>
      </c>
      <c r="F34" s="272" t="s">
        <v>94</v>
      </c>
      <c r="G34" s="272" t="s">
        <v>98</v>
      </c>
      <c r="H34" s="272" t="s">
        <v>92</v>
      </c>
      <c r="I34" s="273" t="s">
        <v>112</v>
      </c>
      <c r="J34" s="100" t="s">
        <v>103</v>
      </c>
      <c r="K34" s="252">
        <v>617.1</v>
      </c>
      <c r="L34" s="252">
        <f>M34-K34</f>
        <v>0</v>
      </c>
      <c r="M34" s="252">
        <v>617.1</v>
      </c>
      <c r="N34" s="252">
        <v>617.1</v>
      </c>
    </row>
    <row r="35" spans="1:14" s="70" customFormat="1" ht="75" x14ac:dyDescent="0.3">
      <c r="A35" s="2"/>
      <c r="B35" s="98" t="s">
        <v>113</v>
      </c>
      <c r="C35" s="99" t="s">
        <v>13</v>
      </c>
      <c r="D35" s="100" t="s">
        <v>90</v>
      </c>
      <c r="E35" s="100" t="s">
        <v>105</v>
      </c>
      <c r="F35" s="272" t="s">
        <v>94</v>
      </c>
      <c r="G35" s="272" t="s">
        <v>98</v>
      </c>
      <c r="H35" s="272" t="s">
        <v>92</v>
      </c>
      <c r="I35" s="273" t="s">
        <v>114</v>
      </c>
      <c r="J35" s="100"/>
      <c r="K35" s="252">
        <f>SUM(K36:K37)</f>
        <v>2498.7000000000003</v>
      </c>
      <c r="L35" s="252">
        <f>SUM(L36:L37)</f>
        <v>0</v>
      </c>
      <c r="M35" s="252">
        <f>SUM(M36:M37)</f>
        <v>2498.7000000000003</v>
      </c>
      <c r="N35" s="252">
        <f>SUM(N36:N37)</f>
        <v>2498.7000000000003</v>
      </c>
    </row>
    <row r="36" spans="1:14" s="70" customFormat="1" ht="85.9" customHeight="1" x14ac:dyDescent="0.3">
      <c r="A36" s="2"/>
      <c r="B36" s="98" t="s">
        <v>102</v>
      </c>
      <c r="C36" s="99" t="s">
        <v>13</v>
      </c>
      <c r="D36" s="100" t="s">
        <v>90</v>
      </c>
      <c r="E36" s="100" t="s">
        <v>105</v>
      </c>
      <c r="F36" s="272" t="s">
        <v>94</v>
      </c>
      <c r="G36" s="272" t="s">
        <v>98</v>
      </c>
      <c r="H36" s="272" t="s">
        <v>92</v>
      </c>
      <c r="I36" s="273" t="s">
        <v>114</v>
      </c>
      <c r="J36" s="100" t="s">
        <v>103</v>
      </c>
      <c r="K36" s="252">
        <v>2399.8000000000002</v>
      </c>
      <c r="L36" s="252">
        <f t="shared" ref="L36:L37" si="9">M36-K36</f>
        <v>0</v>
      </c>
      <c r="M36" s="252">
        <v>2399.8000000000002</v>
      </c>
      <c r="N36" s="252">
        <v>2399.8000000000002</v>
      </c>
    </row>
    <row r="37" spans="1:14" s="70" customFormat="1" ht="37.9" customHeight="1" x14ac:dyDescent="0.3">
      <c r="A37" s="2"/>
      <c r="B37" s="98" t="s">
        <v>108</v>
      </c>
      <c r="C37" s="99" t="s">
        <v>13</v>
      </c>
      <c r="D37" s="100" t="s">
        <v>90</v>
      </c>
      <c r="E37" s="100" t="s">
        <v>105</v>
      </c>
      <c r="F37" s="341" t="s">
        <v>94</v>
      </c>
      <c r="G37" s="341" t="s">
        <v>98</v>
      </c>
      <c r="H37" s="341" t="s">
        <v>92</v>
      </c>
      <c r="I37" s="342" t="s">
        <v>114</v>
      </c>
      <c r="J37" s="100" t="s">
        <v>109</v>
      </c>
      <c r="K37" s="591">
        <f>89.9+9</f>
        <v>98.9</v>
      </c>
      <c r="L37" s="252">
        <f t="shared" si="9"/>
        <v>0</v>
      </c>
      <c r="M37" s="591">
        <f>89.9+9</f>
        <v>98.9</v>
      </c>
      <c r="N37" s="591">
        <f>89.9+9</f>
        <v>98.9</v>
      </c>
    </row>
    <row r="38" spans="1:14" s="70" customFormat="1" ht="69.599999999999994" customHeight="1" x14ac:dyDescent="0.3">
      <c r="A38" s="2"/>
      <c r="B38" s="98" t="s">
        <v>115</v>
      </c>
      <c r="C38" s="99" t="s">
        <v>13</v>
      </c>
      <c r="D38" s="100" t="s">
        <v>90</v>
      </c>
      <c r="E38" s="100" t="s">
        <v>105</v>
      </c>
      <c r="F38" s="272" t="s">
        <v>94</v>
      </c>
      <c r="G38" s="272" t="s">
        <v>98</v>
      </c>
      <c r="H38" s="272" t="s">
        <v>92</v>
      </c>
      <c r="I38" s="273" t="s">
        <v>116</v>
      </c>
      <c r="J38" s="100"/>
      <c r="K38" s="252">
        <f>K39</f>
        <v>617.29999999999995</v>
      </c>
      <c r="L38" s="252">
        <f>L39</f>
        <v>0</v>
      </c>
      <c r="M38" s="252">
        <f>M39</f>
        <v>617.29999999999995</v>
      </c>
      <c r="N38" s="252">
        <f>N39</f>
        <v>617.29999999999995</v>
      </c>
    </row>
    <row r="39" spans="1:14" s="70" customFormat="1" ht="86.45" customHeight="1" x14ac:dyDescent="0.3">
      <c r="A39" s="2"/>
      <c r="B39" s="98" t="s">
        <v>102</v>
      </c>
      <c r="C39" s="99" t="s">
        <v>13</v>
      </c>
      <c r="D39" s="100" t="s">
        <v>90</v>
      </c>
      <c r="E39" s="100" t="s">
        <v>105</v>
      </c>
      <c r="F39" s="272" t="s">
        <v>94</v>
      </c>
      <c r="G39" s="272" t="s">
        <v>98</v>
      </c>
      <c r="H39" s="272" t="s">
        <v>92</v>
      </c>
      <c r="I39" s="273" t="s">
        <v>116</v>
      </c>
      <c r="J39" s="100" t="s">
        <v>103</v>
      </c>
      <c r="K39" s="252">
        <v>617.29999999999995</v>
      </c>
      <c r="L39" s="252">
        <f>M39-K39</f>
        <v>0</v>
      </c>
      <c r="M39" s="252">
        <v>617.29999999999995</v>
      </c>
      <c r="N39" s="252">
        <v>617.29999999999995</v>
      </c>
    </row>
    <row r="40" spans="1:14" s="70" customFormat="1" ht="86.45" customHeight="1" x14ac:dyDescent="0.3">
      <c r="A40" s="2"/>
      <c r="B40" s="232" t="s">
        <v>584</v>
      </c>
      <c r="C40" s="99" t="s">
        <v>13</v>
      </c>
      <c r="D40" s="100" t="s">
        <v>90</v>
      </c>
      <c r="E40" s="100" t="s">
        <v>105</v>
      </c>
      <c r="F40" s="296" t="s">
        <v>94</v>
      </c>
      <c r="G40" s="297" t="s">
        <v>98</v>
      </c>
      <c r="H40" s="297" t="s">
        <v>92</v>
      </c>
      <c r="I40" s="298" t="s">
        <v>583</v>
      </c>
      <c r="J40" s="100"/>
      <c r="K40" s="252">
        <f>K41</f>
        <v>66</v>
      </c>
      <c r="L40" s="252">
        <f>L41</f>
        <v>0</v>
      </c>
      <c r="M40" s="252">
        <f>M41</f>
        <v>66</v>
      </c>
      <c r="N40" s="252">
        <f>N41</f>
        <v>66</v>
      </c>
    </row>
    <row r="41" spans="1:14" s="70" customFormat="1" ht="36.6" customHeight="1" x14ac:dyDescent="0.3">
      <c r="A41" s="2"/>
      <c r="B41" s="232" t="s">
        <v>108</v>
      </c>
      <c r="C41" s="99" t="s">
        <v>13</v>
      </c>
      <c r="D41" s="100" t="s">
        <v>90</v>
      </c>
      <c r="E41" s="100" t="s">
        <v>105</v>
      </c>
      <c r="F41" s="343" t="s">
        <v>94</v>
      </c>
      <c r="G41" s="341" t="s">
        <v>98</v>
      </c>
      <c r="H41" s="341" t="s">
        <v>92</v>
      </c>
      <c r="I41" s="342" t="s">
        <v>583</v>
      </c>
      <c r="J41" s="100" t="s">
        <v>109</v>
      </c>
      <c r="K41" s="252">
        <v>66</v>
      </c>
      <c r="L41" s="252">
        <f>M41-K41</f>
        <v>0</v>
      </c>
      <c r="M41" s="252">
        <v>66</v>
      </c>
      <c r="N41" s="252">
        <v>66</v>
      </c>
    </row>
    <row r="42" spans="1:14" s="9" customFormat="1" ht="18.75" x14ac:dyDescent="0.3">
      <c r="A42" s="2"/>
      <c r="B42" s="232" t="s">
        <v>634</v>
      </c>
      <c r="C42" s="99" t="s">
        <v>13</v>
      </c>
      <c r="D42" s="100" t="s">
        <v>90</v>
      </c>
      <c r="E42" s="100" t="s">
        <v>121</v>
      </c>
      <c r="F42" s="343"/>
      <c r="G42" s="341"/>
      <c r="H42" s="341"/>
      <c r="I42" s="342"/>
      <c r="J42" s="100"/>
      <c r="K42" s="252">
        <f t="shared" ref="K42:N46" si="10">K43</f>
        <v>10.8</v>
      </c>
      <c r="L42" s="252">
        <f t="shared" si="10"/>
        <v>0</v>
      </c>
      <c r="M42" s="252">
        <f t="shared" si="10"/>
        <v>10.8</v>
      </c>
      <c r="N42" s="252">
        <f t="shared" si="10"/>
        <v>4.7</v>
      </c>
    </row>
    <row r="43" spans="1:14" s="9" customFormat="1" ht="56.25" x14ac:dyDescent="0.3">
      <c r="A43" s="2"/>
      <c r="B43" s="232" t="s">
        <v>106</v>
      </c>
      <c r="C43" s="99" t="s">
        <v>13</v>
      </c>
      <c r="D43" s="100" t="s">
        <v>90</v>
      </c>
      <c r="E43" s="100" t="s">
        <v>121</v>
      </c>
      <c r="F43" s="343" t="s">
        <v>94</v>
      </c>
      <c r="G43" s="341" t="s">
        <v>95</v>
      </c>
      <c r="H43" s="341" t="s">
        <v>96</v>
      </c>
      <c r="I43" s="342" t="s">
        <v>97</v>
      </c>
      <c r="J43" s="100"/>
      <c r="K43" s="252">
        <f t="shared" si="10"/>
        <v>10.8</v>
      </c>
      <c r="L43" s="252">
        <f t="shared" si="10"/>
        <v>0</v>
      </c>
      <c r="M43" s="252">
        <f t="shared" si="10"/>
        <v>10.8</v>
      </c>
      <c r="N43" s="252">
        <f t="shared" si="10"/>
        <v>4.7</v>
      </c>
    </row>
    <row r="44" spans="1:14" s="9" customFormat="1" ht="37.5" x14ac:dyDescent="0.3">
      <c r="A44" s="2"/>
      <c r="B44" s="232" t="s">
        <v>491</v>
      </c>
      <c r="C44" s="99" t="s">
        <v>13</v>
      </c>
      <c r="D44" s="100" t="s">
        <v>90</v>
      </c>
      <c r="E44" s="100" t="s">
        <v>121</v>
      </c>
      <c r="F44" s="343" t="s">
        <v>94</v>
      </c>
      <c r="G44" s="341" t="s">
        <v>98</v>
      </c>
      <c r="H44" s="341" t="s">
        <v>96</v>
      </c>
      <c r="I44" s="342" t="s">
        <v>97</v>
      </c>
      <c r="J44" s="100"/>
      <c r="K44" s="252">
        <f t="shared" si="10"/>
        <v>10.8</v>
      </c>
      <c r="L44" s="252">
        <f t="shared" si="10"/>
        <v>0</v>
      </c>
      <c r="M44" s="252">
        <f t="shared" si="10"/>
        <v>10.8</v>
      </c>
      <c r="N44" s="252">
        <f t="shared" si="10"/>
        <v>4.7</v>
      </c>
    </row>
    <row r="45" spans="1:14" s="9" customFormat="1" ht="37.5" x14ac:dyDescent="0.3">
      <c r="A45" s="2"/>
      <c r="B45" s="232" t="s">
        <v>107</v>
      </c>
      <c r="C45" s="99" t="s">
        <v>13</v>
      </c>
      <c r="D45" s="100" t="s">
        <v>90</v>
      </c>
      <c r="E45" s="100" t="s">
        <v>121</v>
      </c>
      <c r="F45" s="343" t="s">
        <v>94</v>
      </c>
      <c r="G45" s="341" t="s">
        <v>98</v>
      </c>
      <c r="H45" s="341" t="s">
        <v>92</v>
      </c>
      <c r="I45" s="342" t="s">
        <v>97</v>
      </c>
      <c r="J45" s="100"/>
      <c r="K45" s="252">
        <f t="shared" si="10"/>
        <v>10.8</v>
      </c>
      <c r="L45" s="252">
        <f t="shared" si="10"/>
        <v>0</v>
      </c>
      <c r="M45" s="252">
        <f t="shared" si="10"/>
        <v>10.8</v>
      </c>
      <c r="N45" s="252">
        <f t="shared" si="10"/>
        <v>4.7</v>
      </c>
    </row>
    <row r="46" spans="1:14" s="9" customFormat="1" ht="93.75" x14ac:dyDescent="0.3">
      <c r="A46" s="2"/>
      <c r="B46" s="232" t="s">
        <v>636</v>
      </c>
      <c r="C46" s="99" t="s">
        <v>13</v>
      </c>
      <c r="D46" s="100" t="s">
        <v>90</v>
      </c>
      <c r="E46" s="100" t="s">
        <v>121</v>
      </c>
      <c r="F46" s="343" t="s">
        <v>94</v>
      </c>
      <c r="G46" s="341" t="s">
        <v>98</v>
      </c>
      <c r="H46" s="341" t="s">
        <v>92</v>
      </c>
      <c r="I46" s="342" t="s">
        <v>635</v>
      </c>
      <c r="J46" s="100"/>
      <c r="K46" s="252">
        <f t="shared" si="10"/>
        <v>10.8</v>
      </c>
      <c r="L46" s="252">
        <f t="shared" si="10"/>
        <v>0</v>
      </c>
      <c r="M46" s="252">
        <f t="shared" si="10"/>
        <v>10.8</v>
      </c>
      <c r="N46" s="252">
        <f t="shared" si="10"/>
        <v>4.7</v>
      </c>
    </row>
    <row r="47" spans="1:14" s="9" customFormat="1" ht="39" customHeight="1" x14ac:dyDescent="0.3">
      <c r="A47" s="2"/>
      <c r="B47" s="232" t="s">
        <v>108</v>
      </c>
      <c r="C47" s="99" t="s">
        <v>13</v>
      </c>
      <c r="D47" s="100" t="s">
        <v>90</v>
      </c>
      <c r="E47" s="100" t="s">
        <v>121</v>
      </c>
      <c r="F47" s="344" t="s">
        <v>94</v>
      </c>
      <c r="G47" s="345" t="s">
        <v>98</v>
      </c>
      <c r="H47" s="345" t="s">
        <v>92</v>
      </c>
      <c r="I47" s="346" t="s">
        <v>635</v>
      </c>
      <c r="J47" s="100" t="s">
        <v>109</v>
      </c>
      <c r="K47" s="591">
        <f>9.5+1.3</f>
        <v>10.8</v>
      </c>
      <c r="L47" s="252">
        <f>M47-K47</f>
        <v>0</v>
      </c>
      <c r="M47" s="591">
        <f>9.5+1.3</f>
        <v>10.8</v>
      </c>
      <c r="N47" s="591">
        <f>9.5-4.8</f>
        <v>4.7</v>
      </c>
    </row>
    <row r="48" spans="1:14" s="67" customFormat="1" ht="18.75" x14ac:dyDescent="0.3">
      <c r="A48" s="2"/>
      <c r="B48" s="98" t="s">
        <v>122</v>
      </c>
      <c r="C48" s="99" t="s">
        <v>13</v>
      </c>
      <c r="D48" s="100" t="s">
        <v>90</v>
      </c>
      <c r="E48" s="100" t="s">
        <v>123</v>
      </c>
      <c r="F48" s="272"/>
      <c r="G48" s="272"/>
      <c r="H48" s="272"/>
      <c r="I48" s="273"/>
      <c r="J48" s="100"/>
      <c r="K48" s="252">
        <f t="shared" ref="K48:N52" si="11">K49</f>
        <v>3000</v>
      </c>
      <c r="L48" s="252">
        <f t="shared" si="11"/>
        <v>0</v>
      </c>
      <c r="M48" s="252">
        <f t="shared" si="11"/>
        <v>3000</v>
      </c>
      <c r="N48" s="252">
        <f t="shared" si="11"/>
        <v>3000</v>
      </c>
    </row>
    <row r="49" spans="1:14" s="67" customFormat="1" ht="37.5" x14ac:dyDescent="0.3">
      <c r="A49" s="2"/>
      <c r="B49" s="98" t="s">
        <v>124</v>
      </c>
      <c r="C49" s="99" t="s">
        <v>13</v>
      </c>
      <c r="D49" s="100" t="s">
        <v>90</v>
      </c>
      <c r="E49" s="100" t="s">
        <v>123</v>
      </c>
      <c r="F49" s="272" t="s">
        <v>125</v>
      </c>
      <c r="G49" s="272" t="s">
        <v>95</v>
      </c>
      <c r="H49" s="272" t="s">
        <v>96</v>
      </c>
      <c r="I49" s="273" t="s">
        <v>97</v>
      </c>
      <c r="J49" s="100"/>
      <c r="K49" s="252">
        <f t="shared" si="11"/>
        <v>3000</v>
      </c>
      <c r="L49" s="252">
        <f t="shared" si="11"/>
        <v>0</v>
      </c>
      <c r="M49" s="252">
        <f t="shared" si="11"/>
        <v>3000</v>
      </c>
      <c r="N49" s="252">
        <f t="shared" si="11"/>
        <v>3000</v>
      </c>
    </row>
    <row r="50" spans="1:14" s="67" customFormat="1" ht="37.5" x14ac:dyDescent="0.3">
      <c r="A50" s="2"/>
      <c r="B50" s="101" t="s">
        <v>126</v>
      </c>
      <c r="C50" s="99" t="s">
        <v>13</v>
      </c>
      <c r="D50" s="100" t="s">
        <v>90</v>
      </c>
      <c r="E50" s="100" t="s">
        <v>123</v>
      </c>
      <c r="F50" s="272" t="s">
        <v>125</v>
      </c>
      <c r="G50" s="272" t="s">
        <v>98</v>
      </c>
      <c r="H50" s="272" t="s">
        <v>96</v>
      </c>
      <c r="I50" s="273" t="s">
        <v>97</v>
      </c>
      <c r="J50" s="100"/>
      <c r="K50" s="252">
        <f t="shared" si="11"/>
        <v>3000</v>
      </c>
      <c r="L50" s="252">
        <f t="shared" si="11"/>
        <v>0</v>
      </c>
      <c r="M50" s="252">
        <f t="shared" si="11"/>
        <v>3000</v>
      </c>
      <c r="N50" s="252">
        <f t="shared" si="11"/>
        <v>3000</v>
      </c>
    </row>
    <row r="51" spans="1:14" s="67" customFormat="1" ht="18.75" x14ac:dyDescent="0.3">
      <c r="A51" s="2"/>
      <c r="B51" s="98" t="s">
        <v>122</v>
      </c>
      <c r="C51" s="99" t="s">
        <v>13</v>
      </c>
      <c r="D51" s="100" t="s">
        <v>90</v>
      </c>
      <c r="E51" s="100" t="s">
        <v>123</v>
      </c>
      <c r="F51" s="272" t="s">
        <v>125</v>
      </c>
      <c r="G51" s="272" t="s">
        <v>98</v>
      </c>
      <c r="H51" s="272" t="s">
        <v>90</v>
      </c>
      <c r="I51" s="273" t="s">
        <v>97</v>
      </c>
      <c r="J51" s="100"/>
      <c r="K51" s="252">
        <f t="shared" si="11"/>
        <v>3000</v>
      </c>
      <c r="L51" s="252">
        <f t="shared" si="11"/>
        <v>0</v>
      </c>
      <c r="M51" s="252">
        <f t="shared" si="11"/>
        <v>3000</v>
      </c>
      <c r="N51" s="252">
        <f t="shared" si="11"/>
        <v>3000</v>
      </c>
    </row>
    <row r="52" spans="1:14" s="67" customFormat="1" ht="18.75" x14ac:dyDescent="0.3">
      <c r="A52" s="2"/>
      <c r="B52" s="98" t="s">
        <v>127</v>
      </c>
      <c r="C52" s="99" t="s">
        <v>13</v>
      </c>
      <c r="D52" s="100" t="s">
        <v>90</v>
      </c>
      <c r="E52" s="100" t="s">
        <v>123</v>
      </c>
      <c r="F52" s="272" t="s">
        <v>125</v>
      </c>
      <c r="G52" s="272" t="s">
        <v>98</v>
      </c>
      <c r="H52" s="272" t="s">
        <v>90</v>
      </c>
      <c r="I52" s="273" t="s">
        <v>128</v>
      </c>
      <c r="J52" s="100"/>
      <c r="K52" s="252">
        <f t="shared" si="11"/>
        <v>3000</v>
      </c>
      <c r="L52" s="252">
        <f t="shared" si="11"/>
        <v>0</v>
      </c>
      <c r="M52" s="252">
        <f t="shared" si="11"/>
        <v>3000</v>
      </c>
      <c r="N52" s="252">
        <f t="shared" si="11"/>
        <v>3000</v>
      </c>
    </row>
    <row r="53" spans="1:14" s="67" customFormat="1" ht="18.75" x14ac:dyDescent="0.3">
      <c r="A53" s="2"/>
      <c r="B53" s="98" t="s">
        <v>110</v>
      </c>
      <c r="C53" s="99" t="s">
        <v>13</v>
      </c>
      <c r="D53" s="100" t="s">
        <v>90</v>
      </c>
      <c r="E53" s="100" t="s">
        <v>123</v>
      </c>
      <c r="F53" s="272" t="s">
        <v>125</v>
      </c>
      <c r="G53" s="272" t="s">
        <v>98</v>
      </c>
      <c r="H53" s="272" t="s">
        <v>90</v>
      </c>
      <c r="I53" s="273" t="s">
        <v>128</v>
      </c>
      <c r="J53" s="100" t="s">
        <v>111</v>
      </c>
      <c r="K53" s="252">
        <v>3000</v>
      </c>
      <c r="L53" s="252">
        <f>M53-K53</f>
        <v>0</v>
      </c>
      <c r="M53" s="252">
        <v>3000</v>
      </c>
      <c r="N53" s="252">
        <v>3000</v>
      </c>
    </row>
    <row r="54" spans="1:14" s="67" customFormat="1" ht="37.5" x14ac:dyDescent="0.3">
      <c r="A54" s="2"/>
      <c r="B54" s="98" t="s">
        <v>137</v>
      </c>
      <c r="C54" s="99" t="s">
        <v>13</v>
      </c>
      <c r="D54" s="100" t="s">
        <v>119</v>
      </c>
      <c r="E54" s="100"/>
      <c r="F54" s="272"/>
      <c r="G54" s="272"/>
      <c r="H54" s="272"/>
      <c r="I54" s="273"/>
      <c r="J54" s="100"/>
      <c r="K54" s="252">
        <f t="shared" ref="K54" si="12">K61+K55</f>
        <v>9040.2000000000007</v>
      </c>
      <c r="L54" s="252">
        <f>L61+L55</f>
        <v>0</v>
      </c>
      <c r="M54" s="252">
        <f t="shared" ref="M54:N54" si="13">M61+M55</f>
        <v>9040.2000000000007</v>
      </c>
      <c r="N54" s="252">
        <f t="shared" si="13"/>
        <v>9006.7000000000007</v>
      </c>
    </row>
    <row r="55" spans="1:14" s="379" customFormat="1" ht="75" x14ac:dyDescent="0.3">
      <c r="A55" s="358"/>
      <c r="B55" s="373" t="s">
        <v>138</v>
      </c>
      <c r="C55" s="374" t="s">
        <v>13</v>
      </c>
      <c r="D55" s="357" t="s">
        <v>119</v>
      </c>
      <c r="E55" s="357" t="s">
        <v>139</v>
      </c>
      <c r="F55" s="559"/>
      <c r="G55" s="560"/>
      <c r="H55" s="560"/>
      <c r="I55" s="561"/>
      <c r="J55" s="357"/>
      <c r="K55" s="377">
        <f t="shared" ref="K55:N58" si="14">K56</f>
        <v>2643.1</v>
      </c>
      <c r="L55" s="377">
        <f t="shared" si="14"/>
        <v>0</v>
      </c>
      <c r="M55" s="377">
        <f t="shared" si="14"/>
        <v>2643.1</v>
      </c>
      <c r="N55" s="377">
        <f t="shared" si="14"/>
        <v>2643.1</v>
      </c>
    </row>
    <row r="56" spans="1:14" s="379" customFormat="1" ht="56.25" x14ac:dyDescent="0.3">
      <c r="A56" s="358"/>
      <c r="B56" s="373" t="s">
        <v>140</v>
      </c>
      <c r="C56" s="374" t="s">
        <v>13</v>
      </c>
      <c r="D56" s="357" t="s">
        <v>119</v>
      </c>
      <c r="E56" s="357" t="s">
        <v>139</v>
      </c>
      <c r="F56" s="559" t="s">
        <v>141</v>
      </c>
      <c r="G56" s="560" t="s">
        <v>95</v>
      </c>
      <c r="H56" s="560" t="s">
        <v>96</v>
      </c>
      <c r="I56" s="561" t="s">
        <v>97</v>
      </c>
      <c r="J56" s="357"/>
      <c r="K56" s="377">
        <f t="shared" si="14"/>
        <v>2643.1</v>
      </c>
      <c r="L56" s="377">
        <f t="shared" si="14"/>
        <v>0</v>
      </c>
      <c r="M56" s="377">
        <f t="shared" si="14"/>
        <v>2643.1</v>
      </c>
      <c r="N56" s="377">
        <f t="shared" si="14"/>
        <v>2643.1</v>
      </c>
    </row>
    <row r="57" spans="1:14" s="379" customFormat="1" ht="75" x14ac:dyDescent="0.3">
      <c r="A57" s="358"/>
      <c r="B57" s="383" t="s">
        <v>142</v>
      </c>
      <c r="C57" s="374" t="s">
        <v>13</v>
      </c>
      <c r="D57" s="357" t="s">
        <v>119</v>
      </c>
      <c r="E57" s="357" t="s">
        <v>139</v>
      </c>
      <c r="F57" s="559" t="s">
        <v>141</v>
      </c>
      <c r="G57" s="560" t="s">
        <v>98</v>
      </c>
      <c r="H57" s="560" t="s">
        <v>96</v>
      </c>
      <c r="I57" s="561" t="s">
        <v>97</v>
      </c>
      <c r="J57" s="357"/>
      <c r="K57" s="377">
        <f t="shared" si="14"/>
        <v>2643.1</v>
      </c>
      <c r="L57" s="377">
        <f t="shared" si="14"/>
        <v>0</v>
      </c>
      <c r="M57" s="377">
        <f t="shared" si="14"/>
        <v>2643.1</v>
      </c>
      <c r="N57" s="377">
        <f t="shared" si="14"/>
        <v>2643.1</v>
      </c>
    </row>
    <row r="58" spans="1:14" s="379" customFormat="1" ht="93.75" x14ac:dyDescent="0.3">
      <c r="A58" s="358"/>
      <c r="B58" s="373" t="s">
        <v>143</v>
      </c>
      <c r="C58" s="374" t="s">
        <v>13</v>
      </c>
      <c r="D58" s="357" t="s">
        <v>119</v>
      </c>
      <c r="E58" s="357" t="s">
        <v>139</v>
      </c>
      <c r="F58" s="559" t="s">
        <v>141</v>
      </c>
      <c r="G58" s="560" t="s">
        <v>98</v>
      </c>
      <c r="H58" s="560" t="s">
        <v>90</v>
      </c>
      <c r="I58" s="561" t="s">
        <v>97</v>
      </c>
      <c r="J58" s="357"/>
      <c r="K58" s="377">
        <f t="shared" si="14"/>
        <v>2643.1</v>
      </c>
      <c r="L58" s="377">
        <f>L59</f>
        <v>0</v>
      </c>
      <c r="M58" s="377">
        <f t="shared" si="14"/>
        <v>2643.1</v>
      </c>
      <c r="N58" s="377">
        <f t="shared" si="14"/>
        <v>2643.1</v>
      </c>
    </row>
    <row r="59" spans="1:14" s="379" customFormat="1" ht="112.5" x14ac:dyDescent="0.3">
      <c r="A59" s="358"/>
      <c r="B59" s="373" t="s">
        <v>492</v>
      </c>
      <c r="C59" s="374" t="s">
        <v>13</v>
      </c>
      <c r="D59" s="357" t="s">
        <v>119</v>
      </c>
      <c r="E59" s="357" t="s">
        <v>139</v>
      </c>
      <c r="F59" s="559" t="s">
        <v>141</v>
      </c>
      <c r="G59" s="560" t="s">
        <v>98</v>
      </c>
      <c r="H59" s="560" t="s">
        <v>90</v>
      </c>
      <c r="I59" s="561" t="s">
        <v>471</v>
      </c>
      <c r="J59" s="357"/>
      <c r="K59" s="377">
        <f t="shared" ref="K59:N59" si="15">K60</f>
        <v>2643.1</v>
      </c>
      <c r="L59" s="377">
        <f>L60</f>
        <v>0</v>
      </c>
      <c r="M59" s="377">
        <f t="shared" si="15"/>
        <v>2643.1</v>
      </c>
      <c r="N59" s="377">
        <f t="shared" si="15"/>
        <v>2643.1</v>
      </c>
    </row>
    <row r="60" spans="1:14" s="379" customFormat="1" ht="18.75" x14ac:dyDescent="0.3">
      <c r="A60" s="358"/>
      <c r="B60" s="373" t="s">
        <v>186</v>
      </c>
      <c r="C60" s="374" t="s">
        <v>13</v>
      </c>
      <c r="D60" s="357" t="s">
        <v>119</v>
      </c>
      <c r="E60" s="357" t="s">
        <v>139</v>
      </c>
      <c r="F60" s="559" t="s">
        <v>141</v>
      </c>
      <c r="G60" s="560" t="s">
        <v>98</v>
      </c>
      <c r="H60" s="560" t="s">
        <v>90</v>
      </c>
      <c r="I60" s="561" t="s">
        <v>471</v>
      </c>
      <c r="J60" s="357" t="s">
        <v>187</v>
      </c>
      <c r="K60" s="377">
        <v>2643.1</v>
      </c>
      <c r="L60" s="252">
        <f>M60-K60</f>
        <v>0</v>
      </c>
      <c r="M60" s="377">
        <v>2643.1</v>
      </c>
      <c r="N60" s="377">
        <v>2643.1</v>
      </c>
    </row>
    <row r="61" spans="1:14" s="67" customFormat="1" ht="56.25" x14ac:dyDescent="0.3">
      <c r="A61" s="2"/>
      <c r="B61" s="104" t="s">
        <v>148</v>
      </c>
      <c r="C61" s="99" t="s">
        <v>13</v>
      </c>
      <c r="D61" s="100" t="s">
        <v>119</v>
      </c>
      <c r="E61" s="100" t="s">
        <v>149</v>
      </c>
      <c r="F61" s="272"/>
      <c r="G61" s="272"/>
      <c r="H61" s="272"/>
      <c r="I61" s="273"/>
      <c r="J61" s="100"/>
      <c r="K61" s="252">
        <f t="shared" ref="K61:N61" si="16">K62</f>
        <v>6397.1</v>
      </c>
      <c r="L61" s="252">
        <f t="shared" si="16"/>
        <v>0</v>
      </c>
      <c r="M61" s="252">
        <f t="shared" si="16"/>
        <v>6397.1</v>
      </c>
      <c r="N61" s="252">
        <f t="shared" si="16"/>
        <v>6363.6</v>
      </c>
    </row>
    <row r="62" spans="1:14" s="67" customFormat="1" ht="56.25" x14ac:dyDescent="0.3">
      <c r="A62" s="2"/>
      <c r="B62" s="98" t="s">
        <v>140</v>
      </c>
      <c r="C62" s="99" t="s">
        <v>13</v>
      </c>
      <c r="D62" s="100" t="s">
        <v>119</v>
      </c>
      <c r="E62" s="100" t="s">
        <v>149</v>
      </c>
      <c r="F62" s="272" t="s">
        <v>141</v>
      </c>
      <c r="G62" s="272" t="s">
        <v>95</v>
      </c>
      <c r="H62" s="272" t="s">
        <v>96</v>
      </c>
      <c r="I62" s="273" t="s">
        <v>97</v>
      </c>
      <c r="J62" s="100"/>
      <c r="K62" s="252">
        <f t="shared" ref="K62" si="17">K67+K63</f>
        <v>6397.1</v>
      </c>
      <c r="L62" s="252">
        <f>L67+L63</f>
        <v>0</v>
      </c>
      <c r="M62" s="252">
        <f t="shared" ref="M62:N62" si="18">M67+M63</f>
        <v>6397.1</v>
      </c>
      <c r="N62" s="252">
        <f t="shared" si="18"/>
        <v>6363.6</v>
      </c>
    </row>
    <row r="63" spans="1:14" s="379" customFormat="1" ht="37.5" x14ac:dyDescent="0.3">
      <c r="A63" s="358"/>
      <c r="B63" s="382" t="s">
        <v>188</v>
      </c>
      <c r="C63" s="374" t="s">
        <v>13</v>
      </c>
      <c r="D63" s="357" t="s">
        <v>119</v>
      </c>
      <c r="E63" s="357" t="s">
        <v>149</v>
      </c>
      <c r="F63" s="559" t="s">
        <v>141</v>
      </c>
      <c r="G63" s="560" t="s">
        <v>150</v>
      </c>
      <c r="H63" s="560" t="s">
        <v>96</v>
      </c>
      <c r="I63" s="561" t="s">
        <v>97</v>
      </c>
      <c r="J63" s="357"/>
      <c r="K63" s="377">
        <f t="shared" ref="K63:N63" si="19">K64</f>
        <v>247</v>
      </c>
      <c r="L63" s="377">
        <f>L64</f>
        <v>0</v>
      </c>
      <c r="M63" s="377">
        <f t="shared" si="19"/>
        <v>247</v>
      </c>
      <c r="N63" s="377">
        <f t="shared" si="19"/>
        <v>247</v>
      </c>
    </row>
    <row r="64" spans="1:14" s="379" customFormat="1" ht="56.25" x14ac:dyDescent="0.3">
      <c r="A64" s="358"/>
      <c r="B64" s="380" t="s">
        <v>189</v>
      </c>
      <c r="C64" s="374" t="s">
        <v>13</v>
      </c>
      <c r="D64" s="357" t="s">
        <v>119</v>
      </c>
      <c r="E64" s="357" t="s">
        <v>149</v>
      </c>
      <c r="F64" s="559" t="s">
        <v>141</v>
      </c>
      <c r="G64" s="560" t="s">
        <v>150</v>
      </c>
      <c r="H64" s="560" t="s">
        <v>92</v>
      </c>
      <c r="I64" s="561" t="s">
        <v>97</v>
      </c>
      <c r="J64" s="357"/>
      <c r="K64" s="377">
        <f t="shared" ref="K64:N65" si="20">K65</f>
        <v>247</v>
      </c>
      <c r="L64" s="377">
        <f t="shared" si="20"/>
        <v>0</v>
      </c>
      <c r="M64" s="377">
        <f t="shared" si="20"/>
        <v>247</v>
      </c>
      <c r="N64" s="377">
        <f t="shared" si="20"/>
        <v>247</v>
      </c>
    </row>
    <row r="65" spans="1:14" s="379" customFormat="1" ht="37.5" x14ac:dyDescent="0.3">
      <c r="A65" s="358"/>
      <c r="B65" s="380" t="s">
        <v>190</v>
      </c>
      <c r="C65" s="374" t="s">
        <v>13</v>
      </c>
      <c r="D65" s="357" t="s">
        <v>119</v>
      </c>
      <c r="E65" s="357" t="s">
        <v>149</v>
      </c>
      <c r="F65" s="559" t="s">
        <v>141</v>
      </c>
      <c r="G65" s="560" t="s">
        <v>150</v>
      </c>
      <c r="H65" s="560" t="s">
        <v>92</v>
      </c>
      <c r="I65" s="561" t="s">
        <v>152</v>
      </c>
      <c r="J65" s="357"/>
      <c r="K65" s="377">
        <f t="shared" si="20"/>
        <v>247</v>
      </c>
      <c r="L65" s="377">
        <f>L66</f>
        <v>0</v>
      </c>
      <c r="M65" s="377">
        <f t="shared" si="20"/>
        <v>247</v>
      </c>
      <c r="N65" s="377">
        <f t="shared" si="20"/>
        <v>247</v>
      </c>
    </row>
    <row r="66" spans="1:14" s="379" customFormat="1" ht="33" customHeight="1" x14ac:dyDescent="0.3">
      <c r="A66" s="358"/>
      <c r="B66" s="373" t="s">
        <v>108</v>
      </c>
      <c r="C66" s="374" t="s">
        <v>13</v>
      </c>
      <c r="D66" s="357" t="s">
        <v>119</v>
      </c>
      <c r="E66" s="357" t="s">
        <v>149</v>
      </c>
      <c r="F66" s="563" t="s">
        <v>141</v>
      </c>
      <c r="G66" s="564" t="s">
        <v>150</v>
      </c>
      <c r="H66" s="564" t="s">
        <v>92</v>
      </c>
      <c r="I66" s="562" t="s">
        <v>152</v>
      </c>
      <c r="J66" s="565" t="s">
        <v>109</v>
      </c>
      <c r="K66" s="377">
        <v>247</v>
      </c>
      <c r="L66" s="252">
        <f>M66-K66</f>
        <v>0</v>
      </c>
      <c r="M66" s="377">
        <v>247</v>
      </c>
      <c r="N66" s="377">
        <v>247</v>
      </c>
    </row>
    <row r="67" spans="1:14" s="67" customFormat="1" ht="75" x14ac:dyDescent="0.3">
      <c r="A67" s="2"/>
      <c r="B67" s="235" t="s">
        <v>563</v>
      </c>
      <c r="C67" s="99" t="s">
        <v>13</v>
      </c>
      <c r="D67" s="100" t="s">
        <v>119</v>
      </c>
      <c r="E67" s="100" t="s">
        <v>149</v>
      </c>
      <c r="F67" s="272" t="s">
        <v>141</v>
      </c>
      <c r="G67" s="272" t="s">
        <v>83</v>
      </c>
      <c r="H67" s="272" t="s">
        <v>96</v>
      </c>
      <c r="I67" s="273" t="s">
        <v>97</v>
      </c>
      <c r="J67" s="100"/>
      <c r="K67" s="252">
        <f t="shared" ref="K67:N68" si="21">K68</f>
        <v>6150.1</v>
      </c>
      <c r="L67" s="252">
        <f t="shared" si="21"/>
        <v>0</v>
      </c>
      <c r="M67" s="252">
        <f t="shared" si="21"/>
        <v>6150.1</v>
      </c>
      <c r="N67" s="252">
        <f t="shared" si="21"/>
        <v>6116.6</v>
      </c>
    </row>
    <row r="68" spans="1:14" s="67" customFormat="1" ht="93.75" x14ac:dyDescent="0.3">
      <c r="A68" s="2"/>
      <c r="B68" s="101" t="s">
        <v>464</v>
      </c>
      <c r="C68" s="99" t="s">
        <v>13</v>
      </c>
      <c r="D68" s="100" t="s">
        <v>119</v>
      </c>
      <c r="E68" s="100" t="s">
        <v>149</v>
      </c>
      <c r="F68" s="272" t="s">
        <v>141</v>
      </c>
      <c r="G68" s="272" t="s">
        <v>83</v>
      </c>
      <c r="H68" s="272" t="s">
        <v>90</v>
      </c>
      <c r="I68" s="273" t="s">
        <v>97</v>
      </c>
      <c r="J68" s="100"/>
      <c r="K68" s="252">
        <f t="shared" si="21"/>
        <v>6150.1</v>
      </c>
      <c r="L68" s="252">
        <f t="shared" si="21"/>
        <v>0</v>
      </c>
      <c r="M68" s="252">
        <f t="shared" si="21"/>
        <v>6150.1</v>
      </c>
      <c r="N68" s="252">
        <f t="shared" si="21"/>
        <v>6116.6</v>
      </c>
    </row>
    <row r="69" spans="1:14" s="67" customFormat="1" ht="69.599999999999994" customHeight="1" x14ac:dyDescent="0.3">
      <c r="A69" s="2"/>
      <c r="B69" s="101" t="s">
        <v>151</v>
      </c>
      <c r="C69" s="99" t="s">
        <v>13</v>
      </c>
      <c r="D69" s="100" t="s">
        <v>119</v>
      </c>
      <c r="E69" s="100" t="s">
        <v>149</v>
      </c>
      <c r="F69" s="272" t="s">
        <v>141</v>
      </c>
      <c r="G69" s="272" t="s">
        <v>83</v>
      </c>
      <c r="H69" s="272" t="s">
        <v>90</v>
      </c>
      <c r="I69" s="273" t="s">
        <v>153</v>
      </c>
      <c r="J69" s="100"/>
      <c r="K69" s="252">
        <f t="shared" ref="K69" si="22">K70+K71</f>
        <v>6150.1</v>
      </c>
      <c r="L69" s="252">
        <f>L70+L71</f>
        <v>0</v>
      </c>
      <c r="M69" s="252">
        <f t="shared" ref="M69:N69" si="23">M70+M71</f>
        <v>6150.1</v>
      </c>
      <c r="N69" s="252">
        <f t="shared" si="23"/>
        <v>6116.6</v>
      </c>
    </row>
    <row r="70" spans="1:14" s="67" customFormat="1" ht="91.15" customHeight="1" x14ac:dyDescent="0.3">
      <c r="A70" s="2"/>
      <c r="B70" s="98" t="s">
        <v>102</v>
      </c>
      <c r="C70" s="99" t="s">
        <v>13</v>
      </c>
      <c r="D70" s="100" t="s">
        <v>119</v>
      </c>
      <c r="E70" s="100" t="s">
        <v>149</v>
      </c>
      <c r="F70" s="272" t="s">
        <v>141</v>
      </c>
      <c r="G70" s="272" t="s">
        <v>83</v>
      </c>
      <c r="H70" s="272" t="s">
        <v>90</v>
      </c>
      <c r="I70" s="273" t="s">
        <v>153</v>
      </c>
      <c r="J70" s="100" t="s">
        <v>103</v>
      </c>
      <c r="K70" s="252">
        <v>6116.6</v>
      </c>
      <c r="L70" s="252">
        <f t="shared" ref="L70:L71" si="24">M70-K70</f>
        <v>0</v>
      </c>
      <c r="M70" s="252">
        <v>6116.6</v>
      </c>
      <c r="N70" s="252">
        <v>6116.6</v>
      </c>
    </row>
    <row r="71" spans="1:14" s="67" customFormat="1" ht="32.450000000000003" customHeight="1" x14ac:dyDescent="0.3">
      <c r="A71" s="2"/>
      <c r="B71" s="98" t="s">
        <v>108</v>
      </c>
      <c r="C71" s="99" t="s">
        <v>13</v>
      </c>
      <c r="D71" s="100" t="s">
        <v>119</v>
      </c>
      <c r="E71" s="100" t="s">
        <v>149</v>
      </c>
      <c r="F71" s="272" t="s">
        <v>141</v>
      </c>
      <c r="G71" s="272" t="s">
        <v>83</v>
      </c>
      <c r="H71" s="272" t="s">
        <v>90</v>
      </c>
      <c r="I71" s="273" t="s">
        <v>153</v>
      </c>
      <c r="J71" s="100" t="s">
        <v>109</v>
      </c>
      <c r="K71" s="252">
        <v>33.5</v>
      </c>
      <c r="L71" s="252">
        <f t="shared" si="24"/>
        <v>0</v>
      </c>
      <c r="M71" s="252">
        <v>33.5</v>
      </c>
      <c r="N71" s="252">
        <v>0</v>
      </c>
    </row>
    <row r="72" spans="1:14" s="67" customFormat="1" ht="18.75" x14ac:dyDescent="0.3">
      <c r="A72" s="2"/>
      <c r="B72" s="98" t="s">
        <v>154</v>
      </c>
      <c r="C72" s="99" t="s">
        <v>13</v>
      </c>
      <c r="D72" s="100" t="s">
        <v>105</v>
      </c>
      <c r="E72" s="100"/>
      <c r="F72" s="272"/>
      <c r="G72" s="272"/>
      <c r="H72" s="272"/>
      <c r="I72" s="273"/>
      <c r="J72" s="100"/>
      <c r="K72" s="252">
        <f t="shared" ref="K72" si="25">K73+K82+K88</f>
        <v>20339.900000000001</v>
      </c>
      <c r="L72" s="252">
        <f t="shared" ref="L72:N72" si="26">L73+L82+L88</f>
        <v>0</v>
      </c>
      <c r="M72" s="252">
        <f t="shared" si="26"/>
        <v>20339.900000000001</v>
      </c>
      <c r="N72" s="252">
        <f t="shared" si="26"/>
        <v>20358</v>
      </c>
    </row>
    <row r="73" spans="1:14" s="9" customFormat="1" ht="18.75" x14ac:dyDescent="0.3">
      <c r="A73" s="2"/>
      <c r="B73" s="98" t="s">
        <v>155</v>
      </c>
      <c r="C73" s="99" t="s">
        <v>13</v>
      </c>
      <c r="D73" s="100" t="s">
        <v>105</v>
      </c>
      <c r="E73" s="100" t="s">
        <v>121</v>
      </c>
      <c r="F73" s="272"/>
      <c r="G73" s="272"/>
      <c r="H73" s="272"/>
      <c r="I73" s="273"/>
      <c r="J73" s="100"/>
      <c r="K73" s="252">
        <f t="shared" ref="K73:N74" si="27">K74</f>
        <v>11958.5</v>
      </c>
      <c r="L73" s="252">
        <f t="shared" si="27"/>
        <v>0</v>
      </c>
      <c r="M73" s="252">
        <f t="shared" si="27"/>
        <v>11958.5</v>
      </c>
      <c r="N73" s="252">
        <f t="shared" si="27"/>
        <v>11958.5</v>
      </c>
    </row>
    <row r="74" spans="1:14" s="67" customFormat="1" ht="56.25" x14ac:dyDescent="0.3">
      <c r="A74" s="2"/>
      <c r="B74" s="98" t="s">
        <v>156</v>
      </c>
      <c r="C74" s="99" t="s">
        <v>13</v>
      </c>
      <c r="D74" s="100" t="s">
        <v>105</v>
      </c>
      <c r="E74" s="100" t="s">
        <v>121</v>
      </c>
      <c r="F74" s="272" t="s">
        <v>123</v>
      </c>
      <c r="G74" s="272" t="s">
        <v>95</v>
      </c>
      <c r="H74" s="272" t="s">
        <v>96</v>
      </c>
      <c r="I74" s="273" t="s">
        <v>97</v>
      </c>
      <c r="J74" s="100"/>
      <c r="K74" s="252">
        <f t="shared" si="27"/>
        <v>11958.5</v>
      </c>
      <c r="L74" s="252">
        <f t="shared" si="27"/>
        <v>0</v>
      </c>
      <c r="M74" s="252">
        <f t="shared" si="27"/>
        <v>11958.5</v>
      </c>
      <c r="N74" s="252">
        <f t="shared" si="27"/>
        <v>11958.5</v>
      </c>
    </row>
    <row r="75" spans="1:14" s="9" customFormat="1" ht="37.5" x14ac:dyDescent="0.3">
      <c r="A75" s="2"/>
      <c r="B75" s="98" t="s">
        <v>491</v>
      </c>
      <c r="C75" s="99" t="s">
        <v>13</v>
      </c>
      <c r="D75" s="100" t="s">
        <v>105</v>
      </c>
      <c r="E75" s="100" t="s">
        <v>121</v>
      </c>
      <c r="F75" s="272" t="s">
        <v>123</v>
      </c>
      <c r="G75" s="272" t="s">
        <v>98</v>
      </c>
      <c r="H75" s="272" t="s">
        <v>96</v>
      </c>
      <c r="I75" s="273" t="s">
        <v>97</v>
      </c>
      <c r="J75" s="100"/>
      <c r="K75" s="252">
        <f>K76+K79</f>
        <v>11958.5</v>
      </c>
      <c r="L75" s="252">
        <f>L76+L79</f>
        <v>0</v>
      </c>
      <c r="M75" s="252">
        <f>M76+M79</f>
        <v>11958.5</v>
      </c>
      <c r="N75" s="252">
        <f>N76+N79</f>
        <v>11958.5</v>
      </c>
    </row>
    <row r="76" spans="1:14" s="9" customFormat="1" ht="56.25" x14ac:dyDescent="0.3">
      <c r="A76" s="2"/>
      <c r="B76" s="98" t="s">
        <v>157</v>
      </c>
      <c r="C76" s="99" t="s">
        <v>13</v>
      </c>
      <c r="D76" s="100" t="s">
        <v>105</v>
      </c>
      <c r="E76" s="100" t="s">
        <v>121</v>
      </c>
      <c r="F76" s="272" t="s">
        <v>123</v>
      </c>
      <c r="G76" s="272" t="s">
        <v>98</v>
      </c>
      <c r="H76" s="272" t="s">
        <v>90</v>
      </c>
      <c r="I76" s="273" t="s">
        <v>97</v>
      </c>
      <c r="J76" s="100"/>
      <c r="K76" s="252">
        <f t="shared" ref="K76:N77" si="28">K77</f>
        <v>11860</v>
      </c>
      <c r="L76" s="252">
        <f t="shared" si="28"/>
        <v>0</v>
      </c>
      <c r="M76" s="252">
        <f t="shared" si="28"/>
        <v>11860</v>
      </c>
      <c r="N76" s="252">
        <f t="shared" si="28"/>
        <v>11860</v>
      </c>
    </row>
    <row r="77" spans="1:14" s="9" customFormat="1" ht="187.5" x14ac:dyDescent="0.3">
      <c r="A77" s="2"/>
      <c r="B77" s="232" t="s">
        <v>587</v>
      </c>
      <c r="C77" s="99" t="s">
        <v>13</v>
      </c>
      <c r="D77" s="100" t="s">
        <v>105</v>
      </c>
      <c r="E77" s="100" t="s">
        <v>121</v>
      </c>
      <c r="F77" s="272" t="s">
        <v>123</v>
      </c>
      <c r="G77" s="272" t="s">
        <v>98</v>
      </c>
      <c r="H77" s="272" t="s">
        <v>90</v>
      </c>
      <c r="I77" s="273" t="s">
        <v>158</v>
      </c>
      <c r="J77" s="100"/>
      <c r="K77" s="252">
        <f t="shared" si="28"/>
        <v>11860</v>
      </c>
      <c r="L77" s="252">
        <f t="shared" si="28"/>
        <v>0</v>
      </c>
      <c r="M77" s="252">
        <f t="shared" si="28"/>
        <v>11860</v>
      </c>
      <c r="N77" s="252">
        <f t="shared" si="28"/>
        <v>11860</v>
      </c>
    </row>
    <row r="78" spans="1:14" s="67" customFormat="1" ht="18.75" x14ac:dyDescent="0.3">
      <c r="A78" s="2"/>
      <c r="B78" s="98" t="s">
        <v>110</v>
      </c>
      <c r="C78" s="99" t="s">
        <v>13</v>
      </c>
      <c r="D78" s="100" t="s">
        <v>105</v>
      </c>
      <c r="E78" s="100" t="s">
        <v>121</v>
      </c>
      <c r="F78" s="345" t="s">
        <v>123</v>
      </c>
      <c r="G78" s="345" t="s">
        <v>98</v>
      </c>
      <c r="H78" s="345" t="s">
        <v>90</v>
      </c>
      <c r="I78" s="346" t="s">
        <v>158</v>
      </c>
      <c r="J78" s="100" t="s">
        <v>111</v>
      </c>
      <c r="K78" s="252">
        <v>11860</v>
      </c>
      <c r="L78" s="252">
        <f>M78-K78</f>
        <v>0</v>
      </c>
      <c r="M78" s="252">
        <v>11860</v>
      </c>
      <c r="N78" s="252">
        <v>11860</v>
      </c>
    </row>
    <row r="79" spans="1:14" s="9" customFormat="1" ht="75" x14ac:dyDescent="0.3">
      <c r="A79" s="2"/>
      <c r="B79" s="98" t="s">
        <v>159</v>
      </c>
      <c r="C79" s="99" t="s">
        <v>13</v>
      </c>
      <c r="D79" s="100" t="s">
        <v>105</v>
      </c>
      <c r="E79" s="100" t="s">
        <v>121</v>
      </c>
      <c r="F79" s="272" t="s">
        <v>123</v>
      </c>
      <c r="G79" s="272" t="s">
        <v>98</v>
      </c>
      <c r="H79" s="272" t="s">
        <v>92</v>
      </c>
      <c r="I79" s="273" t="s">
        <v>97</v>
      </c>
      <c r="J79" s="100"/>
      <c r="K79" s="252">
        <f t="shared" ref="K79:N80" si="29">K80</f>
        <v>98.5</v>
      </c>
      <c r="L79" s="252">
        <f t="shared" si="29"/>
        <v>0</v>
      </c>
      <c r="M79" s="252">
        <f t="shared" si="29"/>
        <v>98.5</v>
      </c>
      <c r="N79" s="252">
        <f t="shared" si="29"/>
        <v>98.5</v>
      </c>
    </row>
    <row r="80" spans="1:14" s="9" customFormat="1" ht="160.15" customHeight="1" x14ac:dyDescent="0.3">
      <c r="A80" s="2"/>
      <c r="B80" s="232" t="s">
        <v>602</v>
      </c>
      <c r="C80" s="99" t="s">
        <v>13</v>
      </c>
      <c r="D80" s="100" t="s">
        <v>105</v>
      </c>
      <c r="E80" s="100" t="s">
        <v>121</v>
      </c>
      <c r="F80" s="272" t="s">
        <v>123</v>
      </c>
      <c r="G80" s="272" t="s">
        <v>98</v>
      </c>
      <c r="H80" s="272" t="s">
        <v>92</v>
      </c>
      <c r="I80" s="273" t="s">
        <v>160</v>
      </c>
      <c r="J80" s="100"/>
      <c r="K80" s="252">
        <f t="shared" si="29"/>
        <v>98.5</v>
      </c>
      <c r="L80" s="252">
        <f t="shared" si="29"/>
        <v>0</v>
      </c>
      <c r="M80" s="252">
        <f t="shared" si="29"/>
        <v>98.5</v>
      </c>
      <c r="N80" s="252">
        <f t="shared" si="29"/>
        <v>98.5</v>
      </c>
    </row>
    <row r="81" spans="1:14" s="67" customFormat="1" ht="34.9" customHeight="1" x14ac:dyDescent="0.3">
      <c r="A81" s="2"/>
      <c r="B81" s="98" t="s">
        <v>108</v>
      </c>
      <c r="C81" s="99" t="s">
        <v>13</v>
      </c>
      <c r="D81" s="100" t="s">
        <v>105</v>
      </c>
      <c r="E81" s="100" t="s">
        <v>121</v>
      </c>
      <c r="F81" s="272" t="s">
        <v>123</v>
      </c>
      <c r="G81" s="272" t="s">
        <v>98</v>
      </c>
      <c r="H81" s="272" t="s">
        <v>92</v>
      </c>
      <c r="I81" s="273" t="s">
        <v>160</v>
      </c>
      <c r="J81" s="100" t="s">
        <v>109</v>
      </c>
      <c r="K81" s="252">
        <v>98.5</v>
      </c>
      <c r="L81" s="252">
        <f>M81-K81</f>
        <v>0</v>
      </c>
      <c r="M81" s="252">
        <v>98.5</v>
      </c>
      <c r="N81" s="252">
        <v>98.5</v>
      </c>
    </row>
    <row r="82" spans="1:14" s="9" customFormat="1" ht="18.75" x14ac:dyDescent="0.3">
      <c r="A82" s="2"/>
      <c r="B82" s="104" t="s">
        <v>161</v>
      </c>
      <c r="C82" s="99" t="s">
        <v>13</v>
      </c>
      <c r="D82" s="100" t="s">
        <v>105</v>
      </c>
      <c r="E82" s="100" t="s">
        <v>139</v>
      </c>
      <c r="F82" s="272"/>
      <c r="G82" s="272"/>
      <c r="H82" s="272"/>
      <c r="I82" s="273"/>
      <c r="J82" s="100"/>
      <c r="K82" s="252">
        <f t="shared" ref="K82:N86" si="30">K83</f>
        <v>4174.1000000000004</v>
      </c>
      <c r="L82" s="252">
        <f t="shared" si="30"/>
        <v>0</v>
      </c>
      <c r="M82" s="252">
        <f t="shared" si="30"/>
        <v>4174.1000000000004</v>
      </c>
      <c r="N82" s="252">
        <f t="shared" si="30"/>
        <v>4240.8</v>
      </c>
    </row>
    <row r="83" spans="1:14" s="67" customFormat="1" ht="56.25" x14ac:dyDescent="0.3">
      <c r="A83" s="2"/>
      <c r="B83" s="98" t="s">
        <v>162</v>
      </c>
      <c r="C83" s="99" t="s">
        <v>13</v>
      </c>
      <c r="D83" s="100" t="s">
        <v>105</v>
      </c>
      <c r="E83" s="100" t="s">
        <v>139</v>
      </c>
      <c r="F83" s="272" t="s">
        <v>163</v>
      </c>
      <c r="G83" s="272" t="s">
        <v>95</v>
      </c>
      <c r="H83" s="272" t="s">
        <v>96</v>
      </c>
      <c r="I83" s="273" t="s">
        <v>97</v>
      </c>
      <c r="J83" s="100"/>
      <c r="K83" s="252">
        <f t="shared" si="30"/>
        <v>4174.1000000000004</v>
      </c>
      <c r="L83" s="252">
        <f t="shared" si="30"/>
        <v>0</v>
      </c>
      <c r="M83" s="252">
        <f t="shared" si="30"/>
        <v>4174.1000000000004</v>
      </c>
      <c r="N83" s="252">
        <f t="shared" si="30"/>
        <v>4240.8</v>
      </c>
    </row>
    <row r="84" spans="1:14" s="9" customFormat="1" ht="37.5" x14ac:dyDescent="0.3">
      <c r="A84" s="2"/>
      <c r="B84" s="98" t="s">
        <v>491</v>
      </c>
      <c r="C84" s="99" t="s">
        <v>13</v>
      </c>
      <c r="D84" s="100" t="s">
        <v>105</v>
      </c>
      <c r="E84" s="100" t="s">
        <v>139</v>
      </c>
      <c r="F84" s="272" t="s">
        <v>163</v>
      </c>
      <c r="G84" s="272" t="s">
        <v>98</v>
      </c>
      <c r="H84" s="272" t="s">
        <v>96</v>
      </c>
      <c r="I84" s="273" t="s">
        <v>97</v>
      </c>
      <c r="J84" s="100"/>
      <c r="K84" s="252">
        <f t="shared" si="30"/>
        <v>4174.1000000000004</v>
      </c>
      <c r="L84" s="252">
        <f t="shared" si="30"/>
        <v>0</v>
      </c>
      <c r="M84" s="252">
        <f t="shared" si="30"/>
        <v>4174.1000000000004</v>
      </c>
      <c r="N84" s="252">
        <f t="shared" si="30"/>
        <v>4240.8</v>
      </c>
    </row>
    <row r="85" spans="1:14" s="9" customFormat="1" ht="93.75" x14ac:dyDescent="0.3">
      <c r="A85" s="2"/>
      <c r="B85" s="98" t="s">
        <v>164</v>
      </c>
      <c r="C85" s="99" t="s">
        <v>13</v>
      </c>
      <c r="D85" s="100" t="s">
        <v>105</v>
      </c>
      <c r="E85" s="100" t="s">
        <v>139</v>
      </c>
      <c r="F85" s="272" t="s">
        <v>163</v>
      </c>
      <c r="G85" s="272" t="s">
        <v>98</v>
      </c>
      <c r="H85" s="272" t="s">
        <v>90</v>
      </c>
      <c r="I85" s="273" t="s">
        <v>97</v>
      </c>
      <c r="J85" s="100"/>
      <c r="K85" s="252">
        <f t="shared" si="30"/>
        <v>4174.1000000000004</v>
      </c>
      <c r="L85" s="252">
        <f t="shared" si="30"/>
        <v>0</v>
      </c>
      <c r="M85" s="252">
        <f t="shared" si="30"/>
        <v>4174.1000000000004</v>
      </c>
      <c r="N85" s="252">
        <f t="shared" si="30"/>
        <v>4240.8</v>
      </c>
    </row>
    <row r="86" spans="1:14" s="9" customFormat="1" ht="93.75" x14ac:dyDescent="0.3">
      <c r="A86" s="2"/>
      <c r="B86" s="103" t="s">
        <v>165</v>
      </c>
      <c r="C86" s="99" t="s">
        <v>13</v>
      </c>
      <c r="D86" s="100" t="s">
        <v>105</v>
      </c>
      <c r="E86" s="100" t="s">
        <v>139</v>
      </c>
      <c r="F86" s="272" t="s">
        <v>163</v>
      </c>
      <c r="G86" s="272" t="s">
        <v>98</v>
      </c>
      <c r="H86" s="272" t="s">
        <v>90</v>
      </c>
      <c r="I86" s="273" t="s">
        <v>166</v>
      </c>
      <c r="J86" s="100"/>
      <c r="K86" s="252">
        <f t="shared" si="30"/>
        <v>4174.1000000000004</v>
      </c>
      <c r="L86" s="252">
        <f t="shared" si="30"/>
        <v>0</v>
      </c>
      <c r="M86" s="252">
        <f t="shared" si="30"/>
        <v>4174.1000000000004</v>
      </c>
      <c r="N86" s="252">
        <f t="shared" si="30"/>
        <v>4240.8</v>
      </c>
    </row>
    <row r="87" spans="1:14" s="67" customFormat="1" ht="33" customHeight="1" x14ac:dyDescent="0.3">
      <c r="A87" s="2"/>
      <c r="B87" s="98" t="s">
        <v>108</v>
      </c>
      <c r="C87" s="99" t="s">
        <v>13</v>
      </c>
      <c r="D87" s="100" t="s">
        <v>105</v>
      </c>
      <c r="E87" s="100" t="s">
        <v>139</v>
      </c>
      <c r="F87" s="272" t="s">
        <v>163</v>
      </c>
      <c r="G87" s="272" t="s">
        <v>98</v>
      </c>
      <c r="H87" s="272" t="s">
        <v>90</v>
      </c>
      <c r="I87" s="273" t="s">
        <v>166</v>
      </c>
      <c r="J87" s="100" t="s">
        <v>109</v>
      </c>
      <c r="K87" s="252">
        <v>4174.1000000000004</v>
      </c>
      <c r="L87" s="252">
        <f>M87-K87</f>
        <v>0</v>
      </c>
      <c r="M87" s="252">
        <v>4174.1000000000004</v>
      </c>
      <c r="N87" s="252">
        <v>4240.8</v>
      </c>
    </row>
    <row r="88" spans="1:14" s="67" customFormat="1" ht="33" customHeight="1" x14ac:dyDescent="0.3">
      <c r="A88" s="2"/>
      <c r="B88" s="382" t="s">
        <v>169</v>
      </c>
      <c r="C88" s="374" t="s">
        <v>13</v>
      </c>
      <c r="D88" s="357" t="s">
        <v>105</v>
      </c>
      <c r="E88" s="357" t="s">
        <v>163</v>
      </c>
      <c r="F88" s="506"/>
      <c r="G88" s="507"/>
      <c r="H88" s="507"/>
      <c r="I88" s="508"/>
      <c r="J88" s="357"/>
      <c r="K88" s="252">
        <f t="shared" ref="K88:N88" si="31">K89</f>
        <v>4207.3</v>
      </c>
      <c r="L88" s="252">
        <f>L89</f>
        <v>0</v>
      </c>
      <c r="M88" s="252">
        <f t="shared" si="31"/>
        <v>4207.3</v>
      </c>
      <c r="N88" s="252">
        <f t="shared" si="31"/>
        <v>4158.7</v>
      </c>
    </row>
    <row r="89" spans="1:14" s="67" customFormat="1" ht="33" customHeight="1" x14ac:dyDescent="0.3">
      <c r="A89" s="358"/>
      <c r="B89" s="373" t="s">
        <v>491</v>
      </c>
      <c r="C89" s="374" t="s">
        <v>13</v>
      </c>
      <c r="D89" s="357" t="s">
        <v>105</v>
      </c>
      <c r="E89" s="357" t="s">
        <v>163</v>
      </c>
      <c r="F89" s="559" t="s">
        <v>94</v>
      </c>
      <c r="G89" s="560" t="s">
        <v>98</v>
      </c>
      <c r="H89" s="560" t="s">
        <v>96</v>
      </c>
      <c r="I89" s="561" t="s">
        <v>97</v>
      </c>
      <c r="J89" s="357"/>
      <c r="K89" s="377">
        <f t="shared" ref="K89:N90" si="32">K90</f>
        <v>4207.3</v>
      </c>
      <c r="L89" s="377">
        <f t="shared" si="32"/>
        <v>0</v>
      </c>
      <c r="M89" s="377">
        <f t="shared" si="32"/>
        <v>4207.3</v>
      </c>
      <c r="N89" s="377">
        <f t="shared" si="32"/>
        <v>4158.7</v>
      </c>
    </row>
    <row r="90" spans="1:14" s="67" customFormat="1" ht="54" customHeight="1" x14ac:dyDescent="0.3">
      <c r="A90" s="358"/>
      <c r="B90" s="373" t="s">
        <v>474</v>
      </c>
      <c r="C90" s="374" t="s">
        <v>13</v>
      </c>
      <c r="D90" s="357" t="s">
        <v>105</v>
      </c>
      <c r="E90" s="357" t="s">
        <v>163</v>
      </c>
      <c r="F90" s="559" t="s">
        <v>94</v>
      </c>
      <c r="G90" s="560" t="s">
        <v>98</v>
      </c>
      <c r="H90" s="560" t="s">
        <v>149</v>
      </c>
      <c r="I90" s="561" t="s">
        <v>97</v>
      </c>
      <c r="J90" s="357"/>
      <c r="K90" s="377">
        <f t="shared" si="32"/>
        <v>4207.3</v>
      </c>
      <c r="L90" s="377">
        <f>L91</f>
        <v>0</v>
      </c>
      <c r="M90" s="377">
        <f t="shared" si="32"/>
        <v>4207.3</v>
      </c>
      <c r="N90" s="377">
        <f t="shared" si="32"/>
        <v>4158.7</v>
      </c>
    </row>
    <row r="91" spans="1:14" s="67" customFormat="1" ht="33" customHeight="1" x14ac:dyDescent="0.3">
      <c r="A91" s="358"/>
      <c r="B91" s="380" t="s">
        <v>151</v>
      </c>
      <c r="C91" s="374" t="s">
        <v>13</v>
      </c>
      <c r="D91" s="357" t="s">
        <v>105</v>
      </c>
      <c r="E91" s="357" t="s">
        <v>163</v>
      </c>
      <c r="F91" s="559" t="s">
        <v>94</v>
      </c>
      <c r="G91" s="560" t="s">
        <v>98</v>
      </c>
      <c r="H91" s="560" t="s">
        <v>149</v>
      </c>
      <c r="I91" s="561" t="s">
        <v>153</v>
      </c>
      <c r="J91" s="357"/>
      <c r="K91" s="377">
        <f>SUM(K92:K93)</f>
        <v>4207.3</v>
      </c>
      <c r="L91" s="377">
        <f>SUM(L92:L93)</f>
        <v>0</v>
      </c>
      <c r="M91" s="377">
        <f>SUM(M92:M93)</f>
        <v>4207.3</v>
      </c>
      <c r="N91" s="377">
        <f>SUM(N92:N93)</f>
        <v>4158.7</v>
      </c>
    </row>
    <row r="92" spans="1:14" s="67" customFormat="1" ht="93.6" customHeight="1" x14ac:dyDescent="0.3">
      <c r="A92" s="358"/>
      <c r="B92" s="373" t="s">
        <v>102</v>
      </c>
      <c r="C92" s="374" t="s">
        <v>13</v>
      </c>
      <c r="D92" s="357" t="s">
        <v>105</v>
      </c>
      <c r="E92" s="357" t="s">
        <v>163</v>
      </c>
      <c r="F92" s="559" t="s">
        <v>94</v>
      </c>
      <c r="G92" s="560" t="s">
        <v>98</v>
      </c>
      <c r="H92" s="560" t="s">
        <v>149</v>
      </c>
      <c r="I92" s="561" t="s">
        <v>153</v>
      </c>
      <c r="J92" s="357" t="s">
        <v>103</v>
      </c>
      <c r="K92" s="377">
        <v>4158.7</v>
      </c>
      <c r="L92" s="252">
        <f t="shared" ref="L92:L93" si="33">M92-K92</f>
        <v>0</v>
      </c>
      <c r="M92" s="377">
        <v>4158.7</v>
      </c>
      <c r="N92" s="377">
        <v>4158.7</v>
      </c>
    </row>
    <row r="93" spans="1:14" s="67" customFormat="1" ht="33" customHeight="1" x14ac:dyDescent="0.3">
      <c r="A93" s="358"/>
      <c r="B93" s="373" t="s">
        <v>108</v>
      </c>
      <c r="C93" s="374" t="s">
        <v>13</v>
      </c>
      <c r="D93" s="357" t="s">
        <v>105</v>
      </c>
      <c r="E93" s="357" t="s">
        <v>163</v>
      </c>
      <c r="F93" s="559" t="s">
        <v>94</v>
      </c>
      <c r="G93" s="560" t="s">
        <v>98</v>
      </c>
      <c r="H93" s="560" t="s">
        <v>149</v>
      </c>
      <c r="I93" s="561" t="s">
        <v>153</v>
      </c>
      <c r="J93" s="357" t="s">
        <v>109</v>
      </c>
      <c r="K93" s="377">
        <v>48.6</v>
      </c>
      <c r="L93" s="252">
        <f t="shared" si="33"/>
        <v>0</v>
      </c>
      <c r="M93" s="377">
        <v>48.6</v>
      </c>
      <c r="N93" s="377">
        <v>0</v>
      </c>
    </row>
    <row r="94" spans="1:14" ht="18.75" x14ac:dyDescent="0.3">
      <c r="A94" s="2"/>
      <c r="B94" s="98"/>
      <c r="C94" s="99"/>
      <c r="D94" s="100"/>
      <c r="E94" s="100"/>
      <c r="F94" s="272"/>
      <c r="G94" s="272"/>
      <c r="H94" s="272"/>
      <c r="I94" s="273"/>
      <c r="J94" s="100"/>
      <c r="K94" s="252"/>
      <c r="L94" s="252"/>
      <c r="M94" s="252"/>
      <c r="N94" s="252"/>
    </row>
    <row r="95" spans="1:14" ht="56.25" x14ac:dyDescent="0.3">
      <c r="A95" s="161">
        <v>2</v>
      </c>
      <c r="B95" s="93" t="s">
        <v>28</v>
      </c>
      <c r="C95" s="94" t="s">
        <v>425</v>
      </c>
      <c r="D95" s="95"/>
      <c r="E95" s="95"/>
      <c r="F95" s="96"/>
      <c r="G95" s="96"/>
      <c r="H95" s="96"/>
      <c r="I95" s="97"/>
      <c r="J95" s="95"/>
      <c r="K95" s="251">
        <f>K96+K104</f>
        <v>26657.800000000003</v>
      </c>
      <c r="L95" s="251">
        <f>L96+L104</f>
        <v>0</v>
      </c>
      <c r="M95" s="251">
        <f>M96+M104</f>
        <v>26657.800000000003</v>
      </c>
      <c r="N95" s="251">
        <f>N96+N104</f>
        <v>26655.9</v>
      </c>
    </row>
    <row r="96" spans="1:14" ht="18.75" x14ac:dyDescent="0.3">
      <c r="A96" s="2"/>
      <c r="B96" s="98" t="s">
        <v>89</v>
      </c>
      <c r="C96" s="99" t="s">
        <v>425</v>
      </c>
      <c r="D96" s="100" t="s">
        <v>90</v>
      </c>
      <c r="E96" s="100"/>
      <c r="F96" s="272"/>
      <c r="G96" s="272"/>
      <c r="H96" s="272"/>
      <c r="I96" s="273"/>
      <c r="J96" s="100"/>
      <c r="K96" s="252">
        <f>K97</f>
        <v>21657.800000000003</v>
      </c>
      <c r="L96" s="252">
        <f>L97</f>
        <v>0</v>
      </c>
      <c r="M96" s="252">
        <f>M97</f>
        <v>21657.800000000003</v>
      </c>
      <c r="N96" s="252">
        <f>N97</f>
        <v>21655.9</v>
      </c>
    </row>
    <row r="97" spans="1:14" ht="75" x14ac:dyDescent="0.3">
      <c r="A97" s="2"/>
      <c r="B97" s="98" t="s">
        <v>198</v>
      </c>
      <c r="C97" s="99" t="s">
        <v>425</v>
      </c>
      <c r="D97" s="100" t="s">
        <v>90</v>
      </c>
      <c r="E97" s="100" t="s">
        <v>141</v>
      </c>
      <c r="F97" s="272"/>
      <c r="G97" s="272"/>
      <c r="H97" s="272"/>
      <c r="I97" s="273"/>
      <c r="J97" s="100"/>
      <c r="K97" s="252">
        <f t="shared" ref="K97:N100" si="34">K98</f>
        <v>21657.800000000003</v>
      </c>
      <c r="L97" s="252">
        <f t="shared" si="34"/>
        <v>0</v>
      </c>
      <c r="M97" s="252">
        <f t="shared" si="34"/>
        <v>21657.800000000003</v>
      </c>
      <c r="N97" s="252">
        <f t="shared" si="34"/>
        <v>21655.9</v>
      </c>
    </row>
    <row r="98" spans="1:14" ht="56.25" x14ac:dyDescent="0.3">
      <c r="A98" s="2"/>
      <c r="B98" s="98" t="s">
        <v>303</v>
      </c>
      <c r="C98" s="99" t="s">
        <v>425</v>
      </c>
      <c r="D98" s="100" t="s">
        <v>90</v>
      </c>
      <c r="E98" s="100" t="s">
        <v>141</v>
      </c>
      <c r="F98" s="272" t="s">
        <v>304</v>
      </c>
      <c r="G98" s="272" t="s">
        <v>95</v>
      </c>
      <c r="H98" s="272" t="s">
        <v>96</v>
      </c>
      <c r="I98" s="273" t="s">
        <v>97</v>
      </c>
      <c r="J98" s="100"/>
      <c r="K98" s="252">
        <f t="shared" si="34"/>
        <v>21657.800000000003</v>
      </c>
      <c r="L98" s="252">
        <f t="shared" si="34"/>
        <v>0</v>
      </c>
      <c r="M98" s="252">
        <f t="shared" si="34"/>
        <v>21657.800000000003</v>
      </c>
      <c r="N98" s="252">
        <f t="shared" si="34"/>
        <v>21655.9</v>
      </c>
    </row>
    <row r="99" spans="1:14" ht="37.5" x14ac:dyDescent="0.3">
      <c r="A99" s="2"/>
      <c r="B99" s="98" t="s">
        <v>491</v>
      </c>
      <c r="C99" s="99" t="s">
        <v>425</v>
      </c>
      <c r="D99" s="100" t="s">
        <v>90</v>
      </c>
      <c r="E99" s="100" t="s">
        <v>141</v>
      </c>
      <c r="F99" s="106" t="s">
        <v>304</v>
      </c>
      <c r="G99" s="106" t="s">
        <v>98</v>
      </c>
      <c r="H99" s="272" t="s">
        <v>96</v>
      </c>
      <c r="I99" s="273" t="s">
        <v>97</v>
      </c>
      <c r="J99" s="100"/>
      <c r="K99" s="252">
        <f t="shared" si="34"/>
        <v>21657.800000000003</v>
      </c>
      <c r="L99" s="252">
        <f t="shared" si="34"/>
        <v>0</v>
      </c>
      <c r="M99" s="252">
        <f t="shared" si="34"/>
        <v>21657.800000000003</v>
      </c>
      <c r="N99" s="252">
        <f t="shared" si="34"/>
        <v>21655.9</v>
      </c>
    </row>
    <row r="100" spans="1:14" ht="56.25" x14ac:dyDescent="0.3">
      <c r="A100" s="2"/>
      <c r="B100" s="98" t="s">
        <v>426</v>
      </c>
      <c r="C100" s="99" t="s">
        <v>425</v>
      </c>
      <c r="D100" s="100" t="s">
        <v>90</v>
      </c>
      <c r="E100" s="100" t="s">
        <v>141</v>
      </c>
      <c r="F100" s="106" t="s">
        <v>304</v>
      </c>
      <c r="G100" s="106" t="s">
        <v>98</v>
      </c>
      <c r="H100" s="272" t="s">
        <v>90</v>
      </c>
      <c r="I100" s="273" t="s">
        <v>97</v>
      </c>
      <c r="J100" s="100"/>
      <c r="K100" s="252">
        <f t="shared" si="34"/>
        <v>21657.800000000003</v>
      </c>
      <c r="L100" s="252">
        <f t="shared" si="34"/>
        <v>0</v>
      </c>
      <c r="M100" s="252">
        <f t="shared" si="34"/>
        <v>21657.800000000003</v>
      </c>
      <c r="N100" s="252">
        <f t="shared" si="34"/>
        <v>21655.9</v>
      </c>
    </row>
    <row r="101" spans="1:14" ht="37.5" x14ac:dyDescent="0.3">
      <c r="A101" s="2"/>
      <c r="B101" s="98" t="s">
        <v>100</v>
      </c>
      <c r="C101" s="99" t="s">
        <v>425</v>
      </c>
      <c r="D101" s="100" t="s">
        <v>90</v>
      </c>
      <c r="E101" s="100" t="s">
        <v>141</v>
      </c>
      <c r="F101" s="106" t="s">
        <v>304</v>
      </c>
      <c r="G101" s="106" t="s">
        <v>98</v>
      </c>
      <c r="H101" s="272" t="s">
        <v>90</v>
      </c>
      <c r="I101" s="273" t="s">
        <v>101</v>
      </c>
      <c r="J101" s="100"/>
      <c r="K101" s="252">
        <f t="shared" ref="K101" si="35">SUM(K102:K103)</f>
        <v>21657.800000000003</v>
      </c>
      <c r="L101" s="252">
        <f>SUM(L102:L103)</f>
        <v>0</v>
      </c>
      <c r="M101" s="252">
        <f t="shared" ref="M101:N101" si="36">SUM(M102:M103)</f>
        <v>21657.800000000003</v>
      </c>
      <c r="N101" s="252">
        <f t="shared" si="36"/>
        <v>21655.9</v>
      </c>
    </row>
    <row r="102" spans="1:14" ht="85.15" customHeight="1" x14ac:dyDescent="0.3">
      <c r="A102" s="2"/>
      <c r="B102" s="98" t="s">
        <v>102</v>
      </c>
      <c r="C102" s="99" t="s">
        <v>425</v>
      </c>
      <c r="D102" s="100" t="s">
        <v>90</v>
      </c>
      <c r="E102" s="100" t="s">
        <v>141</v>
      </c>
      <c r="F102" s="106" t="s">
        <v>304</v>
      </c>
      <c r="G102" s="106" t="s">
        <v>98</v>
      </c>
      <c r="H102" s="272" t="s">
        <v>90</v>
      </c>
      <c r="I102" s="273" t="s">
        <v>101</v>
      </c>
      <c r="J102" s="100" t="s">
        <v>103</v>
      </c>
      <c r="K102" s="252">
        <v>21655.9</v>
      </c>
      <c r="L102" s="252">
        <f t="shared" ref="L102:L103" si="37">M102-K102</f>
        <v>0</v>
      </c>
      <c r="M102" s="252">
        <v>21655.9</v>
      </c>
      <c r="N102" s="252">
        <v>21655.9</v>
      </c>
    </row>
    <row r="103" spans="1:14" s="348" customFormat="1" ht="18.75" x14ac:dyDescent="0.3">
      <c r="A103" s="358"/>
      <c r="B103" s="373" t="s">
        <v>110</v>
      </c>
      <c r="C103" s="374" t="s">
        <v>425</v>
      </c>
      <c r="D103" s="357" t="s">
        <v>90</v>
      </c>
      <c r="E103" s="357" t="s">
        <v>141</v>
      </c>
      <c r="F103" s="387" t="s">
        <v>304</v>
      </c>
      <c r="G103" s="388" t="s">
        <v>98</v>
      </c>
      <c r="H103" s="560" t="s">
        <v>90</v>
      </c>
      <c r="I103" s="561" t="s">
        <v>101</v>
      </c>
      <c r="J103" s="357" t="s">
        <v>111</v>
      </c>
      <c r="K103" s="377">
        <v>1.9</v>
      </c>
      <c r="L103" s="252">
        <f t="shared" si="37"/>
        <v>0</v>
      </c>
      <c r="M103" s="377">
        <v>1.9</v>
      </c>
      <c r="N103" s="377">
        <v>0</v>
      </c>
    </row>
    <row r="104" spans="1:14" ht="56.25" x14ac:dyDescent="0.3">
      <c r="A104" s="2"/>
      <c r="B104" s="98" t="s">
        <v>279</v>
      </c>
      <c r="C104" s="99" t="s">
        <v>425</v>
      </c>
      <c r="D104" s="100" t="s">
        <v>149</v>
      </c>
      <c r="E104" s="100"/>
      <c r="F104" s="106"/>
      <c r="G104" s="106"/>
      <c r="H104" s="272"/>
      <c r="I104" s="273"/>
      <c r="J104" s="100"/>
      <c r="K104" s="252">
        <f t="shared" ref="K104:N107" si="38">K105</f>
        <v>5000</v>
      </c>
      <c r="L104" s="252">
        <f t="shared" si="38"/>
        <v>0</v>
      </c>
      <c r="M104" s="252">
        <f t="shared" si="38"/>
        <v>5000</v>
      </c>
      <c r="N104" s="252">
        <f t="shared" si="38"/>
        <v>5000</v>
      </c>
    </row>
    <row r="105" spans="1:14" ht="56.25" x14ac:dyDescent="0.3">
      <c r="A105" s="2"/>
      <c r="B105" s="103" t="s">
        <v>280</v>
      </c>
      <c r="C105" s="99" t="s">
        <v>425</v>
      </c>
      <c r="D105" s="100" t="s">
        <v>149</v>
      </c>
      <c r="E105" s="100" t="s">
        <v>90</v>
      </c>
      <c r="F105" s="106"/>
      <c r="G105" s="106"/>
      <c r="H105" s="272"/>
      <c r="I105" s="273"/>
      <c r="J105" s="100"/>
      <c r="K105" s="252">
        <f t="shared" si="38"/>
        <v>5000</v>
      </c>
      <c r="L105" s="252">
        <f t="shared" si="38"/>
        <v>0</v>
      </c>
      <c r="M105" s="252">
        <f t="shared" si="38"/>
        <v>5000</v>
      </c>
      <c r="N105" s="252">
        <f t="shared" si="38"/>
        <v>5000</v>
      </c>
    </row>
    <row r="106" spans="1:14" ht="56.25" x14ac:dyDescent="0.3">
      <c r="A106" s="2"/>
      <c r="B106" s="98" t="s">
        <v>303</v>
      </c>
      <c r="C106" s="99" t="s">
        <v>425</v>
      </c>
      <c r="D106" s="100" t="s">
        <v>149</v>
      </c>
      <c r="E106" s="100" t="s">
        <v>90</v>
      </c>
      <c r="F106" s="106" t="s">
        <v>304</v>
      </c>
      <c r="G106" s="106" t="s">
        <v>95</v>
      </c>
      <c r="H106" s="272" t="s">
        <v>96</v>
      </c>
      <c r="I106" s="273" t="s">
        <v>97</v>
      </c>
      <c r="J106" s="100"/>
      <c r="K106" s="252">
        <f t="shared" si="38"/>
        <v>5000</v>
      </c>
      <c r="L106" s="252">
        <f t="shared" si="38"/>
        <v>0</v>
      </c>
      <c r="M106" s="252">
        <f t="shared" si="38"/>
        <v>5000</v>
      </c>
      <c r="N106" s="252">
        <f t="shared" si="38"/>
        <v>5000</v>
      </c>
    </row>
    <row r="107" spans="1:14" ht="37.5" x14ac:dyDescent="0.3">
      <c r="A107" s="2"/>
      <c r="B107" s="98" t="s">
        <v>491</v>
      </c>
      <c r="C107" s="99" t="s">
        <v>425</v>
      </c>
      <c r="D107" s="100" t="s">
        <v>149</v>
      </c>
      <c r="E107" s="100" t="s">
        <v>90</v>
      </c>
      <c r="F107" s="106" t="s">
        <v>304</v>
      </c>
      <c r="G107" s="106" t="s">
        <v>98</v>
      </c>
      <c r="H107" s="272" t="s">
        <v>96</v>
      </c>
      <c r="I107" s="273" t="s">
        <v>97</v>
      </c>
      <c r="J107" s="100"/>
      <c r="K107" s="252">
        <f t="shared" si="38"/>
        <v>5000</v>
      </c>
      <c r="L107" s="252">
        <f t="shared" si="38"/>
        <v>0</v>
      </c>
      <c r="M107" s="252">
        <f t="shared" si="38"/>
        <v>5000</v>
      </c>
      <c r="N107" s="252">
        <f t="shared" si="38"/>
        <v>5000</v>
      </c>
    </row>
    <row r="108" spans="1:14" ht="37.5" x14ac:dyDescent="0.3">
      <c r="A108" s="2"/>
      <c r="B108" s="98" t="s">
        <v>427</v>
      </c>
      <c r="C108" s="99" t="s">
        <v>425</v>
      </c>
      <c r="D108" s="100" t="s">
        <v>149</v>
      </c>
      <c r="E108" s="100" t="s">
        <v>90</v>
      </c>
      <c r="F108" s="106" t="s">
        <v>304</v>
      </c>
      <c r="G108" s="106" t="s">
        <v>98</v>
      </c>
      <c r="H108" s="272" t="s">
        <v>92</v>
      </c>
      <c r="I108" s="273" t="s">
        <v>97</v>
      </c>
      <c r="J108" s="100"/>
      <c r="K108" s="252">
        <f t="shared" ref="K108:N109" si="39">K109</f>
        <v>5000</v>
      </c>
      <c r="L108" s="252">
        <f t="shared" si="39"/>
        <v>0</v>
      </c>
      <c r="M108" s="252">
        <f t="shared" si="39"/>
        <v>5000</v>
      </c>
      <c r="N108" s="252">
        <f t="shared" si="39"/>
        <v>5000</v>
      </c>
    </row>
    <row r="109" spans="1:14" ht="37.5" x14ac:dyDescent="0.3">
      <c r="A109" s="358"/>
      <c r="B109" s="373" t="s">
        <v>363</v>
      </c>
      <c r="C109" s="374" t="s">
        <v>425</v>
      </c>
      <c r="D109" s="357" t="s">
        <v>149</v>
      </c>
      <c r="E109" s="357" t="s">
        <v>90</v>
      </c>
      <c r="F109" s="387" t="s">
        <v>304</v>
      </c>
      <c r="G109" s="388" t="s">
        <v>98</v>
      </c>
      <c r="H109" s="560" t="s">
        <v>92</v>
      </c>
      <c r="I109" s="561" t="s">
        <v>810</v>
      </c>
      <c r="J109" s="357"/>
      <c r="K109" s="377">
        <f t="shared" si="39"/>
        <v>5000</v>
      </c>
      <c r="L109" s="377">
        <f t="shared" si="39"/>
        <v>0</v>
      </c>
      <c r="M109" s="377">
        <f t="shared" si="39"/>
        <v>5000</v>
      </c>
      <c r="N109" s="252">
        <f t="shared" si="39"/>
        <v>5000</v>
      </c>
    </row>
    <row r="110" spans="1:14" ht="18.75" x14ac:dyDescent="0.3">
      <c r="A110" s="358"/>
      <c r="B110" s="373" t="s">
        <v>186</v>
      </c>
      <c r="C110" s="374" t="s">
        <v>425</v>
      </c>
      <c r="D110" s="357" t="s">
        <v>149</v>
      </c>
      <c r="E110" s="357" t="s">
        <v>90</v>
      </c>
      <c r="F110" s="387" t="s">
        <v>304</v>
      </c>
      <c r="G110" s="388" t="s">
        <v>98</v>
      </c>
      <c r="H110" s="560" t="s">
        <v>92</v>
      </c>
      <c r="I110" s="561" t="s">
        <v>810</v>
      </c>
      <c r="J110" s="357" t="s">
        <v>187</v>
      </c>
      <c r="K110" s="377">
        <v>5000</v>
      </c>
      <c r="L110" s="252">
        <f>M110-K110</f>
        <v>0</v>
      </c>
      <c r="M110" s="377">
        <v>5000</v>
      </c>
      <c r="N110" s="377">
        <v>5000</v>
      </c>
    </row>
    <row r="111" spans="1:14" ht="18.75" x14ac:dyDescent="0.3">
      <c r="A111" s="2"/>
      <c r="B111" s="98"/>
      <c r="C111" s="99"/>
      <c r="D111" s="100"/>
      <c r="E111" s="100"/>
      <c r="F111" s="106"/>
      <c r="G111" s="106"/>
      <c r="H111" s="272"/>
      <c r="I111" s="273"/>
      <c r="J111" s="100"/>
      <c r="K111" s="252"/>
      <c r="L111" s="252"/>
      <c r="M111" s="252"/>
      <c r="N111" s="252"/>
    </row>
    <row r="112" spans="1:14" ht="33" customHeight="1" x14ac:dyDescent="0.3">
      <c r="A112" s="161">
        <v>3</v>
      </c>
      <c r="B112" s="93" t="s">
        <v>88</v>
      </c>
      <c r="C112" s="94" t="s">
        <v>197</v>
      </c>
      <c r="D112" s="95"/>
      <c r="E112" s="95"/>
      <c r="F112" s="96"/>
      <c r="G112" s="96"/>
      <c r="H112" s="96"/>
      <c r="I112" s="97"/>
      <c r="J112" s="95"/>
      <c r="K112" s="251">
        <f t="shared" ref="K112:N115" si="40">K113</f>
        <v>3798.6000000000004</v>
      </c>
      <c r="L112" s="251">
        <f t="shared" si="40"/>
        <v>0</v>
      </c>
      <c r="M112" s="251">
        <f t="shared" si="40"/>
        <v>3798.6000000000004</v>
      </c>
      <c r="N112" s="251">
        <f t="shared" si="40"/>
        <v>3798.6000000000004</v>
      </c>
    </row>
    <row r="113" spans="1:14" ht="18.75" x14ac:dyDescent="0.3">
      <c r="A113" s="2"/>
      <c r="B113" s="98" t="s">
        <v>89</v>
      </c>
      <c r="C113" s="99" t="s">
        <v>197</v>
      </c>
      <c r="D113" s="100" t="s">
        <v>90</v>
      </c>
      <c r="E113" s="100"/>
      <c r="F113" s="272"/>
      <c r="G113" s="272"/>
      <c r="H113" s="272"/>
      <c r="I113" s="273"/>
      <c r="J113" s="100"/>
      <c r="K113" s="252">
        <f t="shared" si="40"/>
        <v>3798.6000000000004</v>
      </c>
      <c r="L113" s="252">
        <f t="shared" si="40"/>
        <v>0</v>
      </c>
      <c r="M113" s="252">
        <f t="shared" si="40"/>
        <v>3798.6000000000004</v>
      </c>
      <c r="N113" s="252">
        <f t="shared" si="40"/>
        <v>3798.6000000000004</v>
      </c>
    </row>
    <row r="114" spans="1:14" ht="75" x14ac:dyDescent="0.3">
      <c r="A114" s="2"/>
      <c r="B114" s="98" t="s">
        <v>198</v>
      </c>
      <c r="C114" s="99" t="s">
        <v>197</v>
      </c>
      <c r="D114" s="100" t="s">
        <v>90</v>
      </c>
      <c r="E114" s="100" t="s">
        <v>141</v>
      </c>
      <c r="F114" s="272"/>
      <c r="G114" s="272"/>
      <c r="H114" s="272"/>
      <c r="I114" s="273"/>
      <c r="J114" s="100"/>
      <c r="K114" s="252">
        <f t="shared" si="40"/>
        <v>3798.6000000000004</v>
      </c>
      <c r="L114" s="252">
        <f t="shared" si="40"/>
        <v>0</v>
      </c>
      <c r="M114" s="252">
        <f t="shared" si="40"/>
        <v>3798.6000000000004</v>
      </c>
      <c r="N114" s="252">
        <f t="shared" si="40"/>
        <v>3798.6000000000004</v>
      </c>
    </row>
    <row r="115" spans="1:14" ht="56.25" x14ac:dyDescent="0.3">
      <c r="A115" s="2"/>
      <c r="B115" s="101" t="s">
        <v>199</v>
      </c>
      <c r="C115" s="99" t="s">
        <v>197</v>
      </c>
      <c r="D115" s="100" t="s">
        <v>90</v>
      </c>
      <c r="E115" s="100" t="s">
        <v>141</v>
      </c>
      <c r="F115" s="272" t="s">
        <v>200</v>
      </c>
      <c r="G115" s="272" t="s">
        <v>95</v>
      </c>
      <c r="H115" s="272" t="s">
        <v>96</v>
      </c>
      <c r="I115" s="273" t="s">
        <v>97</v>
      </c>
      <c r="J115" s="100"/>
      <c r="K115" s="252">
        <f t="shared" si="40"/>
        <v>3798.6000000000004</v>
      </c>
      <c r="L115" s="252">
        <f t="shared" si="40"/>
        <v>0</v>
      </c>
      <c r="M115" s="252">
        <f t="shared" si="40"/>
        <v>3798.6000000000004</v>
      </c>
      <c r="N115" s="252">
        <f t="shared" si="40"/>
        <v>3798.6000000000004</v>
      </c>
    </row>
    <row r="116" spans="1:14" ht="75" x14ac:dyDescent="0.3">
      <c r="A116" s="2"/>
      <c r="B116" s="101" t="s">
        <v>202</v>
      </c>
      <c r="C116" s="99" t="s">
        <v>197</v>
      </c>
      <c r="D116" s="100" t="s">
        <v>90</v>
      </c>
      <c r="E116" s="100" t="s">
        <v>141</v>
      </c>
      <c r="F116" s="272" t="s">
        <v>200</v>
      </c>
      <c r="G116" s="272" t="s">
        <v>98</v>
      </c>
      <c r="H116" s="272" t="s">
        <v>96</v>
      </c>
      <c r="I116" s="273" t="s">
        <v>97</v>
      </c>
      <c r="J116" s="100"/>
      <c r="K116" s="252">
        <f>K117+K120</f>
        <v>3798.6000000000004</v>
      </c>
      <c r="L116" s="252">
        <f>L117+L120</f>
        <v>0</v>
      </c>
      <c r="M116" s="252">
        <f>M117+M120</f>
        <v>3798.6000000000004</v>
      </c>
      <c r="N116" s="252">
        <f>N117+N120</f>
        <v>3798.6000000000004</v>
      </c>
    </row>
    <row r="117" spans="1:14" ht="37.5" x14ac:dyDescent="0.3">
      <c r="A117" s="2"/>
      <c r="B117" s="98" t="s">
        <v>201</v>
      </c>
      <c r="C117" s="99" t="s">
        <v>197</v>
      </c>
      <c r="D117" s="100" t="s">
        <v>90</v>
      </c>
      <c r="E117" s="100" t="s">
        <v>141</v>
      </c>
      <c r="F117" s="272" t="s">
        <v>200</v>
      </c>
      <c r="G117" s="272" t="s">
        <v>98</v>
      </c>
      <c r="H117" s="272" t="s">
        <v>90</v>
      </c>
      <c r="I117" s="273" t="s">
        <v>97</v>
      </c>
      <c r="J117" s="100"/>
      <c r="K117" s="252">
        <f t="shared" ref="K117:N118" si="41">K118</f>
        <v>1182.7</v>
      </c>
      <c r="L117" s="252">
        <f t="shared" si="41"/>
        <v>0</v>
      </c>
      <c r="M117" s="252">
        <f t="shared" si="41"/>
        <v>1182.7</v>
      </c>
      <c r="N117" s="252">
        <f t="shared" si="41"/>
        <v>1182.7</v>
      </c>
    </row>
    <row r="118" spans="1:14" ht="37.5" x14ac:dyDescent="0.3">
      <c r="A118" s="2"/>
      <c r="B118" s="98" t="s">
        <v>100</v>
      </c>
      <c r="C118" s="99" t="s">
        <v>197</v>
      </c>
      <c r="D118" s="100" t="s">
        <v>90</v>
      </c>
      <c r="E118" s="100" t="s">
        <v>141</v>
      </c>
      <c r="F118" s="272" t="s">
        <v>200</v>
      </c>
      <c r="G118" s="272" t="s">
        <v>98</v>
      </c>
      <c r="H118" s="272" t="s">
        <v>90</v>
      </c>
      <c r="I118" s="273" t="s">
        <v>101</v>
      </c>
      <c r="J118" s="100"/>
      <c r="K118" s="252">
        <f t="shared" si="41"/>
        <v>1182.7</v>
      </c>
      <c r="L118" s="252">
        <f t="shared" si="41"/>
        <v>0</v>
      </c>
      <c r="M118" s="252">
        <f t="shared" si="41"/>
        <v>1182.7</v>
      </c>
      <c r="N118" s="252">
        <f t="shared" si="41"/>
        <v>1182.7</v>
      </c>
    </row>
    <row r="119" spans="1:14" ht="87" customHeight="1" x14ac:dyDescent="0.3">
      <c r="A119" s="2"/>
      <c r="B119" s="101" t="s">
        <v>102</v>
      </c>
      <c r="C119" s="99" t="s">
        <v>197</v>
      </c>
      <c r="D119" s="100" t="s">
        <v>90</v>
      </c>
      <c r="E119" s="100" t="s">
        <v>141</v>
      </c>
      <c r="F119" s="272" t="s">
        <v>200</v>
      </c>
      <c r="G119" s="272" t="s">
        <v>98</v>
      </c>
      <c r="H119" s="272" t="s">
        <v>90</v>
      </c>
      <c r="I119" s="273" t="s">
        <v>101</v>
      </c>
      <c r="J119" s="100" t="s">
        <v>103</v>
      </c>
      <c r="K119" s="252">
        <v>1182.7</v>
      </c>
      <c r="L119" s="252">
        <f>M119-K119</f>
        <v>0</v>
      </c>
      <c r="M119" s="252">
        <v>1182.7</v>
      </c>
      <c r="N119" s="252">
        <v>1182.7</v>
      </c>
    </row>
    <row r="120" spans="1:14" ht="37.5" x14ac:dyDescent="0.3">
      <c r="A120" s="2"/>
      <c r="B120" s="98" t="s">
        <v>203</v>
      </c>
      <c r="C120" s="99" t="s">
        <v>197</v>
      </c>
      <c r="D120" s="100" t="s">
        <v>90</v>
      </c>
      <c r="E120" s="100" t="s">
        <v>141</v>
      </c>
      <c r="F120" s="272" t="s">
        <v>200</v>
      </c>
      <c r="G120" s="272" t="s">
        <v>98</v>
      </c>
      <c r="H120" s="272" t="s">
        <v>92</v>
      </c>
      <c r="I120" s="273" t="s">
        <v>97</v>
      </c>
      <c r="J120" s="100"/>
      <c r="K120" s="252">
        <f t="shared" ref="K120:N121" si="42">K121</f>
        <v>2615.9</v>
      </c>
      <c r="L120" s="252">
        <f t="shared" si="42"/>
        <v>0</v>
      </c>
      <c r="M120" s="252">
        <f t="shared" si="42"/>
        <v>2615.9</v>
      </c>
      <c r="N120" s="252">
        <f t="shared" si="42"/>
        <v>2615.9</v>
      </c>
    </row>
    <row r="121" spans="1:14" ht="37.5" x14ac:dyDescent="0.3">
      <c r="A121" s="2"/>
      <c r="B121" s="98" t="s">
        <v>100</v>
      </c>
      <c r="C121" s="99" t="s">
        <v>197</v>
      </c>
      <c r="D121" s="100" t="s">
        <v>90</v>
      </c>
      <c r="E121" s="100" t="s">
        <v>141</v>
      </c>
      <c r="F121" s="272" t="s">
        <v>200</v>
      </c>
      <c r="G121" s="272" t="s">
        <v>98</v>
      </c>
      <c r="H121" s="272" t="s">
        <v>92</v>
      </c>
      <c r="I121" s="273" t="s">
        <v>101</v>
      </c>
      <c r="J121" s="100"/>
      <c r="K121" s="252">
        <f t="shared" si="42"/>
        <v>2615.9</v>
      </c>
      <c r="L121" s="252">
        <f t="shared" si="42"/>
        <v>0</v>
      </c>
      <c r="M121" s="252">
        <f t="shared" si="42"/>
        <v>2615.9</v>
      </c>
      <c r="N121" s="252">
        <f t="shared" si="42"/>
        <v>2615.9</v>
      </c>
    </row>
    <row r="122" spans="1:14" ht="87" customHeight="1" x14ac:dyDescent="0.3">
      <c r="A122" s="2"/>
      <c r="B122" s="98" t="s">
        <v>102</v>
      </c>
      <c r="C122" s="99" t="s">
        <v>197</v>
      </c>
      <c r="D122" s="100" t="s">
        <v>90</v>
      </c>
      <c r="E122" s="100" t="s">
        <v>141</v>
      </c>
      <c r="F122" s="272" t="s">
        <v>200</v>
      </c>
      <c r="G122" s="272" t="s">
        <v>98</v>
      </c>
      <c r="H122" s="272" t="s">
        <v>92</v>
      </c>
      <c r="I122" s="273" t="s">
        <v>101</v>
      </c>
      <c r="J122" s="100" t="s">
        <v>103</v>
      </c>
      <c r="K122" s="252">
        <v>2615.9</v>
      </c>
      <c r="L122" s="252">
        <f>M122-K122</f>
        <v>0</v>
      </c>
      <c r="M122" s="252">
        <v>2615.9</v>
      </c>
      <c r="N122" s="252">
        <v>2615.9</v>
      </c>
    </row>
    <row r="123" spans="1:14" ht="18.75" x14ac:dyDescent="0.3">
      <c r="A123" s="2"/>
      <c r="B123" s="98"/>
      <c r="C123" s="99"/>
      <c r="D123" s="100"/>
      <c r="E123" s="100"/>
      <c r="F123" s="272"/>
      <c r="G123" s="272"/>
      <c r="H123" s="272"/>
      <c r="I123" s="273"/>
      <c r="J123" s="100"/>
      <c r="K123" s="252"/>
      <c r="L123" s="252"/>
      <c r="M123" s="252"/>
      <c r="N123" s="252"/>
    </row>
    <row r="124" spans="1:14" s="78" customFormat="1" ht="56.25" x14ac:dyDescent="0.3">
      <c r="A124" s="162">
        <v>4</v>
      </c>
      <c r="B124" s="107" t="s">
        <v>36</v>
      </c>
      <c r="C124" s="108" t="s">
        <v>417</v>
      </c>
      <c r="D124" s="109"/>
      <c r="E124" s="109"/>
      <c r="F124" s="110"/>
      <c r="G124" s="110"/>
      <c r="H124" s="110"/>
      <c r="I124" s="111"/>
      <c r="J124" s="109"/>
      <c r="K124" s="253">
        <f t="shared" ref="K124" si="43">K125+K142</f>
        <v>52045.8</v>
      </c>
      <c r="L124" s="253">
        <f t="shared" ref="L124:N124" si="44">L125+L142</f>
        <v>0</v>
      </c>
      <c r="M124" s="253">
        <f t="shared" si="44"/>
        <v>52045.799999999996</v>
      </c>
      <c r="N124" s="253">
        <f t="shared" si="44"/>
        <v>53172.100000000006</v>
      </c>
    </row>
    <row r="125" spans="1:14" s="80" customFormat="1" ht="18.75" x14ac:dyDescent="0.3">
      <c r="A125" s="163"/>
      <c r="B125" s="112" t="s">
        <v>89</v>
      </c>
      <c r="C125" s="113" t="s">
        <v>417</v>
      </c>
      <c r="D125" s="114" t="s">
        <v>90</v>
      </c>
      <c r="E125" s="115"/>
      <c r="F125" s="116"/>
      <c r="G125" s="116"/>
      <c r="H125" s="116"/>
      <c r="I125" s="117"/>
      <c r="J125" s="115"/>
      <c r="K125" s="254">
        <f>K126</f>
        <v>20979.599999999999</v>
      </c>
      <c r="L125" s="254">
        <f>L126</f>
        <v>0</v>
      </c>
      <c r="M125" s="254">
        <f>M126</f>
        <v>20979.599999999999</v>
      </c>
      <c r="N125" s="254">
        <f>N126</f>
        <v>20811.5</v>
      </c>
    </row>
    <row r="126" spans="1:14" s="77" customFormat="1" ht="18.75" x14ac:dyDescent="0.3">
      <c r="A126" s="163"/>
      <c r="B126" s="112" t="s">
        <v>129</v>
      </c>
      <c r="C126" s="113" t="s">
        <v>417</v>
      </c>
      <c r="D126" s="114" t="s">
        <v>90</v>
      </c>
      <c r="E126" s="114" t="s">
        <v>130</v>
      </c>
      <c r="F126" s="116"/>
      <c r="G126" s="116"/>
      <c r="H126" s="116"/>
      <c r="I126" s="117"/>
      <c r="J126" s="115"/>
      <c r="K126" s="254">
        <f t="shared" ref="K126" si="45">K127+K136</f>
        <v>20979.599999999999</v>
      </c>
      <c r="L126" s="254">
        <f>L127+L136</f>
        <v>0</v>
      </c>
      <c r="M126" s="254">
        <f t="shared" ref="M126:N126" si="46">M127+M136</f>
        <v>20979.599999999999</v>
      </c>
      <c r="N126" s="254">
        <f t="shared" si="46"/>
        <v>20811.5</v>
      </c>
    </row>
    <row r="127" spans="1:14" s="80" customFormat="1" ht="56.25" x14ac:dyDescent="0.3">
      <c r="A127" s="163"/>
      <c r="B127" s="112" t="s">
        <v>305</v>
      </c>
      <c r="C127" s="113" t="s">
        <v>417</v>
      </c>
      <c r="D127" s="114" t="s">
        <v>90</v>
      </c>
      <c r="E127" s="114" t="s">
        <v>130</v>
      </c>
      <c r="F127" s="130" t="s">
        <v>306</v>
      </c>
      <c r="G127" s="116" t="s">
        <v>95</v>
      </c>
      <c r="H127" s="116" t="s">
        <v>96</v>
      </c>
      <c r="I127" s="117" t="s">
        <v>97</v>
      </c>
      <c r="J127" s="115"/>
      <c r="K127" s="254">
        <f t="shared" ref="K127:N127" si="47">K128</f>
        <v>15869.7</v>
      </c>
      <c r="L127" s="254">
        <f>L128</f>
        <v>0</v>
      </c>
      <c r="M127" s="254">
        <f t="shared" si="47"/>
        <v>15869.7</v>
      </c>
      <c r="N127" s="254">
        <f t="shared" si="47"/>
        <v>15772.8</v>
      </c>
    </row>
    <row r="128" spans="1:14" s="77" customFormat="1" ht="37.5" x14ac:dyDescent="0.3">
      <c r="A128" s="163"/>
      <c r="B128" s="112" t="s">
        <v>309</v>
      </c>
      <c r="C128" s="113" t="s">
        <v>417</v>
      </c>
      <c r="D128" s="114" t="s">
        <v>90</v>
      </c>
      <c r="E128" s="114" t="s">
        <v>130</v>
      </c>
      <c r="F128" s="130" t="s">
        <v>306</v>
      </c>
      <c r="G128" s="116" t="s">
        <v>150</v>
      </c>
      <c r="H128" s="116" t="s">
        <v>96</v>
      </c>
      <c r="I128" s="117" t="s">
        <v>97</v>
      </c>
      <c r="J128" s="115"/>
      <c r="K128" s="254">
        <f>K129</f>
        <v>15869.7</v>
      </c>
      <c r="L128" s="254">
        <f>L129</f>
        <v>0</v>
      </c>
      <c r="M128" s="254">
        <f>M129</f>
        <v>15869.7</v>
      </c>
      <c r="N128" s="254">
        <f>N129</f>
        <v>15772.8</v>
      </c>
    </row>
    <row r="129" spans="1:16" s="79" customFormat="1" ht="93.75" x14ac:dyDescent="0.3">
      <c r="A129" s="163"/>
      <c r="B129" s="112" t="s">
        <v>424</v>
      </c>
      <c r="C129" s="113" t="s">
        <v>417</v>
      </c>
      <c r="D129" s="114" t="s">
        <v>90</v>
      </c>
      <c r="E129" s="114" t="s">
        <v>130</v>
      </c>
      <c r="F129" s="130" t="s">
        <v>306</v>
      </c>
      <c r="G129" s="116" t="s">
        <v>150</v>
      </c>
      <c r="H129" s="116" t="s">
        <v>90</v>
      </c>
      <c r="I129" s="117" t="s">
        <v>97</v>
      </c>
      <c r="J129" s="115"/>
      <c r="K129" s="254">
        <f>K130+K132</f>
        <v>15869.7</v>
      </c>
      <c r="L129" s="254">
        <f>L130+L132</f>
        <v>0</v>
      </c>
      <c r="M129" s="254">
        <f>M130+M132</f>
        <v>15869.7</v>
      </c>
      <c r="N129" s="254">
        <f>N130+N132</f>
        <v>15772.8</v>
      </c>
    </row>
    <row r="130" spans="1:16" s="77" customFormat="1" ht="37.5" x14ac:dyDescent="0.3">
      <c r="A130" s="163"/>
      <c r="B130" s="112" t="s">
        <v>100</v>
      </c>
      <c r="C130" s="113" t="s">
        <v>417</v>
      </c>
      <c r="D130" s="114" t="s">
        <v>90</v>
      </c>
      <c r="E130" s="114" t="s">
        <v>130</v>
      </c>
      <c r="F130" s="237" t="s">
        <v>306</v>
      </c>
      <c r="G130" s="119" t="s">
        <v>150</v>
      </c>
      <c r="H130" s="119" t="s">
        <v>90</v>
      </c>
      <c r="I130" s="120" t="s">
        <v>101</v>
      </c>
      <c r="J130" s="115"/>
      <c r="K130" s="254">
        <f>SUM(K131)</f>
        <v>11788.5</v>
      </c>
      <c r="L130" s="254">
        <f>SUM(L131)</f>
        <v>0</v>
      </c>
      <c r="M130" s="254">
        <f>SUM(M131)</f>
        <v>11788.5</v>
      </c>
      <c r="N130" s="254">
        <f>SUM(N131)</f>
        <v>11788.5</v>
      </c>
    </row>
    <row r="131" spans="1:16" s="80" customFormat="1" ht="87.6" customHeight="1" x14ac:dyDescent="0.3">
      <c r="A131" s="163"/>
      <c r="B131" s="112" t="s">
        <v>102</v>
      </c>
      <c r="C131" s="113" t="s">
        <v>417</v>
      </c>
      <c r="D131" s="114" t="s">
        <v>90</v>
      </c>
      <c r="E131" s="114" t="s">
        <v>130</v>
      </c>
      <c r="F131" s="130" t="s">
        <v>306</v>
      </c>
      <c r="G131" s="116" t="s">
        <v>150</v>
      </c>
      <c r="H131" s="116" t="s">
        <v>90</v>
      </c>
      <c r="I131" s="117" t="s">
        <v>101</v>
      </c>
      <c r="J131" s="115" t="s">
        <v>103</v>
      </c>
      <c r="K131" s="254">
        <v>11788.5</v>
      </c>
      <c r="L131" s="252">
        <f>M131-K131</f>
        <v>0</v>
      </c>
      <c r="M131" s="254">
        <v>11788.5</v>
      </c>
      <c r="N131" s="254">
        <v>11788.5</v>
      </c>
    </row>
    <row r="132" spans="1:16" s="80" customFormat="1" ht="70.150000000000006" customHeight="1" x14ac:dyDescent="0.3">
      <c r="A132" s="163"/>
      <c r="B132" s="112" t="s">
        <v>151</v>
      </c>
      <c r="C132" s="113" t="s">
        <v>417</v>
      </c>
      <c r="D132" s="114" t="s">
        <v>90</v>
      </c>
      <c r="E132" s="114" t="s">
        <v>130</v>
      </c>
      <c r="F132" s="130" t="s">
        <v>306</v>
      </c>
      <c r="G132" s="116" t="s">
        <v>150</v>
      </c>
      <c r="H132" s="116" t="s">
        <v>90</v>
      </c>
      <c r="I132" s="117" t="s">
        <v>153</v>
      </c>
      <c r="J132" s="115"/>
      <c r="K132" s="254">
        <f t="shared" ref="K132" si="48">SUM(K133:K135)</f>
        <v>4081.2000000000003</v>
      </c>
      <c r="L132" s="254">
        <f>SUM(L133:L135)</f>
        <v>0</v>
      </c>
      <c r="M132" s="254">
        <f t="shared" ref="M132:N132" si="49">SUM(M133:M135)</f>
        <v>4081.2000000000003</v>
      </c>
      <c r="N132" s="254">
        <f t="shared" si="49"/>
        <v>3984.3</v>
      </c>
      <c r="P132" s="81"/>
    </row>
    <row r="133" spans="1:16" s="80" customFormat="1" ht="89.45" customHeight="1" x14ac:dyDescent="0.3">
      <c r="A133" s="163"/>
      <c r="B133" s="112" t="s">
        <v>102</v>
      </c>
      <c r="C133" s="113" t="s">
        <v>417</v>
      </c>
      <c r="D133" s="114" t="s">
        <v>90</v>
      </c>
      <c r="E133" s="114" t="s">
        <v>130</v>
      </c>
      <c r="F133" s="130" t="s">
        <v>306</v>
      </c>
      <c r="G133" s="116" t="s">
        <v>150</v>
      </c>
      <c r="H133" s="116" t="s">
        <v>90</v>
      </c>
      <c r="I133" s="117" t="s">
        <v>153</v>
      </c>
      <c r="J133" s="115" t="s">
        <v>103</v>
      </c>
      <c r="K133" s="254">
        <v>3984.3</v>
      </c>
      <c r="L133" s="252">
        <f t="shared" ref="L133:L135" si="50">M133-K133</f>
        <v>0</v>
      </c>
      <c r="M133" s="254">
        <v>3984.3</v>
      </c>
      <c r="N133" s="254">
        <v>3984.3</v>
      </c>
      <c r="P133" s="81"/>
    </row>
    <row r="134" spans="1:16" s="401" customFormat="1" ht="33" customHeight="1" x14ac:dyDescent="0.3">
      <c r="A134" s="394"/>
      <c r="B134" s="373" t="s">
        <v>108</v>
      </c>
      <c r="C134" s="395" t="s">
        <v>417</v>
      </c>
      <c r="D134" s="396" t="s">
        <v>90</v>
      </c>
      <c r="E134" s="396" t="s">
        <v>130</v>
      </c>
      <c r="F134" s="403" t="s">
        <v>306</v>
      </c>
      <c r="G134" s="404" t="s">
        <v>150</v>
      </c>
      <c r="H134" s="404" t="s">
        <v>90</v>
      </c>
      <c r="I134" s="405" t="s">
        <v>153</v>
      </c>
      <c r="J134" s="397" t="s">
        <v>109</v>
      </c>
      <c r="K134" s="521">
        <v>69.5</v>
      </c>
      <c r="L134" s="252">
        <f t="shared" si="50"/>
        <v>0</v>
      </c>
      <c r="M134" s="521">
        <v>69.5</v>
      </c>
      <c r="N134" s="521">
        <v>0</v>
      </c>
    </row>
    <row r="135" spans="1:16" s="401" customFormat="1" ht="18.75" x14ac:dyDescent="0.3">
      <c r="A135" s="394"/>
      <c r="B135" s="386" t="s">
        <v>110</v>
      </c>
      <c r="C135" s="395" t="s">
        <v>417</v>
      </c>
      <c r="D135" s="396" t="s">
        <v>90</v>
      </c>
      <c r="E135" s="396" t="s">
        <v>130</v>
      </c>
      <c r="F135" s="412" t="s">
        <v>306</v>
      </c>
      <c r="G135" s="399" t="s">
        <v>150</v>
      </c>
      <c r="H135" s="399" t="s">
        <v>90</v>
      </c>
      <c r="I135" s="400" t="s">
        <v>153</v>
      </c>
      <c r="J135" s="397" t="s">
        <v>111</v>
      </c>
      <c r="K135" s="521">
        <v>27.4</v>
      </c>
      <c r="L135" s="252">
        <f t="shared" si="50"/>
        <v>0</v>
      </c>
      <c r="M135" s="521">
        <v>27.4</v>
      </c>
      <c r="N135" s="521">
        <v>0</v>
      </c>
      <c r="O135" s="415"/>
    </row>
    <row r="136" spans="1:16" s="80" customFormat="1" ht="56.25" x14ac:dyDescent="0.3">
      <c r="A136" s="163"/>
      <c r="B136" s="112" t="s">
        <v>93</v>
      </c>
      <c r="C136" s="113" t="s">
        <v>417</v>
      </c>
      <c r="D136" s="114" t="s">
        <v>90</v>
      </c>
      <c r="E136" s="114" t="s">
        <v>130</v>
      </c>
      <c r="F136" s="130" t="s">
        <v>94</v>
      </c>
      <c r="G136" s="116" t="s">
        <v>95</v>
      </c>
      <c r="H136" s="116" t="s">
        <v>96</v>
      </c>
      <c r="I136" s="117" t="s">
        <v>97</v>
      </c>
      <c r="J136" s="115"/>
      <c r="K136" s="254">
        <f>K137</f>
        <v>5109.8999999999996</v>
      </c>
      <c r="L136" s="254">
        <f>L137</f>
        <v>0</v>
      </c>
      <c r="M136" s="254">
        <f>M137</f>
        <v>5109.8999999999996</v>
      </c>
      <c r="N136" s="254">
        <f>N137</f>
        <v>5038.7</v>
      </c>
      <c r="P136" s="81"/>
    </row>
    <row r="137" spans="1:16" s="80" customFormat="1" ht="37.5" x14ac:dyDescent="0.3">
      <c r="A137" s="163"/>
      <c r="B137" s="98" t="s">
        <v>491</v>
      </c>
      <c r="C137" s="113" t="s">
        <v>417</v>
      </c>
      <c r="D137" s="114" t="s">
        <v>90</v>
      </c>
      <c r="E137" s="114" t="s">
        <v>130</v>
      </c>
      <c r="F137" s="130" t="s">
        <v>94</v>
      </c>
      <c r="G137" s="116" t="s">
        <v>98</v>
      </c>
      <c r="H137" s="116" t="s">
        <v>96</v>
      </c>
      <c r="I137" s="117" t="s">
        <v>97</v>
      </c>
      <c r="J137" s="115"/>
      <c r="K137" s="254">
        <f t="shared" ref="K137:N138" si="51">K138</f>
        <v>5109.8999999999996</v>
      </c>
      <c r="L137" s="254">
        <f t="shared" si="51"/>
        <v>0</v>
      </c>
      <c r="M137" s="254">
        <f t="shared" si="51"/>
        <v>5109.8999999999996</v>
      </c>
      <c r="N137" s="254">
        <f t="shared" si="51"/>
        <v>5038.7</v>
      </c>
      <c r="P137" s="81"/>
    </row>
    <row r="138" spans="1:16" s="80" customFormat="1" ht="75" x14ac:dyDescent="0.3">
      <c r="A138" s="163"/>
      <c r="B138" s="112" t="s">
        <v>420</v>
      </c>
      <c r="C138" s="113" t="s">
        <v>417</v>
      </c>
      <c r="D138" s="114" t="s">
        <v>90</v>
      </c>
      <c r="E138" s="114" t="s">
        <v>130</v>
      </c>
      <c r="F138" s="130" t="s">
        <v>94</v>
      </c>
      <c r="G138" s="116" t="s">
        <v>98</v>
      </c>
      <c r="H138" s="116" t="s">
        <v>141</v>
      </c>
      <c r="I138" s="117" t="s">
        <v>97</v>
      </c>
      <c r="J138" s="115"/>
      <c r="K138" s="254">
        <f t="shared" si="51"/>
        <v>5109.8999999999996</v>
      </c>
      <c r="L138" s="254">
        <f t="shared" si="51"/>
        <v>0</v>
      </c>
      <c r="M138" s="254">
        <f t="shared" si="51"/>
        <v>5109.8999999999996</v>
      </c>
      <c r="N138" s="254">
        <f t="shared" si="51"/>
        <v>5038.7</v>
      </c>
      <c r="P138" s="81"/>
    </row>
    <row r="139" spans="1:16" s="80" customFormat="1" ht="69.599999999999994" customHeight="1" x14ac:dyDescent="0.3">
      <c r="A139" s="163"/>
      <c r="B139" s="112" t="s">
        <v>151</v>
      </c>
      <c r="C139" s="113" t="s">
        <v>417</v>
      </c>
      <c r="D139" s="114" t="s">
        <v>90</v>
      </c>
      <c r="E139" s="114" t="s">
        <v>130</v>
      </c>
      <c r="F139" s="130" t="s">
        <v>94</v>
      </c>
      <c r="G139" s="116" t="s">
        <v>98</v>
      </c>
      <c r="H139" s="116" t="s">
        <v>141</v>
      </c>
      <c r="I139" s="117" t="s">
        <v>153</v>
      </c>
      <c r="J139" s="115"/>
      <c r="K139" s="254">
        <f t="shared" ref="K139" si="52">SUM(K140:K141)</f>
        <v>5109.8999999999996</v>
      </c>
      <c r="L139" s="254">
        <f>SUM(L140:L141)</f>
        <v>0</v>
      </c>
      <c r="M139" s="254">
        <f t="shared" ref="M139:N139" si="53">SUM(M140:M141)</f>
        <v>5109.8999999999996</v>
      </c>
      <c r="N139" s="254">
        <f t="shared" si="53"/>
        <v>5038.7</v>
      </c>
      <c r="P139" s="81"/>
    </row>
    <row r="140" spans="1:16" s="80" customFormat="1" ht="85.9" customHeight="1" x14ac:dyDescent="0.3">
      <c r="A140" s="163"/>
      <c r="B140" s="112" t="s">
        <v>102</v>
      </c>
      <c r="C140" s="113" t="s">
        <v>417</v>
      </c>
      <c r="D140" s="114" t="s">
        <v>90</v>
      </c>
      <c r="E140" s="114" t="s">
        <v>130</v>
      </c>
      <c r="F140" s="130" t="s">
        <v>94</v>
      </c>
      <c r="G140" s="116" t="s">
        <v>98</v>
      </c>
      <c r="H140" s="116" t="s">
        <v>141</v>
      </c>
      <c r="I140" s="117" t="s">
        <v>153</v>
      </c>
      <c r="J140" s="115" t="s">
        <v>103</v>
      </c>
      <c r="K140" s="254">
        <v>5038.7</v>
      </c>
      <c r="L140" s="252">
        <f t="shared" ref="L140:L141" si="54">M140-K140</f>
        <v>0</v>
      </c>
      <c r="M140" s="254">
        <v>5038.7</v>
      </c>
      <c r="N140" s="254">
        <v>5038.7</v>
      </c>
      <c r="P140" s="81"/>
    </row>
    <row r="141" spans="1:16" s="401" customFormat="1" ht="33" customHeight="1" x14ac:dyDescent="0.3">
      <c r="A141" s="394"/>
      <c r="B141" s="373" t="s">
        <v>108</v>
      </c>
      <c r="C141" s="395" t="s">
        <v>417</v>
      </c>
      <c r="D141" s="396" t="s">
        <v>90</v>
      </c>
      <c r="E141" s="396" t="s">
        <v>130</v>
      </c>
      <c r="F141" s="412" t="s">
        <v>94</v>
      </c>
      <c r="G141" s="399" t="s">
        <v>98</v>
      </c>
      <c r="H141" s="399" t="s">
        <v>141</v>
      </c>
      <c r="I141" s="400" t="s">
        <v>153</v>
      </c>
      <c r="J141" s="397" t="s">
        <v>109</v>
      </c>
      <c r="K141" s="521">
        <v>71.2</v>
      </c>
      <c r="L141" s="252">
        <f t="shared" si="54"/>
        <v>0</v>
      </c>
      <c r="M141" s="521">
        <v>71.2</v>
      </c>
      <c r="N141" s="521">
        <v>0</v>
      </c>
      <c r="O141" s="415"/>
    </row>
    <row r="142" spans="1:16" s="423" customFormat="1" ht="18.75" x14ac:dyDescent="0.3">
      <c r="A142" s="425"/>
      <c r="B142" s="382" t="s">
        <v>182</v>
      </c>
      <c r="C142" s="395" t="s">
        <v>417</v>
      </c>
      <c r="D142" s="396" t="s">
        <v>167</v>
      </c>
      <c r="E142" s="396"/>
      <c r="F142" s="406"/>
      <c r="G142" s="436"/>
      <c r="H142" s="436"/>
      <c r="I142" s="437"/>
      <c r="J142" s="438"/>
      <c r="K142" s="439">
        <f t="shared" ref="K142:N147" si="55">K143</f>
        <v>31066.2</v>
      </c>
      <c r="L142" s="439">
        <f>L143</f>
        <v>0</v>
      </c>
      <c r="M142" s="439">
        <f t="shared" si="55"/>
        <v>31066.199999999997</v>
      </c>
      <c r="N142" s="439">
        <f t="shared" si="55"/>
        <v>32360.600000000002</v>
      </c>
      <c r="P142" s="424"/>
    </row>
    <row r="143" spans="1:16" s="423" customFormat="1" ht="18.75" x14ac:dyDescent="0.3">
      <c r="A143" s="425"/>
      <c r="B143" s="382" t="s">
        <v>272</v>
      </c>
      <c r="C143" s="395" t="s">
        <v>417</v>
      </c>
      <c r="D143" s="396" t="s">
        <v>167</v>
      </c>
      <c r="E143" s="396" t="s">
        <v>105</v>
      </c>
      <c r="F143" s="406"/>
      <c r="G143" s="436"/>
      <c r="H143" s="436"/>
      <c r="I143" s="437"/>
      <c r="J143" s="438"/>
      <c r="K143" s="439">
        <f t="shared" si="55"/>
        <v>31066.2</v>
      </c>
      <c r="L143" s="439">
        <f t="shared" si="55"/>
        <v>0</v>
      </c>
      <c r="M143" s="439">
        <f t="shared" si="55"/>
        <v>31066.199999999997</v>
      </c>
      <c r="N143" s="439">
        <f t="shared" si="55"/>
        <v>32360.600000000002</v>
      </c>
      <c r="P143" s="424"/>
    </row>
    <row r="144" spans="1:16" s="423" customFormat="1" ht="56.25" x14ac:dyDescent="0.3">
      <c r="A144" s="425"/>
      <c r="B144" s="386" t="s">
        <v>407</v>
      </c>
      <c r="C144" s="395" t="s">
        <v>417</v>
      </c>
      <c r="D144" s="396" t="s">
        <v>167</v>
      </c>
      <c r="E144" s="396" t="s">
        <v>105</v>
      </c>
      <c r="F144" s="501" t="s">
        <v>139</v>
      </c>
      <c r="G144" s="502" t="s">
        <v>95</v>
      </c>
      <c r="H144" s="502" t="s">
        <v>96</v>
      </c>
      <c r="I144" s="503" t="s">
        <v>97</v>
      </c>
      <c r="J144" s="438"/>
      <c r="K144" s="439">
        <f t="shared" si="55"/>
        <v>31066.2</v>
      </c>
      <c r="L144" s="439">
        <f t="shared" si="55"/>
        <v>0</v>
      </c>
      <c r="M144" s="439">
        <f t="shared" si="55"/>
        <v>31066.199999999997</v>
      </c>
      <c r="N144" s="439">
        <f t="shared" si="55"/>
        <v>32360.600000000002</v>
      </c>
      <c r="P144" s="424"/>
    </row>
    <row r="145" spans="1:17" s="423" customFormat="1" ht="37.5" x14ac:dyDescent="0.3">
      <c r="A145" s="425"/>
      <c r="B145" s="373" t="s">
        <v>491</v>
      </c>
      <c r="C145" s="395" t="s">
        <v>417</v>
      </c>
      <c r="D145" s="396" t="s">
        <v>167</v>
      </c>
      <c r="E145" s="396" t="s">
        <v>105</v>
      </c>
      <c r="F145" s="406" t="s">
        <v>139</v>
      </c>
      <c r="G145" s="436" t="s">
        <v>98</v>
      </c>
      <c r="H145" s="502" t="s">
        <v>96</v>
      </c>
      <c r="I145" s="503" t="s">
        <v>97</v>
      </c>
      <c r="J145" s="438"/>
      <c r="K145" s="439">
        <f t="shared" si="55"/>
        <v>31066.2</v>
      </c>
      <c r="L145" s="439">
        <f t="shared" si="55"/>
        <v>0</v>
      </c>
      <c r="M145" s="439">
        <f t="shared" si="55"/>
        <v>31066.199999999997</v>
      </c>
      <c r="N145" s="439">
        <f t="shared" si="55"/>
        <v>32360.600000000002</v>
      </c>
      <c r="P145" s="424"/>
    </row>
    <row r="146" spans="1:17" s="423" customFormat="1" ht="73.900000000000006" customHeight="1" x14ac:dyDescent="0.3">
      <c r="A146" s="425"/>
      <c r="B146" s="386" t="s">
        <v>421</v>
      </c>
      <c r="C146" s="395" t="s">
        <v>417</v>
      </c>
      <c r="D146" s="396" t="s">
        <v>167</v>
      </c>
      <c r="E146" s="396" t="s">
        <v>105</v>
      </c>
      <c r="F146" s="406" t="s">
        <v>139</v>
      </c>
      <c r="G146" s="436" t="s">
        <v>98</v>
      </c>
      <c r="H146" s="436" t="s">
        <v>92</v>
      </c>
      <c r="I146" s="503" t="s">
        <v>97</v>
      </c>
      <c r="J146" s="450"/>
      <c r="K146" s="439">
        <f t="shared" si="55"/>
        <v>31066.2</v>
      </c>
      <c r="L146" s="439">
        <f>L147+L149+L151</f>
        <v>0</v>
      </c>
      <c r="M146" s="439">
        <f>M147+M149+M151</f>
        <v>31066.199999999997</v>
      </c>
      <c r="N146" s="439">
        <f>N147+N149+N151</f>
        <v>32360.600000000002</v>
      </c>
      <c r="P146" s="424"/>
    </row>
    <row r="147" spans="1:17" s="423" customFormat="1" ht="206.25" x14ac:dyDescent="0.3">
      <c r="A147" s="425"/>
      <c r="B147" s="386" t="s">
        <v>645</v>
      </c>
      <c r="C147" s="395" t="s">
        <v>417</v>
      </c>
      <c r="D147" s="396" t="s">
        <v>167</v>
      </c>
      <c r="E147" s="396" t="s">
        <v>105</v>
      </c>
      <c r="F147" s="406" t="s">
        <v>139</v>
      </c>
      <c r="G147" s="436" t="s">
        <v>98</v>
      </c>
      <c r="H147" s="436" t="s">
        <v>92</v>
      </c>
      <c r="I147" s="444" t="s">
        <v>637</v>
      </c>
      <c r="J147" s="438"/>
      <c r="K147" s="439">
        <f t="shared" si="55"/>
        <v>31066.2</v>
      </c>
      <c r="L147" s="439">
        <f t="shared" si="55"/>
        <v>-31066.2</v>
      </c>
      <c r="M147" s="439">
        <f t="shared" si="55"/>
        <v>0</v>
      </c>
      <c r="N147" s="439">
        <f t="shared" si="55"/>
        <v>0</v>
      </c>
      <c r="P147" s="424"/>
    </row>
    <row r="148" spans="1:17" s="423" customFormat="1" ht="56.25" x14ac:dyDescent="0.3">
      <c r="A148" s="425"/>
      <c r="B148" s="386" t="s">
        <v>282</v>
      </c>
      <c r="C148" s="395" t="s">
        <v>417</v>
      </c>
      <c r="D148" s="396" t="s">
        <v>167</v>
      </c>
      <c r="E148" s="396" t="s">
        <v>105</v>
      </c>
      <c r="F148" s="406" t="s">
        <v>139</v>
      </c>
      <c r="G148" s="436" t="s">
        <v>98</v>
      </c>
      <c r="H148" s="436" t="s">
        <v>92</v>
      </c>
      <c r="I148" s="444" t="s">
        <v>637</v>
      </c>
      <c r="J148" s="451" t="s">
        <v>283</v>
      </c>
      <c r="K148" s="525">
        <v>31066.2</v>
      </c>
      <c r="L148" s="252">
        <f>M148-K148</f>
        <v>-31066.2</v>
      </c>
      <c r="M148" s="525">
        <f>31066.2-31066.2</f>
        <v>0</v>
      </c>
      <c r="N148" s="525">
        <f>32360.6-32360.6</f>
        <v>0</v>
      </c>
      <c r="P148" s="424"/>
    </row>
    <row r="149" spans="1:17" s="423" customFormat="1" ht="112.5" x14ac:dyDescent="0.3">
      <c r="A149" s="425"/>
      <c r="B149" s="386" t="s">
        <v>422</v>
      </c>
      <c r="C149" s="395" t="s">
        <v>417</v>
      </c>
      <c r="D149" s="396" t="s">
        <v>167</v>
      </c>
      <c r="E149" s="396" t="s">
        <v>105</v>
      </c>
      <c r="F149" s="406" t="s">
        <v>139</v>
      </c>
      <c r="G149" s="436" t="s">
        <v>98</v>
      </c>
      <c r="H149" s="436" t="s">
        <v>92</v>
      </c>
      <c r="I149" s="444" t="s">
        <v>423</v>
      </c>
      <c r="J149" s="451"/>
      <c r="K149" s="439"/>
      <c r="L149" s="377">
        <f>L150</f>
        <v>7759.1</v>
      </c>
      <c r="M149" s="377">
        <f>M150</f>
        <v>7759.1</v>
      </c>
      <c r="N149" s="377">
        <f>N150</f>
        <v>9052.2000000000007</v>
      </c>
      <c r="O149" s="424"/>
    </row>
    <row r="150" spans="1:17" s="909" customFormat="1" ht="56.25" x14ac:dyDescent="0.3">
      <c r="A150" s="900"/>
      <c r="B150" s="386" t="s">
        <v>282</v>
      </c>
      <c r="C150" s="901" t="s">
        <v>417</v>
      </c>
      <c r="D150" s="902" t="s">
        <v>167</v>
      </c>
      <c r="E150" s="902" t="s">
        <v>105</v>
      </c>
      <c r="F150" s="903" t="s">
        <v>139</v>
      </c>
      <c r="G150" s="904" t="s">
        <v>98</v>
      </c>
      <c r="H150" s="904" t="s">
        <v>92</v>
      </c>
      <c r="I150" s="905" t="s">
        <v>423</v>
      </c>
      <c r="J150" s="906" t="s">
        <v>283</v>
      </c>
      <c r="K150" s="907"/>
      <c r="L150" s="252">
        <f>M150-K150</f>
        <v>7759.1</v>
      </c>
      <c r="M150" s="907">
        <v>7759.1</v>
      </c>
      <c r="N150" s="907">
        <v>9052.2000000000007</v>
      </c>
      <c r="O150" s="908"/>
    </row>
    <row r="151" spans="1:17" s="423" customFormat="1" ht="112.5" x14ac:dyDescent="0.3">
      <c r="A151" s="425"/>
      <c r="B151" s="386" t="s">
        <v>422</v>
      </c>
      <c r="C151" s="395" t="s">
        <v>417</v>
      </c>
      <c r="D151" s="396" t="s">
        <v>167</v>
      </c>
      <c r="E151" s="396" t="s">
        <v>105</v>
      </c>
      <c r="F151" s="406" t="s">
        <v>139</v>
      </c>
      <c r="G151" s="436" t="s">
        <v>98</v>
      </c>
      <c r="H151" s="436" t="s">
        <v>92</v>
      </c>
      <c r="I151" s="444" t="s">
        <v>824</v>
      </c>
      <c r="J151" s="451"/>
      <c r="K151" s="439"/>
      <c r="L151" s="377">
        <f>L152</f>
        <v>23307.1</v>
      </c>
      <c r="M151" s="377">
        <f>M152</f>
        <v>23307.1</v>
      </c>
      <c r="N151" s="377">
        <f>N152</f>
        <v>23308.400000000001</v>
      </c>
      <c r="O151" s="424"/>
    </row>
    <row r="152" spans="1:17" s="909" customFormat="1" ht="56.25" x14ac:dyDescent="0.3">
      <c r="A152" s="900"/>
      <c r="B152" s="386" t="s">
        <v>282</v>
      </c>
      <c r="C152" s="901" t="s">
        <v>417</v>
      </c>
      <c r="D152" s="902" t="s">
        <v>167</v>
      </c>
      <c r="E152" s="902" t="s">
        <v>105</v>
      </c>
      <c r="F152" s="903" t="s">
        <v>139</v>
      </c>
      <c r="G152" s="904" t="s">
        <v>98</v>
      </c>
      <c r="H152" s="904" t="s">
        <v>92</v>
      </c>
      <c r="I152" s="905" t="s">
        <v>824</v>
      </c>
      <c r="J152" s="906" t="s">
        <v>283</v>
      </c>
      <c r="K152" s="907"/>
      <c r="L152" s="252">
        <f>M152-K152</f>
        <v>23307.1</v>
      </c>
      <c r="M152" s="907">
        <v>23307.1</v>
      </c>
      <c r="N152" s="907">
        <v>23308.400000000001</v>
      </c>
      <c r="O152" s="908"/>
    </row>
    <row r="153" spans="1:17" s="79" customFormat="1" ht="18.75" x14ac:dyDescent="0.3">
      <c r="A153" s="163"/>
      <c r="B153" s="112"/>
      <c r="C153" s="124"/>
      <c r="D153" s="125"/>
      <c r="E153" s="125"/>
      <c r="F153" s="126"/>
      <c r="G153" s="126"/>
      <c r="H153" s="126"/>
      <c r="I153" s="127"/>
      <c r="J153" s="125"/>
      <c r="K153" s="254"/>
      <c r="L153" s="254"/>
      <c r="M153" s="254"/>
      <c r="N153" s="254"/>
    </row>
    <row r="154" spans="1:17" s="69" customFormat="1" ht="56.25" x14ac:dyDescent="0.3">
      <c r="A154" s="161">
        <v>5</v>
      </c>
      <c r="B154" s="93" t="s">
        <v>54</v>
      </c>
      <c r="C154" s="94" t="s">
        <v>372</v>
      </c>
      <c r="D154" s="95"/>
      <c r="E154" s="95"/>
      <c r="F154" s="96"/>
      <c r="G154" s="96"/>
      <c r="H154" s="96"/>
      <c r="I154" s="97"/>
      <c r="J154" s="95"/>
      <c r="K154" s="251">
        <f>K155+K223</f>
        <v>841442.49999999977</v>
      </c>
      <c r="L154" s="251">
        <f>L155+L223</f>
        <v>0</v>
      </c>
      <c r="M154" s="251">
        <f>M155+M223</f>
        <v>841442.49999999977</v>
      </c>
      <c r="N154" s="251">
        <f>N155+N223</f>
        <v>818155.59999999986</v>
      </c>
      <c r="P154" s="73"/>
      <c r="Q154" s="73"/>
    </row>
    <row r="155" spans="1:17" s="70" customFormat="1" ht="18.75" x14ac:dyDescent="0.3">
      <c r="A155" s="2"/>
      <c r="B155" s="98" t="s">
        <v>254</v>
      </c>
      <c r="C155" s="99" t="s">
        <v>372</v>
      </c>
      <c r="D155" s="100" t="s">
        <v>304</v>
      </c>
      <c r="E155" s="100"/>
      <c r="F155" s="272"/>
      <c r="G155" s="272"/>
      <c r="H155" s="272"/>
      <c r="I155" s="273"/>
      <c r="J155" s="100"/>
      <c r="K155" s="252">
        <f t="shared" ref="K155" si="56">K156+K166+K209+K190+K203</f>
        <v>832373.29999999981</v>
      </c>
      <c r="L155" s="252">
        <f>L156+L166+L209+L190+L203</f>
        <v>0</v>
      </c>
      <c r="M155" s="252">
        <f t="shared" ref="M155:N155" si="57">M156+M166+M209+M190+M203</f>
        <v>832373.29999999981</v>
      </c>
      <c r="N155" s="252">
        <f t="shared" si="57"/>
        <v>809086.39999999991</v>
      </c>
      <c r="P155" s="72"/>
      <c r="Q155" s="72"/>
    </row>
    <row r="156" spans="1:17" s="69" customFormat="1" ht="18.75" x14ac:dyDescent="0.3">
      <c r="A156" s="2"/>
      <c r="B156" s="98" t="s">
        <v>256</v>
      </c>
      <c r="C156" s="99" t="s">
        <v>372</v>
      </c>
      <c r="D156" s="100" t="s">
        <v>304</v>
      </c>
      <c r="E156" s="100" t="s">
        <v>90</v>
      </c>
      <c r="F156" s="272"/>
      <c r="G156" s="272"/>
      <c r="H156" s="272"/>
      <c r="I156" s="273"/>
      <c r="J156" s="100"/>
      <c r="K156" s="252">
        <f t="shared" ref="K156:N158" si="58">K157</f>
        <v>282079.3</v>
      </c>
      <c r="L156" s="252">
        <f t="shared" si="58"/>
        <v>0</v>
      </c>
      <c r="M156" s="252">
        <f t="shared" si="58"/>
        <v>282079.3</v>
      </c>
      <c r="N156" s="252">
        <f t="shared" si="58"/>
        <v>268897.90000000002</v>
      </c>
    </row>
    <row r="157" spans="1:17" s="69" customFormat="1" ht="56.25" x14ac:dyDescent="0.3">
      <c r="A157" s="2"/>
      <c r="B157" s="98" t="s">
        <v>284</v>
      </c>
      <c r="C157" s="99" t="s">
        <v>372</v>
      </c>
      <c r="D157" s="100" t="s">
        <v>304</v>
      </c>
      <c r="E157" s="100" t="s">
        <v>90</v>
      </c>
      <c r="F157" s="272" t="s">
        <v>92</v>
      </c>
      <c r="G157" s="272" t="s">
        <v>95</v>
      </c>
      <c r="H157" s="272" t="s">
        <v>96</v>
      </c>
      <c r="I157" s="273" t="s">
        <v>97</v>
      </c>
      <c r="J157" s="100"/>
      <c r="K157" s="252">
        <f t="shared" si="58"/>
        <v>282079.3</v>
      </c>
      <c r="L157" s="252">
        <f t="shared" si="58"/>
        <v>0</v>
      </c>
      <c r="M157" s="252">
        <f t="shared" si="58"/>
        <v>282079.3</v>
      </c>
      <c r="N157" s="252">
        <f t="shared" si="58"/>
        <v>268897.90000000002</v>
      </c>
    </row>
    <row r="158" spans="1:17" s="69" customFormat="1" ht="37.5" x14ac:dyDescent="0.3">
      <c r="A158" s="2"/>
      <c r="B158" s="98" t="s">
        <v>285</v>
      </c>
      <c r="C158" s="99" t="s">
        <v>372</v>
      </c>
      <c r="D158" s="100" t="s">
        <v>304</v>
      </c>
      <c r="E158" s="100" t="s">
        <v>90</v>
      </c>
      <c r="F158" s="272" t="s">
        <v>92</v>
      </c>
      <c r="G158" s="272" t="s">
        <v>98</v>
      </c>
      <c r="H158" s="272" t="s">
        <v>96</v>
      </c>
      <c r="I158" s="273" t="s">
        <v>97</v>
      </c>
      <c r="J158" s="100"/>
      <c r="K158" s="252">
        <f t="shared" si="58"/>
        <v>282079.3</v>
      </c>
      <c r="L158" s="252">
        <f t="shared" si="58"/>
        <v>0</v>
      </c>
      <c r="M158" s="252">
        <f t="shared" si="58"/>
        <v>282079.3</v>
      </c>
      <c r="N158" s="252">
        <f t="shared" si="58"/>
        <v>268897.90000000002</v>
      </c>
    </row>
    <row r="159" spans="1:17" s="69" customFormat="1" ht="15.6" customHeight="1" x14ac:dyDescent="0.3">
      <c r="A159" s="2"/>
      <c r="B159" s="98" t="s">
        <v>373</v>
      </c>
      <c r="C159" s="99" t="s">
        <v>372</v>
      </c>
      <c r="D159" s="100" t="s">
        <v>304</v>
      </c>
      <c r="E159" s="100" t="s">
        <v>90</v>
      </c>
      <c r="F159" s="272" t="s">
        <v>92</v>
      </c>
      <c r="G159" s="272" t="s">
        <v>98</v>
      </c>
      <c r="H159" s="272" t="s">
        <v>90</v>
      </c>
      <c r="I159" s="273" t="s">
        <v>97</v>
      </c>
      <c r="J159" s="100"/>
      <c r="K159" s="252">
        <f>K162+K164+K160</f>
        <v>282079.3</v>
      </c>
      <c r="L159" s="252">
        <f>L162+L164+L160</f>
        <v>0</v>
      </c>
      <c r="M159" s="252">
        <f>M162+M164+M160</f>
        <v>282079.3</v>
      </c>
      <c r="N159" s="252">
        <f>N162+N164+N160</f>
        <v>268897.90000000002</v>
      </c>
      <c r="P159" s="68"/>
    </row>
    <row r="160" spans="1:17" s="67" customFormat="1" ht="71.45" customHeight="1" x14ac:dyDescent="0.3">
      <c r="A160" s="2"/>
      <c r="B160" s="98" t="s">
        <v>151</v>
      </c>
      <c r="C160" s="99" t="s">
        <v>372</v>
      </c>
      <c r="D160" s="100" t="s">
        <v>304</v>
      </c>
      <c r="E160" s="100" t="s">
        <v>90</v>
      </c>
      <c r="F160" s="272" t="s">
        <v>92</v>
      </c>
      <c r="G160" s="272" t="s">
        <v>98</v>
      </c>
      <c r="H160" s="272" t="s">
        <v>90</v>
      </c>
      <c r="I160" s="273" t="s">
        <v>153</v>
      </c>
      <c r="J160" s="100"/>
      <c r="K160" s="252">
        <f>K161</f>
        <v>80461.899999999994</v>
      </c>
      <c r="L160" s="252">
        <f>L161</f>
        <v>0</v>
      </c>
      <c r="M160" s="252">
        <f>M161</f>
        <v>80461.899999999994</v>
      </c>
      <c r="N160" s="252">
        <f>N161</f>
        <v>67259.399999999994</v>
      </c>
      <c r="P160" s="182"/>
    </row>
    <row r="161" spans="1:16" s="67" customFormat="1" ht="55.9" customHeight="1" x14ac:dyDescent="0.3">
      <c r="A161" s="2"/>
      <c r="B161" s="98" t="s">
        <v>135</v>
      </c>
      <c r="C161" s="99" t="s">
        <v>372</v>
      </c>
      <c r="D161" s="100" t="s">
        <v>304</v>
      </c>
      <c r="E161" s="100" t="s">
        <v>90</v>
      </c>
      <c r="F161" s="272" t="s">
        <v>92</v>
      </c>
      <c r="G161" s="272" t="s">
        <v>98</v>
      </c>
      <c r="H161" s="272" t="s">
        <v>90</v>
      </c>
      <c r="I161" s="273" t="s">
        <v>153</v>
      </c>
      <c r="J161" s="100" t="s">
        <v>136</v>
      </c>
      <c r="K161" s="252">
        <v>80461.899999999994</v>
      </c>
      <c r="L161" s="252">
        <f>M161-K161</f>
        <v>0</v>
      </c>
      <c r="M161" s="252">
        <v>80461.899999999994</v>
      </c>
      <c r="N161" s="252">
        <v>67259.399999999994</v>
      </c>
      <c r="P161" s="182"/>
    </row>
    <row r="162" spans="1:16" s="69" customFormat="1" ht="175.15" customHeight="1" x14ac:dyDescent="0.3">
      <c r="A162" s="2"/>
      <c r="B162" s="98" t="s">
        <v>374</v>
      </c>
      <c r="C162" s="99" t="s">
        <v>372</v>
      </c>
      <c r="D162" s="100" t="s">
        <v>304</v>
      </c>
      <c r="E162" s="100" t="s">
        <v>90</v>
      </c>
      <c r="F162" s="272" t="s">
        <v>92</v>
      </c>
      <c r="G162" s="272" t="s">
        <v>98</v>
      </c>
      <c r="H162" s="272" t="s">
        <v>90</v>
      </c>
      <c r="I162" s="273" t="s">
        <v>375</v>
      </c>
      <c r="J162" s="100"/>
      <c r="K162" s="252">
        <f>K163</f>
        <v>529.5</v>
      </c>
      <c r="L162" s="252">
        <f>L163</f>
        <v>0</v>
      </c>
      <c r="M162" s="252">
        <f>M163</f>
        <v>529.5</v>
      </c>
      <c r="N162" s="252">
        <f>N163</f>
        <v>550.59999999999991</v>
      </c>
      <c r="P162" s="68"/>
    </row>
    <row r="163" spans="1:16" s="69" customFormat="1" ht="56.25" x14ac:dyDescent="0.3">
      <c r="A163" s="2"/>
      <c r="B163" s="98" t="s">
        <v>135</v>
      </c>
      <c r="C163" s="99" t="s">
        <v>372</v>
      </c>
      <c r="D163" s="100" t="s">
        <v>304</v>
      </c>
      <c r="E163" s="100" t="s">
        <v>90</v>
      </c>
      <c r="F163" s="272" t="s">
        <v>92</v>
      </c>
      <c r="G163" s="272" t="s">
        <v>98</v>
      </c>
      <c r="H163" s="272" t="s">
        <v>90</v>
      </c>
      <c r="I163" s="273" t="s">
        <v>375</v>
      </c>
      <c r="J163" s="100" t="s">
        <v>136</v>
      </c>
      <c r="K163" s="604">
        <f>579.2-49.7</f>
        <v>529.5</v>
      </c>
      <c r="L163" s="252">
        <f>M163-K163</f>
        <v>0</v>
      </c>
      <c r="M163" s="604">
        <f>579.2-49.7</f>
        <v>529.5</v>
      </c>
      <c r="N163" s="604">
        <f>593.8-43.2</f>
        <v>550.59999999999991</v>
      </c>
    </row>
    <row r="164" spans="1:16" s="69" customFormat="1" ht="131.25" x14ac:dyDescent="0.3">
      <c r="A164" s="2"/>
      <c r="B164" s="98" t="s">
        <v>503</v>
      </c>
      <c r="C164" s="99" t="s">
        <v>372</v>
      </c>
      <c r="D164" s="100" t="s">
        <v>304</v>
      </c>
      <c r="E164" s="100" t="s">
        <v>90</v>
      </c>
      <c r="F164" s="272" t="s">
        <v>92</v>
      </c>
      <c r="G164" s="272" t="s">
        <v>98</v>
      </c>
      <c r="H164" s="272" t="s">
        <v>90</v>
      </c>
      <c r="I164" s="273" t="s">
        <v>376</v>
      </c>
      <c r="J164" s="100"/>
      <c r="K164" s="252">
        <f>K165</f>
        <v>201087.9</v>
      </c>
      <c r="L164" s="252">
        <f>L165</f>
        <v>0</v>
      </c>
      <c r="M164" s="252">
        <f>M165</f>
        <v>201087.9</v>
      </c>
      <c r="N164" s="252">
        <f>N165</f>
        <v>201087.9</v>
      </c>
    </row>
    <row r="165" spans="1:16" s="69" customFormat="1" ht="56.25" x14ac:dyDescent="0.3">
      <c r="A165" s="2"/>
      <c r="B165" s="98" t="s">
        <v>135</v>
      </c>
      <c r="C165" s="99" t="s">
        <v>372</v>
      </c>
      <c r="D165" s="100" t="s">
        <v>304</v>
      </c>
      <c r="E165" s="100" t="s">
        <v>90</v>
      </c>
      <c r="F165" s="272" t="s">
        <v>92</v>
      </c>
      <c r="G165" s="272" t="s">
        <v>98</v>
      </c>
      <c r="H165" s="272" t="s">
        <v>90</v>
      </c>
      <c r="I165" s="273" t="s">
        <v>376</v>
      </c>
      <c r="J165" s="100" t="s">
        <v>136</v>
      </c>
      <c r="K165" s="252">
        <v>201087.9</v>
      </c>
      <c r="L165" s="252">
        <f>M165-K165</f>
        <v>0</v>
      </c>
      <c r="M165" s="252">
        <v>201087.9</v>
      </c>
      <c r="N165" s="252">
        <v>201087.9</v>
      </c>
    </row>
    <row r="166" spans="1:16" s="69" customFormat="1" ht="18.75" x14ac:dyDescent="0.3">
      <c r="A166" s="2"/>
      <c r="B166" s="98" t="s">
        <v>258</v>
      </c>
      <c r="C166" s="99" t="s">
        <v>372</v>
      </c>
      <c r="D166" s="100" t="s">
        <v>304</v>
      </c>
      <c r="E166" s="100" t="s">
        <v>92</v>
      </c>
      <c r="F166" s="272"/>
      <c r="G166" s="272"/>
      <c r="H166" s="272"/>
      <c r="I166" s="273"/>
      <c r="J166" s="100"/>
      <c r="K166" s="252">
        <f>K167</f>
        <v>463923.29999999993</v>
      </c>
      <c r="L166" s="252">
        <f>L167</f>
        <v>0</v>
      </c>
      <c r="M166" s="252">
        <f>M167</f>
        <v>463923.29999999993</v>
      </c>
      <c r="N166" s="252">
        <f>N167</f>
        <v>456372.39999999991</v>
      </c>
    </row>
    <row r="167" spans="1:16" s="69" customFormat="1" ht="56.25" x14ac:dyDescent="0.3">
      <c r="A167" s="2"/>
      <c r="B167" s="98" t="s">
        <v>284</v>
      </c>
      <c r="C167" s="99" t="s">
        <v>372</v>
      </c>
      <c r="D167" s="100" t="s">
        <v>304</v>
      </c>
      <c r="E167" s="100" t="s">
        <v>92</v>
      </c>
      <c r="F167" s="272" t="s">
        <v>92</v>
      </c>
      <c r="G167" s="272" t="s">
        <v>95</v>
      </c>
      <c r="H167" s="272" t="s">
        <v>96</v>
      </c>
      <c r="I167" s="273" t="s">
        <v>97</v>
      </c>
      <c r="J167" s="100"/>
      <c r="K167" s="252">
        <f>K168+K186</f>
        <v>463923.29999999993</v>
      </c>
      <c r="L167" s="252">
        <f>L168+L186</f>
        <v>0</v>
      </c>
      <c r="M167" s="252">
        <f>M168+M186</f>
        <v>463923.29999999993</v>
      </c>
      <c r="N167" s="252">
        <f>N168+N186</f>
        <v>456372.39999999991</v>
      </c>
    </row>
    <row r="168" spans="1:16" s="69" customFormat="1" ht="37.5" x14ac:dyDescent="0.3">
      <c r="A168" s="2"/>
      <c r="B168" s="98" t="s">
        <v>285</v>
      </c>
      <c r="C168" s="99" t="s">
        <v>372</v>
      </c>
      <c r="D168" s="100" t="s">
        <v>304</v>
      </c>
      <c r="E168" s="100" t="s">
        <v>92</v>
      </c>
      <c r="F168" s="272" t="s">
        <v>92</v>
      </c>
      <c r="G168" s="272" t="s">
        <v>98</v>
      </c>
      <c r="H168" s="272" t="s">
        <v>96</v>
      </c>
      <c r="I168" s="273" t="s">
        <v>97</v>
      </c>
      <c r="J168" s="100"/>
      <c r="K168" s="252">
        <f>K169</f>
        <v>461851.19999999995</v>
      </c>
      <c r="L168" s="252">
        <f>L169</f>
        <v>0</v>
      </c>
      <c r="M168" s="252">
        <f>M169</f>
        <v>461851.19999999995</v>
      </c>
      <c r="N168" s="252">
        <f>N169</f>
        <v>454300.29999999993</v>
      </c>
    </row>
    <row r="169" spans="1:16" s="69" customFormat="1" ht="18.75" x14ac:dyDescent="0.3">
      <c r="A169" s="2"/>
      <c r="B169" s="98" t="s">
        <v>378</v>
      </c>
      <c r="C169" s="99" t="s">
        <v>372</v>
      </c>
      <c r="D169" s="100" t="s">
        <v>304</v>
      </c>
      <c r="E169" s="100" t="s">
        <v>92</v>
      </c>
      <c r="F169" s="272" t="s">
        <v>92</v>
      </c>
      <c r="G169" s="272" t="s">
        <v>98</v>
      </c>
      <c r="H169" s="272" t="s">
        <v>92</v>
      </c>
      <c r="I169" s="273" t="s">
        <v>97</v>
      </c>
      <c r="J169" s="100"/>
      <c r="K169" s="252">
        <f>K175+K179+K183+K170</f>
        <v>461851.19999999995</v>
      </c>
      <c r="L169" s="252">
        <f>L175+L179+L183+L170</f>
        <v>0</v>
      </c>
      <c r="M169" s="252">
        <f>M175+M179+M183+M170</f>
        <v>461851.19999999995</v>
      </c>
      <c r="N169" s="252">
        <f>N175+N179+N183+N170</f>
        <v>454300.29999999993</v>
      </c>
    </row>
    <row r="170" spans="1:16" s="67" customFormat="1" ht="73.900000000000006" customHeight="1" x14ac:dyDescent="0.3">
      <c r="A170" s="2"/>
      <c r="B170" s="98" t="s">
        <v>151</v>
      </c>
      <c r="C170" s="99" t="s">
        <v>372</v>
      </c>
      <c r="D170" s="100" t="s">
        <v>304</v>
      </c>
      <c r="E170" s="100" t="s">
        <v>92</v>
      </c>
      <c r="F170" s="272" t="s">
        <v>92</v>
      </c>
      <c r="G170" s="272" t="s">
        <v>98</v>
      </c>
      <c r="H170" s="272" t="s">
        <v>92</v>
      </c>
      <c r="I170" s="273" t="s">
        <v>153</v>
      </c>
      <c r="J170" s="100"/>
      <c r="K170" s="252">
        <f>SUM(K171:K174)</f>
        <v>71481.799999999988</v>
      </c>
      <c r="L170" s="252">
        <f>SUM(L171:L174)</f>
        <v>0</v>
      </c>
      <c r="M170" s="252">
        <f>SUM(M171:M174)</f>
        <v>71481.799999999988</v>
      </c>
      <c r="N170" s="252">
        <f>SUM(N171:N174)</f>
        <v>63782.100000000006</v>
      </c>
    </row>
    <row r="171" spans="1:16" s="67" customFormat="1" ht="93" customHeight="1" x14ac:dyDescent="0.3">
      <c r="A171" s="2"/>
      <c r="B171" s="232" t="s">
        <v>102</v>
      </c>
      <c r="C171" s="99" t="s">
        <v>372</v>
      </c>
      <c r="D171" s="100" t="s">
        <v>304</v>
      </c>
      <c r="E171" s="100" t="s">
        <v>92</v>
      </c>
      <c r="F171" s="343" t="s">
        <v>92</v>
      </c>
      <c r="G171" s="341" t="s">
        <v>98</v>
      </c>
      <c r="H171" s="341" t="s">
        <v>92</v>
      </c>
      <c r="I171" s="342" t="s">
        <v>153</v>
      </c>
      <c r="J171" s="100" t="s">
        <v>103</v>
      </c>
      <c r="K171" s="252">
        <v>3791.6</v>
      </c>
      <c r="L171" s="252">
        <f t="shared" ref="L171:L174" si="59">M171-K171</f>
        <v>0</v>
      </c>
      <c r="M171" s="252">
        <v>3791.6</v>
      </c>
      <c r="N171" s="252">
        <v>3791.6</v>
      </c>
    </row>
    <row r="172" spans="1:16" s="67" customFormat="1" ht="36.6" customHeight="1" x14ac:dyDescent="0.3">
      <c r="A172" s="2"/>
      <c r="B172" s="232" t="s">
        <v>108</v>
      </c>
      <c r="C172" s="99" t="s">
        <v>372</v>
      </c>
      <c r="D172" s="100" t="s">
        <v>304</v>
      </c>
      <c r="E172" s="100" t="s">
        <v>92</v>
      </c>
      <c r="F172" s="343" t="s">
        <v>92</v>
      </c>
      <c r="G172" s="341" t="s">
        <v>98</v>
      </c>
      <c r="H172" s="341" t="s">
        <v>92</v>
      </c>
      <c r="I172" s="342" t="s">
        <v>153</v>
      </c>
      <c r="J172" s="100" t="s">
        <v>109</v>
      </c>
      <c r="K172" s="252">
        <v>3218.8</v>
      </c>
      <c r="L172" s="252">
        <f t="shared" si="59"/>
        <v>0</v>
      </c>
      <c r="M172" s="252">
        <v>3218.8</v>
      </c>
      <c r="N172" s="252">
        <v>1518.2</v>
      </c>
    </row>
    <row r="173" spans="1:16" s="67" customFormat="1" ht="56.25" x14ac:dyDescent="0.3">
      <c r="A173" s="2"/>
      <c r="B173" s="98" t="s">
        <v>135</v>
      </c>
      <c r="C173" s="99" t="s">
        <v>372</v>
      </c>
      <c r="D173" s="100" t="s">
        <v>304</v>
      </c>
      <c r="E173" s="100" t="s">
        <v>92</v>
      </c>
      <c r="F173" s="272" t="s">
        <v>92</v>
      </c>
      <c r="G173" s="272" t="s">
        <v>98</v>
      </c>
      <c r="H173" s="272" t="s">
        <v>92</v>
      </c>
      <c r="I173" s="273" t="s">
        <v>153</v>
      </c>
      <c r="J173" s="100" t="s">
        <v>136</v>
      </c>
      <c r="K173" s="252">
        <v>63783.199999999997</v>
      </c>
      <c r="L173" s="252">
        <f t="shared" si="59"/>
        <v>0</v>
      </c>
      <c r="M173" s="252">
        <v>63783.199999999997</v>
      </c>
      <c r="N173" s="252">
        <v>57796.9</v>
      </c>
    </row>
    <row r="174" spans="1:16" s="67" customFormat="1" ht="18.75" x14ac:dyDescent="0.3">
      <c r="A174" s="2"/>
      <c r="B174" s="98" t="s">
        <v>110</v>
      </c>
      <c r="C174" s="99" t="s">
        <v>372</v>
      </c>
      <c r="D174" s="100" t="s">
        <v>304</v>
      </c>
      <c r="E174" s="100" t="s">
        <v>92</v>
      </c>
      <c r="F174" s="272" t="s">
        <v>92</v>
      </c>
      <c r="G174" s="272" t="s">
        <v>98</v>
      </c>
      <c r="H174" s="272" t="s">
        <v>92</v>
      </c>
      <c r="I174" s="273" t="s">
        <v>153</v>
      </c>
      <c r="J174" s="100" t="s">
        <v>111</v>
      </c>
      <c r="K174" s="252">
        <v>688.2</v>
      </c>
      <c r="L174" s="252">
        <f t="shared" si="59"/>
        <v>0</v>
      </c>
      <c r="M174" s="252">
        <v>688.2</v>
      </c>
      <c r="N174" s="252">
        <v>675.4</v>
      </c>
    </row>
    <row r="175" spans="1:16" s="69" customFormat="1" ht="206.25" x14ac:dyDescent="0.3">
      <c r="A175" s="2"/>
      <c r="B175" s="98" t="s">
        <v>374</v>
      </c>
      <c r="C175" s="99" t="s">
        <v>372</v>
      </c>
      <c r="D175" s="100" t="s">
        <v>304</v>
      </c>
      <c r="E175" s="100" t="s">
        <v>92</v>
      </c>
      <c r="F175" s="272" t="s">
        <v>92</v>
      </c>
      <c r="G175" s="272" t="s">
        <v>98</v>
      </c>
      <c r="H175" s="272" t="s">
        <v>92</v>
      </c>
      <c r="I175" s="273" t="s">
        <v>375</v>
      </c>
      <c r="J175" s="100"/>
      <c r="K175" s="252">
        <f>SUM(K176:K178)</f>
        <v>1829.1</v>
      </c>
      <c r="L175" s="252">
        <f>SUM(L176:L178)</f>
        <v>0</v>
      </c>
      <c r="M175" s="252">
        <f>SUM(M176:M178)</f>
        <v>1829.1</v>
      </c>
      <c r="N175" s="252">
        <f>SUM(N176:N178)</f>
        <v>1902.3</v>
      </c>
    </row>
    <row r="176" spans="1:16" s="69" customFormat="1" ht="94.9" customHeight="1" x14ac:dyDescent="0.3">
      <c r="A176" s="2"/>
      <c r="B176" s="232" t="s">
        <v>102</v>
      </c>
      <c r="C176" s="99" t="s">
        <v>372</v>
      </c>
      <c r="D176" s="100" t="s">
        <v>304</v>
      </c>
      <c r="E176" s="100" t="s">
        <v>92</v>
      </c>
      <c r="F176" s="343" t="s">
        <v>92</v>
      </c>
      <c r="G176" s="341" t="s">
        <v>98</v>
      </c>
      <c r="H176" s="341" t="s">
        <v>92</v>
      </c>
      <c r="I176" s="342" t="s">
        <v>375</v>
      </c>
      <c r="J176" s="100" t="s">
        <v>103</v>
      </c>
      <c r="K176" s="252">
        <v>138.30000000000001</v>
      </c>
      <c r="L176" s="252">
        <f t="shared" ref="L176:L178" si="60">M176-K176</f>
        <v>0</v>
      </c>
      <c r="M176" s="252">
        <v>138.30000000000001</v>
      </c>
      <c r="N176" s="252">
        <v>138.30000000000001</v>
      </c>
    </row>
    <row r="177" spans="1:14" s="69" customFormat="1" ht="37.5" x14ac:dyDescent="0.3">
      <c r="A177" s="2"/>
      <c r="B177" s="232" t="s">
        <v>183</v>
      </c>
      <c r="C177" s="99" t="s">
        <v>372</v>
      </c>
      <c r="D177" s="100" t="s">
        <v>304</v>
      </c>
      <c r="E177" s="100" t="s">
        <v>92</v>
      </c>
      <c r="F177" s="343" t="s">
        <v>92</v>
      </c>
      <c r="G177" s="341" t="s">
        <v>98</v>
      </c>
      <c r="H177" s="341" t="s">
        <v>92</v>
      </c>
      <c r="I177" s="342" t="s">
        <v>375</v>
      </c>
      <c r="J177" s="100" t="s">
        <v>184</v>
      </c>
      <c r="K177" s="252">
        <v>14</v>
      </c>
      <c r="L177" s="252">
        <f t="shared" si="60"/>
        <v>0</v>
      </c>
      <c r="M177" s="252">
        <v>14</v>
      </c>
      <c r="N177" s="252">
        <v>14</v>
      </c>
    </row>
    <row r="178" spans="1:14" s="69" customFormat="1" ht="56.25" x14ac:dyDescent="0.3">
      <c r="A178" s="2"/>
      <c r="B178" s="98" t="s">
        <v>135</v>
      </c>
      <c r="C178" s="99" t="s">
        <v>372</v>
      </c>
      <c r="D178" s="100" t="s">
        <v>304</v>
      </c>
      <c r="E178" s="100" t="s">
        <v>92</v>
      </c>
      <c r="F178" s="272" t="s">
        <v>92</v>
      </c>
      <c r="G178" s="272" t="s">
        <v>98</v>
      </c>
      <c r="H178" s="272" t="s">
        <v>92</v>
      </c>
      <c r="I178" s="273" t="s">
        <v>375</v>
      </c>
      <c r="J178" s="100" t="s">
        <v>136</v>
      </c>
      <c r="K178" s="604">
        <f>1591.2+85.6</f>
        <v>1676.8</v>
      </c>
      <c r="L178" s="252">
        <f t="shared" si="60"/>
        <v>0</v>
      </c>
      <c r="M178" s="604">
        <f>1591.2+85.6</f>
        <v>1676.8</v>
      </c>
      <c r="N178" s="604">
        <f>1667.3+82.7</f>
        <v>1750</v>
      </c>
    </row>
    <row r="179" spans="1:14" s="69" customFormat="1" ht="131.25" x14ac:dyDescent="0.3">
      <c r="A179" s="2"/>
      <c r="B179" s="98" t="s">
        <v>503</v>
      </c>
      <c r="C179" s="99" t="s">
        <v>372</v>
      </c>
      <c r="D179" s="100" t="s">
        <v>304</v>
      </c>
      <c r="E179" s="100" t="s">
        <v>92</v>
      </c>
      <c r="F179" s="272" t="s">
        <v>92</v>
      </c>
      <c r="G179" s="272" t="s">
        <v>98</v>
      </c>
      <c r="H179" s="272" t="s">
        <v>92</v>
      </c>
      <c r="I179" s="273" t="s">
        <v>376</v>
      </c>
      <c r="J179" s="100"/>
      <c r="K179" s="252">
        <f>K180+K181+K182</f>
        <v>384214.1</v>
      </c>
      <c r="L179" s="252">
        <f>L180+L181+L182</f>
        <v>0</v>
      </c>
      <c r="M179" s="252">
        <f>M180+M181+M182</f>
        <v>384214.1</v>
      </c>
      <c r="N179" s="252">
        <f>N180+N181+N182</f>
        <v>384214.1</v>
      </c>
    </row>
    <row r="180" spans="1:14" s="69" customFormat="1" ht="90.6" customHeight="1" x14ac:dyDescent="0.3">
      <c r="A180" s="2"/>
      <c r="B180" s="98" t="s">
        <v>102</v>
      </c>
      <c r="C180" s="99" t="s">
        <v>372</v>
      </c>
      <c r="D180" s="100" t="s">
        <v>304</v>
      </c>
      <c r="E180" s="100" t="s">
        <v>92</v>
      </c>
      <c r="F180" s="272" t="s">
        <v>92</v>
      </c>
      <c r="G180" s="272" t="s">
        <v>98</v>
      </c>
      <c r="H180" s="272" t="s">
        <v>92</v>
      </c>
      <c r="I180" s="273" t="s">
        <v>376</v>
      </c>
      <c r="J180" s="100" t="s">
        <v>103</v>
      </c>
      <c r="K180" s="591">
        <f>29719.1+566.4</f>
        <v>30285.5</v>
      </c>
      <c r="L180" s="252">
        <f t="shared" ref="L180:L182" si="61">M180-K180</f>
        <v>0</v>
      </c>
      <c r="M180" s="591">
        <f>29719.1+566.4</f>
        <v>30285.5</v>
      </c>
      <c r="N180" s="591">
        <f>29719.1+566.4</f>
        <v>30285.5</v>
      </c>
    </row>
    <row r="181" spans="1:14" s="69" customFormat="1" ht="33" customHeight="1" x14ac:dyDescent="0.3">
      <c r="A181" s="2"/>
      <c r="B181" s="98" t="s">
        <v>108</v>
      </c>
      <c r="C181" s="99" t="s">
        <v>372</v>
      </c>
      <c r="D181" s="100" t="s">
        <v>304</v>
      </c>
      <c r="E181" s="100" t="s">
        <v>92</v>
      </c>
      <c r="F181" s="272" t="s">
        <v>92</v>
      </c>
      <c r="G181" s="272" t="s">
        <v>98</v>
      </c>
      <c r="H181" s="272" t="s">
        <v>92</v>
      </c>
      <c r="I181" s="273" t="s">
        <v>376</v>
      </c>
      <c r="J181" s="100" t="s">
        <v>109</v>
      </c>
      <c r="K181" s="591">
        <f>1729.7+36.1</f>
        <v>1765.8</v>
      </c>
      <c r="L181" s="252">
        <f t="shared" si="61"/>
        <v>0</v>
      </c>
      <c r="M181" s="591">
        <f>1729.7+36.1</f>
        <v>1765.8</v>
      </c>
      <c r="N181" s="591">
        <f>1729.7+36.1</f>
        <v>1765.8</v>
      </c>
    </row>
    <row r="182" spans="1:14" s="69" customFormat="1" ht="56.25" x14ac:dyDescent="0.3">
      <c r="A182" s="2"/>
      <c r="B182" s="98" t="s">
        <v>135</v>
      </c>
      <c r="C182" s="99" t="s">
        <v>372</v>
      </c>
      <c r="D182" s="100" t="s">
        <v>304</v>
      </c>
      <c r="E182" s="100" t="s">
        <v>92</v>
      </c>
      <c r="F182" s="272" t="s">
        <v>92</v>
      </c>
      <c r="G182" s="272" t="s">
        <v>98</v>
      </c>
      <c r="H182" s="272" t="s">
        <v>92</v>
      </c>
      <c r="I182" s="273" t="s">
        <v>376</v>
      </c>
      <c r="J182" s="100" t="s">
        <v>136</v>
      </c>
      <c r="K182" s="591">
        <f>345592.1+6570.7</f>
        <v>352162.8</v>
      </c>
      <c r="L182" s="252">
        <f t="shared" si="61"/>
        <v>0</v>
      </c>
      <c r="M182" s="591">
        <f>345592.1+6570.7</f>
        <v>352162.8</v>
      </c>
      <c r="N182" s="591">
        <f>345592.1+6570.7</f>
        <v>352162.8</v>
      </c>
    </row>
    <row r="183" spans="1:14" s="69" customFormat="1" ht="93.75" x14ac:dyDescent="0.3">
      <c r="A183" s="2"/>
      <c r="B183" s="98" t="s">
        <v>289</v>
      </c>
      <c r="C183" s="99" t="s">
        <v>372</v>
      </c>
      <c r="D183" s="100" t="s">
        <v>304</v>
      </c>
      <c r="E183" s="100" t="s">
        <v>92</v>
      </c>
      <c r="F183" s="272" t="s">
        <v>92</v>
      </c>
      <c r="G183" s="272" t="s">
        <v>98</v>
      </c>
      <c r="H183" s="272" t="s">
        <v>92</v>
      </c>
      <c r="I183" s="273" t="s">
        <v>382</v>
      </c>
      <c r="J183" s="100"/>
      <c r="K183" s="252">
        <f>SUM(K184:K185)</f>
        <v>4326.2</v>
      </c>
      <c r="L183" s="252">
        <f>SUM(L184:L185)</f>
        <v>0</v>
      </c>
      <c r="M183" s="252">
        <f>SUM(M184:M185)</f>
        <v>4326.2</v>
      </c>
      <c r="N183" s="252">
        <f>SUM(N184:N185)</f>
        <v>4401.8</v>
      </c>
    </row>
    <row r="184" spans="1:14" s="69" customFormat="1" ht="43.9" customHeight="1" x14ac:dyDescent="0.3">
      <c r="A184" s="2"/>
      <c r="B184" s="232" t="s">
        <v>108</v>
      </c>
      <c r="C184" s="99" t="s">
        <v>372</v>
      </c>
      <c r="D184" s="100" t="s">
        <v>304</v>
      </c>
      <c r="E184" s="100" t="s">
        <v>92</v>
      </c>
      <c r="F184" s="343" t="s">
        <v>92</v>
      </c>
      <c r="G184" s="341" t="s">
        <v>98</v>
      </c>
      <c r="H184" s="341" t="s">
        <v>92</v>
      </c>
      <c r="I184" s="342" t="s">
        <v>382</v>
      </c>
      <c r="J184" s="100" t="s">
        <v>109</v>
      </c>
      <c r="K184" s="252">
        <v>239.1</v>
      </c>
      <c r="L184" s="252">
        <f t="shared" ref="L184:L185" si="62">M184-K184</f>
        <v>0</v>
      </c>
      <c r="M184" s="252">
        <v>239.1</v>
      </c>
      <c r="N184" s="252">
        <v>256.2</v>
      </c>
    </row>
    <row r="185" spans="1:14" s="69" customFormat="1" ht="56.25" x14ac:dyDescent="0.3">
      <c r="A185" s="2"/>
      <c r="B185" s="98" t="s">
        <v>135</v>
      </c>
      <c r="C185" s="99" t="s">
        <v>372</v>
      </c>
      <c r="D185" s="100" t="s">
        <v>304</v>
      </c>
      <c r="E185" s="100" t="s">
        <v>92</v>
      </c>
      <c r="F185" s="272" t="s">
        <v>92</v>
      </c>
      <c r="G185" s="272" t="s">
        <v>98</v>
      </c>
      <c r="H185" s="272" t="s">
        <v>92</v>
      </c>
      <c r="I185" s="273" t="s">
        <v>382</v>
      </c>
      <c r="J185" s="100" t="s">
        <v>136</v>
      </c>
      <c r="K185" s="252">
        <v>4087.1</v>
      </c>
      <c r="L185" s="252">
        <f t="shared" si="62"/>
        <v>0</v>
      </c>
      <c r="M185" s="252">
        <v>4087.1</v>
      </c>
      <c r="N185" s="252">
        <v>4145.6000000000004</v>
      </c>
    </row>
    <row r="186" spans="1:14" s="69" customFormat="1" ht="56.25" x14ac:dyDescent="0.3">
      <c r="A186" s="2"/>
      <c r="B186" s="98" t="s">
        <v>292</v>
      </c>
      <c r="C186" s="99" t="s">
        <v>372</v>
      </c>
      <c r="D186" s="100" t="s">
        <v>304</v>
      </c>
      <c r="E186" s="100" t="s">
        <v>92</v>
      </c>
      <c r="F186" s="272" t="s">
        <v>92</v>
      </c>
      <c r="G186" s="272" t="s">
        <v>83</v>
      </c>
      <c r="H186" s="272" t="s">
        <v>96</v>
      </c>
      <c r="I186" s="273" t="s">
        <v>97</v>
      </c>
      <c r="J186" s="100"/>
      <c r="K186" s="252">
        <f t="shared" ref="K186:N188" si="63">K187</f>
        <v>2072.1</v>
      </c>
      <c r="L186" s="252">
        <f t="shared" si="63"/>
        <v>0</v>
      </c>
      <c r="M186" s="252">
        <f t="shared" si="63"/>
        <v>2072.1</v>
      </c>
      <c r="N186" s="252">
        <f t="shared" si="63"/>
        <v>2072.1</v>
      </c>
    </row>
    <row r="187" spans="1:14" s="69" customFormat="1" ht="37.5" x14ac:dyDescent="0.3">
      <c r="A187" s="2"/>
      <c r="B187" s="98" t="s">
        <v>389</v>
      </c>
      <c r="C187" s="99" t="s">
        <v>372</v>
      </c>
      <c r="D187" s="100" t="s">
        <v>304</v>
      </c>
      <c r="E187" s="100" t="s">
        <v>92</v>
      </c>
      <c r="F187" s="272" t="s">
        <v>92</v>
      </c>
      <c r="G187" s="272" t="s">
        <v>83</v>
      </c>
      <c r="H187" s="272" t="s">
        <v>90</v>
      </c>
      <c r="I187" s="273" t="s">
        <v>97</v>
      </c>
      <c r="J187" s="100"/>
      <c r="K187" s="252">
        <f t="shared" si="63"/>
        <v>2072.1</v>
      </c>
      <c r="L187" s="252">
        <f t="shared" si="63"/>
        <v>0</v>
      </c>
      <c r="M187" s="252">
        <f t="shared" si="63"/>
        <v>2072.1</v>
      </c>
      <c r="N187" s="252">
        <f t="shared" si="63"/>
        <v>2072.1</v>
      </c>
    </row>
    <row r="188" spans="1:14" s="69" customFormat="1" ht="262.5" x14ac:dyDescent="0.3">
      <c r="A188" s="2"/>
      <c r="B188" s="576" t="s">
        <v>813</v>
      </c>
      <c r="C188" s="99" t="s">
        <v>372</v>
      </c>
      <c r="D188" s="100" t="s">
        <v>304</v>
      </c>
      <c r="E188" s="100" t="s">
        <v>92</v>
      </c>
      <c r="F188" s="272" t="s">
        <v>92</v>
      </c>
      <c r="G188" s="272" t="s">
        <v>83</v>
      </c>
      <c r="H188" s="272" t="s">
        <v>90</v>
      </c>
      <c r="I188" s="273" t="s">
        <v>504</v>
      </c>
      <c r="J188" s="100"/>
      <c r="K188" s="252">
        <f t="shared" si="63"/>
        <v>2072.1</v>
      </c>
      <c r="L188" s="252">
        <f t="shared" si="63"/>
        <v>0</v>
      </c>
      <c r="M188" s="252">
        <f t="shared" si="63"/>
        <v>2072.1</v>
      </c>
      <c r="N188" s="252">
        <f t="shared" si="63"/>
        <v>2072.1</v>
      </c>
    </row>
    <row r="189" spans="1:14" s="69" customFormat="1" ht="56.25" x14ac:dyDescent="0.3">
      <c r="A189" s="2"/>
      <c r="B189" s="98" t="s">
        <v>135</v>
      </c>
      <c r="C189" s="99" t="s">
        <v>372</v>
      </c>
      <c r="D189" s="100" t="s">
        <v>304</v>
      </c>
      <c r="E189" s="100" t="s">
        <v>92</v>
      </c>
      <c r="F189" s="272" t="s">
        <v>92</v>
      </c>
      <c r="G189" s="272" t="s">
        <v>83</v>
      </c>
      <c r="H189" s="272" t="s">
        <v>90</v>
      </c>
      <c r="I189" s="273" t="s">
        <v>504</v>
      </c>
      <c r="J189" s="100" t="s">
        <v>136</v>
      </c>
      <c r="K189" s="252">
        <v>2072.1</v>
      </c>
      <c r="L189" s="252">
        <f>M189-K189</f>
        <v>0</v>
      </c>
      <c r="M189" s="252">
        <v>2072.1</v>
      </c>
      <c r="N189" s="252">
        <v>2072.1</v>
      </c>
    </row>
    <row r="190" spans="1:14" s="69" customFormat="1" ht="18.75" x14ac:dyDescent="0.3">
      <c r="A190" s="2"/>
      <c r="B190" s="98" t="s">
        <v>517</v>
      </c>
      <c r="C190" s="99" t="s">
        <v>372</v>
      </c>
      <c r="D190" s="100" t="s">
        <v>304</v>
      </c>
      <c r="E190" s="100" t="s">
        <v>119</v>
      </c>
      <c r="F190" s="272"/>
      <c r="G190" s="272"/>
      <c r="H190" s="272"/>
      <c r="I190" s="273"/>
      <c r="J190" s="100"/>
      <c r="K190" s="252">
        <f t="shared" ref="K190:N192" si="64">K191</f>
        <v>43264.6</v>
      </c>
      <c r="L190" s="252">
        <f t="shared" si="64"/>
        <v>0</v>
      </c>
      <c r="M190" s="252">
        <f t="shared" si="64"/>
        <v>43264.6</v>
      </c>
      <c r="N190" s="252">
        <f t="shared" si="64"/>
        <v>41646.799999999996</v>
      </c>
    </row>
    <row r="191" spans="1:14" s="69" customFormat="1" ht="56.25" x14ac:dyDescent="0.3">
      <c r="A191" s="2"/>
      <c r="B191" s="210" t="s">
        <v>284</v>
      </c>
      <c r="C191" s="99" t="s">
        <v>372</v>
      </c>
      <c r="D191" s="100" t="s">
        <v>304</v>
      </c>
      <c r="E191" s="100" t="s">
        <v>119</v>
      </c>
      <c r="F191" s="272" t="s">
        <v>92</v>
      </c>
      <c r="G191" s="272" t="s">
        <v>95</v>
      </c>
      <c r="H191" s="272" t="s">
        <v>96</v>
      </c>
      <c r="I191" s="273" t="s">
        <v>97</v>
      </c>
      <c r="J191" s="100"/>
      <c r="K191" s="252">
        <f t="shared" si="64"/>
        <v>43264.6</v>
      </c>
      <c r="L191" s="252">
        <f t="shared" si="64"/>
        <v>0</v>
      </c>
      <c r="M191" s="252">
        <f t="shared" si="64"/>
        <v>43264.6</v>
      </c>
      <c r="N191" s="252">
        <f t="shared" si="64"/>
        <v>41646.799999999996</v>
      </c>
    </row>
    <row r="192" spans="1:14" s="69" customFormat="1" ht="37.5" x14ac:dyDescent="0.3">
      <c r="A192" s="2"/>
      <c r="B192" s="98" t="s">
        <v>290</v>
      </c>
      <c r="C192" s="99" t="s">
        <v>372</v>
      </c>
      <c r="D192" s="100" t="s">
        <v>304</v>
      </c>
      <c r="E192" s="100" t="s">
        <v>119</v>
      </c>
      <c r="F192" s="272" t="s">
        <v>92</v>
      </c>
      <c r="G192" s="272" t="s">
        <v>150</v>
      </c>
      <c r="H192" s="272" t="s">
        <v>96</v>
      </c>
      <c r="I192" s="273" t="s">
        <v>97</v>
      </c>
      <c r="J192" s="100"/>
      <c r="K192" s="252">
        <f t="shared" si="64"/>
        <v>43264.6</v>
      </c>
      <c r="L192" s="252">
        <f t="shared" si="64"/>
        <v>0</v>
      </c>
      <c r="M192" s="252">
        <f t="shared" si="64"/>
        <v>43264.6</v>
      </c>
      <c r="N192" s="252">
        <f t="shared" si="64"/>
        <v>41646.799999999996</v>
      </c>
    </row>
    <row r="193" spans="1:14" s="69" customFormat="1" ht="37.5" x14ac:dyDescent="0.3">
      <c r="A193" s="2"/>
      <c r="B193" s="98" t="s">
        <v>383</v>
      </c>
      <c r="C193" s="99" t="s">
        <v>372</v>
      </c>
      <c r="D193" s="100" t="s">
        <v>304</v>
      </c>
      <c r="E193" s="100" t="s">
        <v>119</v>
      </c>
      <c r="F193" s="272" t="s">
        <v>92</v>
      </c>
      <c r="G193" s="272" t="s">
        <v>150</v>
      </c>
      <c r="H193" s="272" t="s">
        <v>90</v>
      </c>
      <c r="I193" s="273" t="s">
        <v>97</v>
      </c>
      <c r="J193" s="100"/>
      <c r="K193" s="252">
        <f t="shared" ref="K193" si="65">K194+K201+K199</f>
        <v>43264.6</v>
      </c>
      <c r="L193" s="252">
        <f>L194+L201+L199</f>
        <v>0</v>
      </c>
      <c r="M193" s="252">
        <f t="shared" ref="M193:N193" si="66">M194+M201+M199</f>
        <v>43264.6</v>
      </c>
      <c r="N193" s="252">
        <f t="shared" si="66"/>
        <v>41646.799999999996</v>
      </c>
    </row>
    <row r="194" spans="1:14" s="69" customFormat="1" ht="70.150000000000006" customHeight="1" x14ac:dyDescent="0.3">
      <c r="A194" s="2"/>
      <c r="B194" s="98" t="s">
        <v>151</v>
      </c>
      <c r="C194" s="99" t="s">
        <v>372</v>
      </c>
      <c r="D194" s="100" t="s">
        <v>304</v>
      </c>
      <c r="E194" s="100" t="s">
        <v>119</v>
      </c>
      <c r="F194" s="272" t="s">
        <v>92</v>
      </c>
      <c r="G194" s="272" t="s">
        <v>150</v>
      </c>
      <c r="H194" s="272" t="s">
        <v>90</v>
      </c>
      <c r="I194" s="273" t="s">
        <v>153</v>
      </c>
      <c r="J194" s="100"/>
      <c r="K194" s="252">
        <f>SUM(K195:K198)</f>
        <v>42982.2</v>
      </c>
      <c r="L194" s="252">
        <f>SUM(L195:L198)</f>
        <v>0</v>
      </c>
      <c r="M194" s="252">
        <f>SUM(M195:M198)</f>
        <v>42982.2</v>
      </c>
      <c r="N194" s="252">
        <f>SUM(N195:N198)</f>
        <v>41358.1</v>
      </c>
    </row>
    <row r="195" spans="1:14" s="69" customFormat="1" ht="70.150000000000006" customHeight="1" x14ac:dyDescent="0.3">
      <c r="A195" s="2"/>
      <c r="B195" s="232" t="s">
        <v>102</v>
      </c>
      <c r="C195" s="99" t="s">
        <v>372</v>
      </c>
      <c r="D195" s="100" t="s">
        <v>304</v>
      </c>
      <c r="E195" s="100" t="s">
        <v>119</v>
      </c>
      <c r="F195" s="343" t="s">
        <v>92</v>
      </c>
      <c r="G195" s="341" t="s">
        <v>150</v>
      </c>
      <c r="H195" s="341" t="s">
        <v>90</v>
      </c>
      <c r="I195" s="342" t="s">
        <v>153</v>
      </c>
      <c r="J195" s="100" t="s">
        <v>103</v>
      </c>
      <c r="K195" s="252">
        <v>23223.3</v>
      </c>
      <c r="L195" s="252">
        <f t="shared" ref="L195:L198" si="67">M195-K195</f>
        <v>0</v>
      </c>
      <c r="M195" s="252">
        <v>23223.3</v>
      </c>
      <c r="N195" s="252">
        <v>23223.3</v>
      </c>
    </row>
    <row r="196" spans="1:14" s="69" customFormat="1" ht="40.9" customHeight="1" x14ac:dyDescent="0.3">
      <c r="A196" s="2"/>
      <c r="B196" s="232" t="s">
        <v>108</v>
      </c>
      <c r="C196" s="99" t="s">
        <v>372</v>
      </c>
      <c r="D196" s="100" t="s">
        <v>304</v>
      </c>
      <c r="E196" s="100" t="s">
        <v>119</v>
      </c>
      <c r="F196" s="343" t="s">
        <v>92</v>
      </c>
      <c r="G196" s="341" t="s">
        <v>150</v>
      </c>
      <c r="H196" s="341" t="s">
        <v>90</v>
      </c>
      <c r="I196" s="342" t="s">
        <v>153</v>
      </c>
      <c r="J196" s="100" t="s">
        <v>109</v>
      </c>
      <c r="K196" s="252">
        <v>1876.6</v>
      </c>
      <c r="L196" s="252">
        <f t="shared" si="67"/>
        <v>0</v>
      </c>
      <c r="M196" s="252">
        <v>1876.6</v>
      </c>
      <c r="N196" s="252">
        <v>699.8</v>
      </c>
    </row>
    <row r="197" spans="1:14" s="69" customFormat="1" ht="56.25" x14ac:dyDescent="0.3">
      <c r="A197" s="2"/>
      <c r="B197" s="98" t="s">
        <v>135</v>
      </c>
      <c r="C197" s="99" t="s">
        <v>372</v>
      </c>
      <c r="D197" s="100" t="s">
        <v>304</v>
      </c>
      <c r="E197" s="100" t="s">
        <v>119</v>
      </c>
      <c r="F197" s="272" t="s">
        <v>92</v>
      </c>
      <c r="G197" s="272" t="s">
        <v>150</v>
      </c>
      <c r="H197" s="272" t="s">
        <v>90</v>
      </c>
      <c r="I197" s="273" t="s">
        <v>153</v>
      </c>
      <c r="J197" s="100" t="s">
        <v>136</v>
      </c>
      <c r="K197" s="252">
        <v>17822.599999999999</v>
      </c>
      <c r="L197" s="252">
        <f t="shared" si="67"/>
        <v>0</v>
      </c>
      <c r="M197" s="252">
        <v>17822.599999999999</v>
      </c>
      <c r="N197" s="252">
        <v>17376.099999999999</v>
      </c>
    </row>
    <row r="198" spans="1:14" s="69" customFormat="1" ht="18.75" x14ac:dyDescent="0.3">
      <c r="A198" s="2"/>
      <c r="B198" s="232" t="s">
        <v>110</v>
      </c>
      <c r="C198" s="99" t="s">
        <v>372</v>
      </c>
      <c r="D198" s="100" t="s">
        <v>304</v>
      </c>
      <c r="E198" s="100" t="s">
        <v>119</v>
      </c>
      <c r="F198" s="343" t="s">
        <v>92</v>
      </c>
      <c r="G198" s="341" t="s">
        <v>150</v>
      </c>
      <c r="H198" s="341" t="s">
        <v>90</v>
      </c>
      <c r="I198" s="342" t="s">
        <v>153</v>
      </c>
      <c r="J198" s="100" t="s">
        <v>111</v>
      </c>
      <c r="K198" s="252">
        <v>59.7</v>
      </c>
      <c r="L198" s="252">
        <f t="shared" si="67"/>
        <v>0</v>
      </c>
      <c r="M198" s="252">
        <v>59.7</v>
      </c>
      <c r="N198" s="252">
        <v>58.9</v>
      </c>
    </row>
    <row r="199" spans="1:14" s="372" customFormat="1" ht="206.25" x14ac:dyDescent="0.3">
      <c r="A199" s="358"/>
      <c r="B199" s="373" t="s">
        <v>700</v>
      </c>
      <c r="C199" s="374" t="s">
        <v>372</v>
      </c>
      <c r="D199" s="357" t="s">
        <v>304</v>
      </c>
      <c r="E199" s="357" t="s">
        <v>119</v>
      </c>
      <c r="F199" s="347" t="s">
        <v>92</v>
      </c>
      <c r="G199" s="569" t="s">
        <v>150</v>
      </c>
      <c r="H199" s="569" t="s">
        <v>90</v>
      </c>
      <c r="I199" s="570" t="s">
        <v>699</v>
      </c>
      <c r="J199" s="100"/>
      <c r="K199" s="377">
        <f t="shared" ref="K199:N199" si="68">K200</f>
        <v>125</v>
      </c>
      <c r="L199" s="377">
        <f t="shared" si="68"/>
        <v>0</v>
      </c>
      <c r="M199" s="377">
        <f t="shared" si="68"/>
        <v>125</v>
      </c>
      <c r="N199" s="377">
        <f t="shared" si="68"/>
        <v>125</v>
      </c>
    </row>
    <row r="200" spans="1:14" s="372" customFormat="1" ht="91.15" customHeight="1" x14ac:dyDescent="0.3">
      <c r="A200" s="358"/>
      <c r="B200" s="373" t="s">
        <v>102</v>
      </c>
      <c r="C200" s="374" t="s">
        <v>372</v>
      </c>
      <c r="D200" s="357" t="s">
        <v>304</v>
      </c>
      <c r="E200" s="357" t="s">
        <v>119</v>
      </c>
      <c r="F200" s="347" t="s">
        <v>92</v>
      </c>
      <c r="G200" s="569" t="s">
        <v>150</v>
      </c>
      <c r="H200" s="569" t="s">
        <v>90</v>
      </c>
      <c r="I200" s="570" t="s">
        <v>699</v>
      </c>
      <c r="J200" s="100" t="s">
        <v>103</v>
      </c>
      <c r="K200" s="252">
        <v>125</v>
      </c>
      <c r="L200" s="252">
        <f>M200-K200</f>
        <v>0</v>
      </c>
      <c r="M200" s="252">
        <v>125</v>
      </c>
      <c r="N200" s="252">
        <v>125</v>
      </c>
    </row>
    <row r="201" spans="1:14" s="69" customFormat="1" ht="177" customHeight="1" x14ac:dyDescent="0.3">
      <c r="A201" s="2"/>
      <c r="B201" s="98" t="s">
        <v>374</v>
      </c>
      <c r="C201" s="99" t="s">
        <v>372</v>
      </c>
      <c r="D201" s="100" t="s">
        <v>304</v>
      </c>
      <c r="E201" s="100" t="s">
        <v>119</v>
      </c>
      <c r="F201" s="272" t="s">
        <v>92</v>
      </c>
      <c r="G201" s="272" t="s">
        <v>150</v>
      </c>
      <c r="H201" s="272" t="s">
        <v>90</v>
      </c>
      <c r="I201" s="273" t="s">
        <v>375</v>
      </c>
      <c r="J201" s="100"/>
      <c r="K201" s="252">
        <f>K202</f>
        <v>157.4</v>
      </c>
      <c r="L201" s="252">
        <f>L202</f>
        <v>0</v>
      </c>
      <c r="M201" s="252">
        <f>M202</f>
        <v>157.4</v>
      </c>
      <c r="N201" s="252">
        <f>N202</f>
        <v>163.69999999999999</v>
      </c>
    </row>
    <row r="202" spans="1:14" s="69" customFormat="1" ht="90" customHeight="1" x14ac:dyDescent="0.3">
      <c r="A202" s="2"/>
      <c r="B202" s="232" t="s">
        <v>102</v>
      </c>
      <c r="C202" s="99" t="s">
        <v>372</v>
      </c>
      <c r="D202" s="100" t="s">
        <v>304</v>
      </c>
      <c r="E202" s="100" t="s">
        <v>119</v>
      </c>
      <c r="F202" s="272" t="s">
        <v>92</v>
      </c>
      <c r="G202" s="272" t="s">
        <v>150</v>
      </c>
      <c r="H202" s="272" t="s">
        <v>90</v>
      </c>
      <c r="I202" s="273" t="s">
        <v>375</v>
      </c>
      <c r="J202" s="100" t="s">
        <v>103</v>
      </c>
      <c r="K202" s="604">
        <f>193.3-35.9</f>
        <v>157.4</v>
      </c>
      <c r="L202" s="252">
        <f>M202-K202</f>
        <v>0</v>
      </c>
      <c r="M202" s="604">
        <f>193.3-35.9</f>
        <v>157.4</v>
      </c>
      <c r="N202" s="604">
        <f>203.2-39.5</f>
        <v>163.69999999999999</v>
      </c>
    </row>
    <row r="203" spans="1:14" s="372" customFormat="1" ht="18.75" x14ac:dyDescent="0.3">
      <c r="A203" s="358"/>
      <c r="B203" s="373" t="s">
        <v>518</v>
      </c>
      <c r="C203" s="374" t="s">
        <v>372</v>
      </c>
      <c r="D203" s="595" t="s">
        <v>304</v>
      </c>
      <c r="E203" s="595" t="s">
        <v>304</v>
      </c>
      <c r="F203" s="587"/>
      <c r="G203" s="588"/>
      <c r="H203" s="588"/>
      <c r="I203" s="589"/>
      <c r="J203" s="357"/>
      <c r="K203" s="377">
        <f>K204</f>
        <v>3759.6</v>
      </c>
      <c r="L203" s="377">
        <f>L204</f>
        <v>0</v>
      </c>
      <c r="M203" s="377">
        <f>M204</f>
        <v>3759.6</v>
      </c>
      <c r="N203" s="377">
        <f>N204</f>
        <v>3750.2</v>
      </c>
    </row>
    <row r="204" spans="1:14" s="372" customFormat="1" ht="56.25" x14ac:dyDescent="0.3">
      <c r="A204" s="358"/>
      <c r="B204" s="373" t="s">
        <v>284</v>
      </c>
      <c r="C204" s="374" t="s">
        <v>372</v>
      </c>
      <c r="D204" s="595" t="s">
        <v>304</v>
      </c>
      <c r="E204" s="595" t="s">
        <v>304</v>
      </c>
      <c r="F204" s="587" t="s">
        <v>92</v>
      </c>
      <c r="G204" s="588" t="s">
        <v>95</v>
      </c>
      <c r="H204" s="588" t="s">
        <v>96</v>
      </c>
      <c r="I204" s="589" t="s">
        <v>97</v>
      </c>
      <c r="J204" s="357"/>
      <c r="K204" s="377">
        <f t="shared" ref="K204:N205" si="69">K205</f>
        <v>3759.6</v>
      </c>
      <c r="L204" s="377">
        <f t="shared" si="69"/>
        <v>0</v>
      </c>
      <c r="M204" s="377">
        <f t="shared" si="69"/>
        <v>3759.6</v>
      </c>
      <c r="N204" s="377">
        <f t="shared" si="69"/>
        <v>3750.2</v>
      </c>
    </row>
    <row r="205" spans="1:14" s="372" customFormat="1" ht="56.25" x14ac:dyDescent="0.3">
      <c r="A205" s="358"/>
      <c r="B205" s="373" t="s">
        <v>292</v>
      </c>
      <c r="C205" s="374" t="s">
        <v>372</v>
      </c>
      <c r="D205" s="595" t="s">
        <v>304</v>
      </c>
      <c r="E205" s="595" t="s">
        <v>304</v>
      </c>
      <c r="F205" s="587" t="s">
        <v>92</v>
      </c>
      <c r="G205" s="588" t="s">
        <v>83</v>
      </c>
      <c r="H205" s="588" t="s">
        <v>96</v>
      </c>
      <c r="I205" s="589" t="s">
        <v>97</v>
      </c>
      <c r="J205" s="357"/>
      <c r="K205" s="377">
        <f t="shared" si="69"/>
        <v>3759.6</v>
      </c>
      <c r="L205" s="377">
        <f t="shared" si="69"/>
        <v>0</v>
      </c>
      <c r="M205" s="377">
        <f t="shared" si="69"/>
        <v>3759.6</v>
      </c>
      <c r="N205" s="377">
        <f t="shared" si="69"/>
        <v>3750.2</v>
      </c>
    </row>
    <row r="206" spans="1:14" s="372" customFormat="1" ht="32.450000000000003" customHeight="1" x14ac:dyDescent="0.3">
      <c r="A206" s="358"/>
      <c r="B206" s="373" t="s">
        <v>388</v>
      </c>
      <c r="C206" s="374" t="s">
        <v>372</v>
      </c>
      <c r="D206" s="595" t="s">
        <v>304</v>
      </c>
      <c r="E206" s="595" t="s">
        <v>304</v>
      </c>
      <c r="F206" s="587" t="s">
        <v>92</v>
      </c>
      <c r="G206" s="588" t="s">
        <v>83</v>
      </c>
      <c r="H206" s="588" t="s">
        <v>92</v>
      </c>
      <c r="I206" s="589" t="s">
        <v>97</v>
      </c>
      <c r="J206" s="357"/>
      <c r="K206" s="377">
        <f>K207</f>
        <v>3759.6</v>
      </c>
      <c r="L206" s="377">
        <f>L207</f>
        <v>0</v>
      </c>
      <c r="M206" s="377">
        <f>M207</f>
        <v>3759.6</v>
      </c>
      <c r="N206" s="377">
        <f>N207</f>
        <v>3750.2</v>
      </c>
    </row>
    <row r="207" spans="1:14" s="372" customFormat="1" ht="39" customHeight="1" x14ac:dyDescent="0.3">
      <c r="A207" s="358"/>
      <c r="B207" s="373" t="s">
        <v>506</v>
      </c>
      <c r="C207" s="374" t="s">
        <v>372</v>
      </c>
      <c r="D207" s="595" t="s">
        <v>304</v>
      </c>
      <c r="E207" s="595" t="s">
        <v>304</v>
      </c>
      <c r="F207" s="587" t="s">
        <v>92</v>
      </c>
      <c r="G207" s="588" t="s">
        <v>83</v>
      </c>
      <c r="H207" s="588" t="s">
        <v>92</v>
      </c>
      <c r="I207" s="589" t="s">
        <v>505</v>
      </c>
      <c r="J207" s="357"/>
      <c r="K207" s="377">
        <f t="shared" ref="K207:N207" si="70">K208</f>
        <v>3759.6</v>
      </c>
      <c r="L207" s="377">
        <f t="shared" si="70"/>
        <v>0</v>
      </c>
      <c r="M207" s="377">
        <f t="shared" si="70"/>
        <v>3759.6</v>
      </c>
      <c r="N207" s="377">
        <f t="shared" si="70"/>
        <v>3750.2</v>
      </c>
    </row>
    <row r="208" spans="1:14" s="372" customFormat="1" ht="56.25" x14ac:dyDescent="0.3">
      <c r="A208" s="358"/>
      <c r="B208" s="373" t="s">
        <v>135</v>
      </c>
      <c r="C208" s="374" t="s">
        <v>372</v>
      </c>
      <c r="D208" s="595" t="s">
        <v>304</v>
      </c>
      <c r="E208" s="595" t="s">
        <v>304</v>
      </c>
      <c r="F208" s="592" t="s">
        <v>92</v>
      </c>
      <c r="G208" s="593" t="s">
        <v>83</v>
      </c>
      <c r="H208" s="593" t="s">
        <v>92</v>
      </c>
      <c r="I208" s="594" t="s">
        <v>505</v>
      </c>
      <c r="J208" s="595" t="s">
        <v>136</v>
      </c>
      <c r="K208" s="591">
        <v>3759.6</v>
      </c>
      <c r="L208" s="252">
        <f>M208-K208</f>
        <v>0</v>
      </c>
      <c r="M208" s="591">
        <v>3759.6</v>
      </c>
      <c r="N208" s="591">
        <v>3750.2</v>
      </c>
    </row>
    <row r="209" spans="1:14" s="69" customFormat="1" ht="18.75" x14ac:dyDescent="0.3">
      <c r="A209" s="2"/>
      <c r="B209" s="98" t="s">
        <v>261</v>
      </c>
      <c r="C209" s="99" t="s">
        <v>372</v>
      </c>
      <c r="D209" s="100" t="s">
        <v>304</v>
      </c>
      <c r="E209" s="100" t="s">
        <v>139</v>
      </c>
      <c r="F209" s="272"/>
      <c r="G209" s="272"/>
      <c r="H209" s="272"/>
      <c r="I209" s="273"/>
      <c r="J209" s="100"/>
      <c r="K209" s="252">
        <f t="shared" ref="K209:N211" si="71">K210</f>
        <v>39346.5</v>
      </c>
      <c r="L209" s="252">
        <f t="shared" si="71"/>
        <v>0</v>
      </c>
      <c r="M209" s="252">
        <f t="shared" si="71"/>
        <v>39346.5</v>
      </c>
      <c r="N209" s="252">
        <f t="shared" si="71"/>
        <v>38419.1</v>
      </c>
    </row>
    <row r="210" spans="1:14" s="69" customFormat="1" ht="56.25" x14ac:dyDescent="0.3">
      <c r="A210" s="2"/>
      <c r="B210" s="98" t="s">
        <v>284</v>
      </c>
      <c r="C210" s="99" t="s">
        <v>372</v>
      </c>
      <c r="D210" s="100" t="s">
        <v>304</v>
      </c>
      <c r="E210" s="100" t="s">
        <v>139</v>
      </c>
      <c r="F210" s="272" t="s">
        <v>92</v>
      </c>
      <c r="G210" s="272" t="s">
        <v>95</v>
      </c>
      <c r="H210" s="272" t="s">
        <v>96</v>
      </c>
      <c r="I210" s="273" t="s">
        <v>97</v>
      </c>
      <c r="J210" s="100"/>
      <c r="K210" s="252">
        <f t="shared" si="71"/>
        <v>39346.5</v>
      </c>
      <c r="L210" s="252">
        <f t="shared" si="71"/>
        <v>0</v>
      </c>
      <c r="M210" s="252">
        <f t="shared" si="71"/>
        <v>39346.5</v>
      </c>
      <c r="N210" s="252">
        <f t="shared" si="71"/>
        <v>38419.1</v>
      </c>
    </row>
    <row r="211" spans="1:14" s="69" customFormat="1" ht="56.25" x14ac:dyDescent="0.3">
      <c r="A211" s="2"/>
      <c r="B211" s="98" t="s">
        <v>292</v>
      </c>
      <c r="C211" s="99" t="s">
        <v>372</v>
      </c>
      <c r="D211" s="100" t="s">
        <v>304</v>
      </c>
      <c r="E211" s="100" t="s">
        <v>139</v>
      </c>
      <c r="F211" s="272" t="s">
        <v>92</v>
      </c>
      <c r="G211" s="272" t="s">
        <v>83</v>
      </c>
      <c r="H211" s="272" t="s">
        <v>96</v>
      </c>
      <c r="I211" s="273" t="s">
        <v>97</v>
      </c>
      <c r="J211" s="100"/>
      <c r="K211" s="252">
        <f t="shared" si="71"/>
        <v>39346.5</v>
      </c>
      <c r="L211" s="252">
        <f t="shared" si="71"/>
        <v>0</v>
      </c>
      <c r="M211" s="252">
        <f t="shared" si="71"/>
        <v>39346.5</v>
      </c>
      <c r="N211" s="252">
        <f t="shared" si="71"/>
        <v>38419.1</v>
      </c>
    </row>
    <row r="212" spans="1:14" s="69" customFormat="1" ht="37.5" x14ac:dyDescent="0.3">
      <c r="A212" s="2"/>
      <c r="B212" s="98" t="s">
        <v>389</v>
      </c>
      <c r="C212" s="99" t="s">
        <v>372</v>
      </c>
      <c r="D212" s="100" t="s">
        <v>304</v>
      </c>
      <c r="E212" s="100" t="s">
        <v>139</v>
      </c>
      <c r="F212" s="272" t="s">
        <v>92</v>
      </c>
      <c r="G212" s="272" t="s">
        <v>83</v>
      </c>
      <c r="H212" s="272" t="s">
        <v>90</v>
      </c>
      <c r="I212" s="273" t="s">
        <v>97</v>
      </c>
      <c r="J212" s="100"/>
      <c r="K212" s="252">
        <f>K213+K217+K220</f>
        <v>39346.5</v>
      </c>
      <c r="L212" s="252">
        <f>L213+L217+L220</f>
        <v>0</v>
      </c>
      <c r="M212" s="252">
        <f>M213+M217+M220</f>
        <v>39346.5</v>
      </c>
      <c r="N212" s="252">
        <f>N213+N217+N220</f>
        <v>38419.1</v>
      </c>
    </row>
    <row r="213" spans="1:14" s="69" customFormat="1" ht="37.5" x14ac:dyDescent="0.3">
      <c r="A213" s="2"/>
      <c r="B213" s="98" t="s">
        <v>100</v>
      </c>
      <c r="C213" s="99" t="s">
        <v>372</v>
      </c>
      <c r="D213" s="100" t="s">
        <v>304</v>
      </c>
      <c r="E213" s="100" t="s">
        <v>139</v>
      </c>
      <c r="F213" s="272" t="s">
        <v>92</v>
      </c>
      <c r="G213" s="272" t="s">
        <v>83</v>
      </c>
      <c r="H213" s="272" t="s">
        <v>90</v>
      </c>
      <c r="I213" s="273" t="s">
        <v>101</v>
      </c>
      <c r="J213" s="100"/>
      <c r="K213" s="252">
        <f>K214+K215+K216</f>
        <v>8014.5</v>
      </c>
      <c r="L213" s="252">
        <f>L214+L215+L216</f>
        <v>0</v>
      </c>
      <c r="M213" s="252">
        <f>M214+M215+M216</f>
        <v>8014.5</v>
      </c>
      <c r="N213" s="252">
        <f>N214+N215+N216</f>
        <v>7866.5</v>
      </c>
    </row>
    <row r="214" spans="1:14" s="69" customFormat="1" ht="87.6" customHeight="1" x14ac:dyDescent="0.3">
      <c r="A214" s="2"/>
      <c r="B214" s="98" t="s">
        <v>102</v>
      </c>
      <c r="C214" s="99" t="s">
        <v>372</v>
      </c>
      <c r="D214" s="100" t="s">
        <v>304</v>
      </c>
      <c r="E214" s="100" t="s">
        <v>139</v>
      </c>
      <c r="F214" s="272" t="s">
        <v>92</v>
      </c>
      <c r="G214" s="272" t="s">
        <v>83</v>
      </c>
      <c r="H214" s="272" t="s">
        <v>90</v>
      </c>
      <c r="I214" s="273" t="s">
        <v>101</v>
      </c>
      <c r="J214" s="100" t="s">
        <v>103</v>
      </c>
      <c r="K214" s="252">
        <v>7866.5</v>
      </c>
      <c r="L214" s="252">
        <f t="shared" ref="L214:L216" si="72">M214-K214</f>
        <v>0</v>
      </c>
      <c r="M214" s="252">
        <v>7866.5</v>
      </c>
      <c r="N214" s="252">
        <v>7866.5</v>
      </c>
    </row>
    <row r="215" spans="1:14" s="69" customFormat="1" ht="31.9" customHeight="1" x14ac:dyDescent="0.3">
      <c r="A215" s="2"/>
      <c r="B215" s="98" t="s">
        <v>108</v>
      </c>
      <c r="C215" s="99" t="s">
        <v>372</v>
      </c>
      <c r="D215" s="100" t="s">
        <v>304</v>
      </c>
      <c r="E215" s="100" t="s">
        <v>139</v>
      </c>
      <c r="F215" s="272" t="s">
        <v>92</v>
      </c>
      <c r="G215" s="272" t="s">
        <v>83</v>
      </c>
      <c r="H215" s="272" t="s">
        <v>90</v>
      </c>
      <c r="I215" s="273" t="s">
        <v>101</v>
      </c>
      <c r="J215" s="100" t="s">
        <v>109</v>
      </c>
      <c r="K215" s="252">
        <v>133.19999999999999</v>
      </c>
      <c r="L215" s="252">
        <f t="shared" si="72"/>
        <v>0</v>
      </c>
      <c r="M215" s="252">
        <v>133.19999999999999</v>
      </c>
      <c r="N215" s="252">
        <v>0</v>
      </c>
    </row>
    <row r="216" spans="1:14" s="69" customFormat="1" ht="18.75" x14ac:dyDescent="0.3">
      <c r="A216" s="2"/>
      <c r="B216" s="98" t="s">
        <v>110</v>
      </c>
      <c r="C216" s="99" t="s">
        <v>372</v>
      </c>
      <c r="D216" s="100" t="s">
        <v>304</v>
      </c>
      <c r="E216" s="100" t="s">
        <v>139</v>
      </c>
      <c r="F216" s="272" t="s">
        <v>92</v>
      </c>
      <c r="G216" s="272" t="s">
        <v>83</v>
      </c>
      <c r="H216" s="272" t="s">
        <v>90</v>
      </c>
      <c r="I216" s="273" t="s">
        <v>101</v>
      </c>
      <c r="J216" s="100" t="s">
        <v>111</v>
      </c>
      <c r="K216" s="252">
        <v>14.8</v>
      </c>
      <c r="L216" s="252">
        <f t="shared" si="72"/>
        <v>0</v>
      </c>
      <c r="M216" s="252">
        <v>14.8</v>
      </c>
      <c r="N216" s="252">
        <v>0</v>
      </c>
    </row>
    <row r="217" spans="1:14" s="69" customFormat="1" ht="69.599999999999994" customHeight="1" x14ac:dyDescent="0.3">
      <c r="A217" s="2"/>
      <c r="B217" s="98" t="s">
        <v>151</v>
      </c>
      <c r="C217" s="99" t="s">
        <v>372</v>
      </c>
      <c r="D217" s="100" t="s">
        <v>304</v>
      </c>
      <c r="E217" s="100" t="s">
        <v>139</v>
      </c>
      <c r="F217" s="272" t="s">
        <v>92</v>
      </c>
      <c r="G217" s="272" t="s">
        <v>83</v>
      </c>
      <c r="H217" s="272" t="s">
        <v>90</v>
      </c>
      <c r="I217" s="273" t="s">
        <v>153</v>
      </c>
      <c r="J217" s="100"/>
      <c r="K217" s="252">
        <f t="shared" ref="K217" si="73">SUM(K218:K219)</f>
        <v>25568.799999999999</v>
      </c>
      <c r="L217" s="252">
        <f>SUM(L218:L219)</f>
        <v>0</v>
      </c>
      <c r="M217" s="252">
        <f t="shared" ref="M217:N217" si="74">SUM(M218:M219)</f>
        <v>25568.799999999999</v>
      </c>
      <c r="N217" s="252">
        <f t="shared" si="74"/>
        <v>24789.399999999998</v>
      </c>
    </row>
    <row r="218" spans="1:14" s="69" customFormat="1" ht="89.45" customHeight="1" x14ac:dyDescent="0.3">
      <c r="A218" s="2"/>
      <c r="B218" s="98" t="s">
        <v>102</v>
      </c>
      <c r="C218" s="99" t="s">
        <v>372</v>
      </c>
      <c r="D218" s="100" t="s">
        <v>304</v>
      </c>
      <c r="E218" s="100" t="s">
        <v>139</v>
      </c>
      <c r="F218" s="272" t="s">
        <v>92</v>
      </c>
      <c r="G218" s="272" t="s">
        <v>83</v>
      </c>
      <c r="H218" s="272" t="s">
        <v>90</v>
      </c>
      <c r="I218" s="273" t="s">
        <v>153</v>
      </c>
      <c r="J218" s="100" t="s">
        <v>103</v>
      </c>
      <c r="K218" s="252">
        <v>24757.3</v>
      </c>
      <c r="L218" s="252">
        <f t="shared" ref="L218:L219" si="75">M218-K218</f>
        <v>0</v>
      </c>
      <c r="M218" s="252">
        <v>24757.3</v>
      </c>
      <c r="N218" s="252">
        <v>24757.3</v>
      </c>
    </row>
    <row r="219" spans="1:14" s="69" customFormat="1" ht="33.6" customHeight="1" x14ac:dyDescent="0.3">
      <c r="A219" s="2"/>
      <c r="B219" s="98" t="s">
        <v>108</v>
      </c>
      <c r="C219" s="99" t="s">
        <v>372</v>
      </c>
      <c r="D219" s="100" t="s">
        <v>304</v>
      </c>
      <c r="E219" s="100" t="s">
        <v>139</v>
      </c>
      <c r="F219" s="272" t="s">
        <v>92</v>
      </c>
      <c r="G219" s="272" t="s">
        <v>83</v>
      </c>
      <c r="H219" s="272" t="s">
        <v>90</v>
      </c>
      <c r="I219" s="273" t="s">
        <v>153</v>
      </c>
      <c r="J219" s="100" t="s">
        <v>109</v>
      </c>
      <c r="K219" s="252">
        <v>811.5</v>
      </c>
      <c r="L219" s="252">
        <f t="shared" si="75"/>
        <v>0</v>
      </c>
      <c r="M219" s="252">
        <v>811.5</v>
      </c>
      <c r="N219" s="252">
        <v>32.1</v>
      </c>
    </row>
    <row r="220" spans="1:14" s="69" customFormat="1" ht="131.25" x14ac:dyDescent="0.3">
      <c r="A220" s="2"/>
      <c r="B220" s="232" t="s">
        <v>503</v>
      </c>
      <c r="C220" s="99" t="s">
        <v>372</v>
      </c>
      <c r="D220" s="100" t="s">
        <v>304</v>
      </c>
      <c r="E220" s="100" t="s">
        <v>139</v>
      </c>
      <c r="F220" s="343" t="s">
        <v>92</v>
      </c>
      <c r="G220" s="341" t="s">
        <v>83</v>
      </c>
      <c r="H220" s="341" t="s">
        <v>90</v>
      </c>
      <c r="I220" s="342" t="s">
        <v>376</v>
      </c>
      <c r="J220" s="100"/>
      <c r="K220" s="252">
        <f t="shared" ref="K220" si="76">SUM(K221:K222)</f>
        <v>5763.2</v>
      </c>
      <c r="L220" s="252">
        <f>SUM(L221:L222)</f>
        <v>0</v>
      </c>
      <c r="M220" s="252">
        <f t="shared" ref="M220:N220" si="77">SUM(M221:M222)</f>
        <v>5763.2</v>
      </c>
      <c r="N220" s="252">
        <f t="shared" si="77"/>
        <v>5763.2</v>
      </c>
    </row>
    <row r="221" spans="1:14" s="69" customFormat="1" ht="88.15" customHeight="1" x14ac:dyDescent="0.3">
      <c r="A221" s="2"/>
      <c r="B221" s="232" t="s">
        <v>102</v>
      </c>
      <c r="C221" s="99" t="s">
        <v>372</v>
      </c>
      <c r="D221" s="100" t="s">
        <v>304</v>
      </c>
      <c r="E221" s="100" t="s">
        <v>139</v>
      </c>
      <c r="F221" s="343" t="s">
        <v>92</v>
      </c>
      <c r="G221" s="341" t="s">
        <v>83</v>
      </c>
      <c r="H221" s="341" t="s">
        <v>90</v>
      </c>
      <c r="I221" s="342" t="s">
        <v>376</v>
      </c>
      <c r="J221" s="100" t="s">
        <v>103</v>
      </c>
      <c r="K221" s="252">
        <v>5594.5</v>
      </c>
      <c r="L221" s="252">
        <f t="shared" ref="L221:L222" si="78">M221-K221</f>
        <v>0</v>
      </c>
      <c r="M221" s="252">
        <v>5594.5</v>
      </c>
      <c r="N221" s="252">
        <v>5594.5</v>
      </c>
    </row>
    <row r="222" spans="1:14" s="372" customFormat="1" ht="36" customHeight="1" x14ac:dyDescent="0.3">
      <c r="A222" s="358"/>
      <c r="B222" s="373" t="s">
        <v>108</v>
      </c>
      <c r="C222" s="374" t="s">
        <v>372</v>
      </c>
      <c r="D222" s="357" t="s">
        <v>304</v>
      </c>
      <c r="E222" s="357" t="s">
        <v>139</v>
      </c>
      <c r="F222" s="566" t="s">
        <v>92</v>
      </c>
      <c r="G222" s="567" t="s">
        <v>83</v>
      </c>
      <c r="H222" s="567" t="s">
        <v>90</v>
      </c>
      <c r="I222" s="568" t="s">
        <v>376</v>
      </c>
      <c r="J222" s="357" t="s">
        <v>109</v>
      </c>
      <c r="K222" s="591">
        <f>61.1+107.6</f>
        <v>168.7</v>
      </c>
      <c r="L222" s="252">
        <f t="shared" si="78"/>
        <v>0</v>
      </c>
      <c r="M222" s="591">
        <f>61.1+107.6</f>
        <v>168.7</v>
      </c>
      <c r="N222" s="591">
        <f>61.1+107.6</f>
        <v>168.7</v>
      </c>
    </row>
    <row r="223" spans="1:14" s="69" customFormat="1" ht="18.75" x14ac:dyDescent="0.3">
      <c r="A223" s="2"/>
      <c r="B223" s="104" t="s">
        <v>182</v>
      </c>
      <c r="C223" s="99" t="s">
        <v>372</v>
      </c>
      <c r="D223" s="100" t="s">
        <v>167</v>
      </c>
      <c r="E223" s="100"/>
      <c r="F223" s="272"/>
      <c r="G223" s="272"/>
      <c r="H223" s="272"/>
      <c r="I223" s="273"/>
      <c r="J223" s="100"/>
      <c r="K223" s="252">
        <f t="shared" ref="K223:N224" si="79">K224</f>
        <v>9069.2000000000007</v>
      </c>
      <c r="L223" s="252">
        <f t="shared" si="79"/>
        <v>0</v>
      </c>
      <c r="M223" s="252">
        <f t="shared" si="79"/>
        <v>9069.2000000000007</v>
      </c>
      <c r="N223" s="252">
        <f t="shared" si="79"/>
        <v>9069.2000000000007</v>
      </c>
    </row>
    <row r="224" spans="1:14" s="69" customFormat="1" ht="18.75" x14ac:dyDescent="0.3">
      <c r="A224" s="2"/>
      <c r="B224" s="104" t="s">
        <v>272</v>
      </c>
      <c r="C224" s="99" t="s">
        <v>372</v>
      </c>
      <c r="D224" s="100" t="s">
        <v>167</v>
      </c>
      <c r="E224" s="100" t="s">
        <v>105</v>
      </c>
      <c r="F224" s="272"/>
      <c r="G224" s="272"/>
      <c r="H224" s="272"/>
      <c r="I224" s="273"/>
      <c r="J224" s="100"/>
      <c r="K224" s="252">
        <f t="shared" si="79"/>
        <v>9069.2000000000007</v>
      </c>
      <c r="L224" s="252">
        <f t="shared" si="79"/>
        <v>0</v>
      </c>
      <c r="M224" s="252">
        <f t="shared" si="79"/>
        <v>9069.2000000000007</v>
      </c>
      <c r="N224" s="252">
        <f t="shared" si="79"/>
        <v>9069.2000000000007</v>
      </c>
    </row>
    <row r="225" spans="1:16" s="69" customFormat="1" ht="56.25" x14ac:dyDescent="0.3">
      <c r="A225" s="2"/>
      <c r="B225" s="98" t="s">
        <v>284</v>
      </c>
      <c r="C225" s="99" t="s">
        <v>372</v>
      </c>
      <c r="D225" s="100" t="s">
        <v>167</v>
      </c>
      <c r="E225" s="100" t="s">
        <v>105</v>
      </c>
      <c r="F225" s="272" t="s">
        <v>92</v>
      </c>
      <c r="G225" s="272" t="s">
        <v>95</v>
      </c>
      <c r="H225" s="272" t="s">
        <v>96</v>
      </c>
      <c r="I225" s="273" t="s">
        <v>97</v>
      </c>
      <c r="J225" s="100"/>
      <c r="K225" s="252">
        <f t="shared" ref="K225:N227" si="80">K226</f>
        <v>9069.2000000000007</v>
      </c>
      <c r="L225" s="252">
        <f t="shared" si="80"/>
        <v>0</v>
      </c>
      <c r="M225" s="252">
        <f t="shared" si="80"/>
        <v>9069.2000000000007</v>
      </c>
      <c r="N225" s="252">
        <f t="shared" si="80"/>
        <v>9069.2000000000007</v>
      </c>
    </row>
    <row r="226" spans="1:16" s="69" customFormat="1" ht="37.5" x14ac:dyDescent="0.3">
      <c r="A226" s="2"/>
      <c r="B226" s="98" t="s">
        <v>285</v>
      </c>
      <c r="C226" s="99" t="s">
        <v>372</v>
      </c>
      <c r="D226" s="100" t="s">
        <v>167</v>
      </c>
      <c r="E226" s="100" t="s">
        <v>105</v>
      </c>
      <c r="F226" s="272" t="s">
        <v>92</v>
      </c>
      <c r="G226" s="272" t="s">
        <v>98</v>
      </c>
      <c r="H226" s="272" t="s">
        <v>96</v>
      </c>
      <c r="I226" s="273" t="s">
        <v>97</v>
      </c>
      <c r="J226" s="100"/>
      <c r="K226" s="252">
        <f t="shared" si="80"/>
        <v>9069.2000000000007</v>
      </c>
      <c r="L226" s="252">
        <f t="shared" si="80"/>
        <v>0</v>
      </c>
      <c r="M226" s="252">
        <f t="shared" si="80"/>
        <v>9069.2000000000007</v>
      </c>
      <c r="N226" s="252">
        <f t="shared" si="80"/>
        <v>9069.2000000000007</v>
      </c>
    </row>
    <row r="227" spans="1:16" s="69" customFormat="1" ht="15.6" customHeight="1" x14ac:dyDescent="0.3">
      <c r="A227" s="2"/>
      <c r="B227" s="98" t="s">
        <v>373</v>
      </c>
      <c r="C227" s="99" t="s">
        <v>372</v>
      </c>
      <c r="D227" s="100" t="s">
        <v>167</v>
      </c>
      <c r="E227" s="100" t="s">
        <v>105</v>
      </c>
      <c r="F227" s="272" t="s">
        <v>92</v>
      </c>
      <c r="G227" s="272" t="s">
        <v>98</v>
      </c>
      <c r="H227" s="272" t="s">
        <v>90</v>
      </c>
      <c r="I227" s="273" t="s">
        <v>97</v>
      </c>
      <c r="J227" s="100"/>
      <c r="K227" s="252">
        <f t="shared" si="80"/>
        <v>9069.2000000000007</v>
      </c>
      <c r="L227" s="252">
        <f t="shared" si="80"/>
        <v>0</v>
      </c>
      <c r="M227" s="252">
        <f t="shared" si="80"/>
        <v>9069.2000000000007</v>
      </c>
      <c r="N227" s="252">
        <f t="shared" si="80"/>
        <v>9069.2000000000007</v>
      </c>
    </row>
    <row r="228" spans="1:16" s="69" customFormat="1" ht="124.15" customHeight="1" x14ac:dyDescent="0.3">
      <c r="A228" s="2"/>
      <c r="B228" s="98" t="s">
        <v>390</v>
      </c>
      <c r="C228" s="291" t="s">
        <v>372</v>
      </c>
      <c r="D228" s="292" t="s">
        <v>167</v>
      </c>
      <c r="E228" s="292" t="s">
        <v>105</v>
      </c>
      <c r="F228" s="293" t="s">
        <v>92</v>
      </c>
      <c r="G228" s="293" t="s">
        <v>98</v>
      </c>
      <c r="H228" s="293" t="s">
        <v>90</v>
      </c>
      <c r="I228" s="294" t="s">
        <v>391</v>
      </c>
      <c r="J228" s="292"/>
      <c r="K228" s="252">
        <f>K229+K230</f>
        <v>9069.2000000000007</v>
      </c>
      <c r="L228" s="252">
        <f>L229+L230</f>
        <v>0</v>
      </c>
      <c r="M228" s="252">
        <f>M229+M230</f>
        <v>9069.2000000000007</v>
      </c>
      <c r="N228" s="252">
        <f>N229+N230</f>
        <v>9069.2000000000007</v>
      </c>
    </row>
    <row r="229" spans="1:16" s="69" customFormat="1" ht="32.450000000000003" customHeight="1" x14ac:dyDescent="0.3">
      <c r="A229" s="2"/>
      <c r="B229" s="98" t="s">
        <v>108</v>
      </c>
      <c r="C229" s="99" t="s">
        <v>372</v>
      </c>
      <c r="D229" s="100" t="s">
        <v>167</v>
      </c>
      <c r="E229" s="100" t="s">
        <v>105</v>
      </c>
      <c r="F229" s="272" t="s">
        <v>92</v>
      </c>
      <c r="G229" s="272" t="s">
        <v>98</v>
      </c>
      <c r="H229" s="272" t="s">
        <v>90</v>
      </c>
      <c r="I229" s="273" t="s">
        <v>391</v>
      </c>
      <c r="J229" s="100" t="s">
        <v>109</v>
      </c>
      <c r="K229" s="252">
        <v>134</v>
      </c>
      <c r="L229" s="252">
        <f t="shared" ref="L229:L230" si="81">M229-K229</f>
        <v>0</v>
      </c>
      <c r="M229" s="252">
        <v>134</v>
      </c>
      <c r="N229" s="252">
        <v>134</v>
      </c>
    </row>
    <row r="230" spans="1:16" s="69" customFormat="1" ht="34.15" customHeight="1" x14ac:dyDescent="0.3">
      <c r="A230" s="2"/>
      <c r="B230" s="102" t="s">
        <v>183</v>
      </c>
      <c r="C230" s="291" t="s">
        <v>372</v>
      </c>
      <c r="D230" s="292" t="s">
        <v>167</v>
      </c>
      <c r="E230" s="292" t="s">
        <v>105</v>
      </c>
      <c r="F230" s="293" t="s">
        <v>92</v>
      </c>
      <c r="G230" s="293" t="s">
        <v>98</v>
      </c>
      <c r="H230" s="293" t="s">
        <v>90</v>
      </c>
      <c r="I230" s="294" t="s">
        <v>391</v>
      </c>
      <c r="J230" s="292" t="s">
        <v>184</v>
      </c>
      <c r="K230" s="295">
        <v>8935.2000000000007</v>
      </c>
      <c r="L230" s="252">
        <f t="shared" si="81"/>
        <v>0</v>
      </c>
      <c r="M230" s="295">
        <v>8935.2000000000007</v>
      </c>
      <c r="N230" s="295">
        <v>8935.2000000000007</v>
      </c>
    </row>
    <row r="231" spans="1:16" ht="18.75" x14ac:dyDescent="0.3">
      <c r="A231" s="2"/>
      <c r="B231" s="98"/>
      <c r="C231" s="128"/>
      <c r="D231" s="129"/>
      <c r="E231" s="129"/>
      <c r="F231" s="130"/>
      <c r="G231" s="130"/>
      <c r="H231" s="130"/>
      <c r="I231" s="131"/>
      <c r="J231" s="129"/>
      <c r="K231" s="252"/>
      <c r="L231" s="252"/>
      <c r="M231" s="252"/>
      <c r="N231" s="252"/>
    </row>
    <row r="232" spans="1:16" s="69" customFormat="1" ht="56.25" x14ac:dyDescent="0.3">
      <c r="A232" s="161">
        <v>6</v>
      </c>
      <c r="B232" s="196" t="s">
        <v>57</v>
      </c>
      <c r="C232" s="94" t="s">
        <v>453</v>
      </c>
      <c r="D232" s="95"/>
      <c r="E232" s="95"/>
      <c r="F232" s="96"/>
      <c r="G232" s="96"/>
      <c r="H232" s="96"/>
      <c r="I232" s="97"/>
      <c r="J232" s="95"/>
      <c r="K232" s="251">
        <f>K233+K240</f>
        <v>77122.7</v>
      </c>
      <c r="L232" s="251">
        <f>L233+L240</f>
        <v>0</v>
      </c>
      <c r="M232" s="251">
        <f>M233+M240</f>
        <v>77122.7</v>
      </c>
      <c r="N232" s="251">
        <f>N233+N240</f>
        <v>77097.5</v>
      </c>
    </row>
    <row r="233" spans="1:16" s="70" customFormat="1" ht="18.75" x14ac:dyDescent="0.3">
      <c r="A233" s="2"/>
      <c r="B233" s="103" t="s">
        <v>254</v>
      </c>
      <c r="C233" s="99" t="s">
        <v>453</v>
      </c>
      <c r="D233" s="100" t="s">
        <v>304</v>
      </c>
      <c r="E233" s="100"/>
      <c r="F233" s="272"/>
      <c r="G233" s="272"/>
      <c r="H233" s="272"/>
      <c r="I233" s="273"/>
      <c r="J233" s="100"/>
      <c r="K233" s="252">
        <f t="shared" ref="K233:N235" si="82">K234</f>
        <v>48567.5</v>
      </c>
      <c r="L233" s="252">
        <f t="shared" si="82"/>
        <v>0</v>
      </c>
      <c r="M233" s="252">
        <f t="shared" si="82"/>
        <v>48567.5</v>
      </c>
      <c r="N233" s="252">
        <f t="shared" si="82"/>
        <v>48567.5</v>
      </c>
    </row>
    <row r="234" spans="1:16" s="67" customFormat="1" ht="18.75" x14ac:dyDescent="0.3">
      <c r="A234" s="2"/>
      <c r="B234" s="103" t="s">
        <v>517</v>
      </c>
      <c r="C234" s="99" t="s">
        <v>453</v>
      </c>
      <c r="D234" s="100" t="s">
        <v>304</v>
      </c>
      <c r="E234" s="100" t="s">
        <v>119</v>
      </c>
      <c r="F234" s="272"/>
      <c r="G234" s="272"/>
      <c r="H234" s="272"/>
      <c r="I234" s="273"/>
      <c r="J234" s="100"/>
      <c r="K234" s="252">
        <f t="shared" si="82"/>
        <v>48567.5</v>
      </c>
      <c r="L234" s="252">
        <f t="shared" si="82"/>
        <v>0</v>
      </c>
      <c r="M234" s="252">
        <f t="shared" si="82"/>
        <v>48567.5</v>
      </c>
      <c r="N234" s="252">
        <f t="shared" si="82"/>
        <v>48567.5</v>
      </c>
    </row>
    <row r="235" spans="1:16" s="67" customFormat="1" ht="56.25" x14ac:dyDescent="0.3">
      <c r="A235" s="2"/>
      <c r="B235" s="103" t="s">
        <v>293</v>
      </c>
      <c r="C235" s="99" t="s">
        <v>453</v>
      </c>
      <c r="D235" s="100" t="s">
        <v>304</v>
      </c>
      <c r="E235" s="100" t="s">
        <v>119</v>
      </c>
      <c r="F235" s="272" t="s">
        <v>119</v>
      </c>
      <c r="G235" s="272" t="s">
        <v>95</v>
      </c>
      <c r="H235" s="272" t="s">
        <v>96</v>
      </c>
      <c r="I235" s="273" t="s">
        <v>97</v>
      </c>
      <c r="J235" s="100"/>
      <c r="K235" s="252">
        <f t="shared" si="82"/>
        <v>48567.5</v>
      </c>
      <c r="L235" s="252">
        <f t="shared" si="82"/>
        <v>0</v>
      </c>
      <c r="M235" s="252">
        <f t="shared" si="82"/>
        <v>48567.5</v>
      </c>
      <c r="N235" s="252">
        <f t="shared" si="82"/>
        <v>48567.5</v>
      </c>
    </row>
    <row r="236" spans="1:16" s="67" customFormat="1" ht="75" x14ac:dyDescent="0.3">
      <c r="A236" s="2"/>
      <c r="B236" s="103" t="s">
        <v>294</v>
      </c>
      <c r="C236" s="99" t="s">
        <v>453</v>
      </c>
      <c r="D236" s="100" t="s">
        <v>304</v>
      </c>
      <c r="E236" s="100" t="s">
        <v>119</v>
      </c>
      <c r="F236" s="272" t="s">
        <v>119</v>
      </c>
      <c r="G236" s="272" t="s">
        <v>98</v>
      </c>
      <c r="H236" s="272" t="s">
        <v>96</v>
      </c>
      <c r="I236" s="273" t="s">
        <v>97</v>
      </c>
      <c r="J236" s="100"/>
      <c r="K236" s="252">
        <f t="shared" ref="K236:N238" si="83">K237</f>
        <v>48567.5</v>
      </c>
      <c r="L236" s="252">
        <f t="shared" si="83"/>
        <v>0</v>
      </c>
      <c r="M236" s="252">
        <f t="shared" si="83"/>
        <v>48567.5</v>
      </c>
      <c r="N236" s="252">
        <f t="shared" si="83"/>
        <v>48567.5</v>
      </c>
    </row>
    <row r="237" spans="1:16" s="67" customFormat="1" ht="37.5" x14ac:dyDescent="0.3">
      <c r="A237" s="2"/>
      <c r="B237" s="103" t="s">
        <v>383</v>
      </c>
      <c r="C237" s="99" t="s">
        <v>453</v>
      </c>
      <c r="D237" s="100" t="s">
        <v>304</v>
      </c>
      <c r="E237" s="100" t="s">
        <v>119</v>
      </c>
      <c r="F237" s="272" t="s">
        <v>119</v>
      </c>
      <c r="G237" s="272" t="s">
        <v>98</v>
      </c>
      <c r="H237" s="272" t="s">
        <v>90</v>
      </c>
      <c r="I237" s="273" t="s">
        <v>97</v>
      </c>
      <c r="J237" s="100"/>
      <c r="K237" s="252">
        <f t="shared" si="83"/>
        <v>48567.5</v>
      </c>
      <c r="L237" s="252">
        <f t="shared" si="83"/>
        <v>0</v>
      </c>
      <c r="M237" s="252">
        <f t="shared" si="83"/>
        <v>48567.5</v>
      </c>
      <c r="N237" s="252">
        <f t="shared" si="83"/>
        <v>48567.5</v>
      </c>
    </row>
    <row r="238" spans="1:16" s="67" customFormat="1" ht="67.900000000000006" customHeight="1" x14ac:dyDescent="0.3">
      <c r="A238" s="2"/>
      <c r="B238" s="101" t="s">
        <v>454</v>
      </c>
      <c r="C238" s="99" t="s">
        <v>453</v>
      </c>
      <c r="D238" s="100" t="s">
        <v>304</v>
      </c>
      <c r="E238" s="100" t="s">
        <v>119</v>
      </c>
      <c r="F238" s="272" t="s">
        <v>119</v>
      </c>
      <c r="G238" s="272" t="s">
        <v>98</v>
      </c>
      <c r="H238" s="272" t="s">
        <v>90</v>
      </c>
      <c r="I238" s="273" t="s">
        <v>153</v>
      </c>
      <c r="J238" s="100"/>
      <c r="K238" s="252">
        <f t="shared" si="83"/>
        <v>48567.5</v>
      </c>
      <c r="L238" s="252">
        <f t="shared" si="83"/>
        <v>0</v>
      </c>
      <c r="M238" s="252">
        <f t="shared" si="83"/>
        <v>48567.5</v>
      </c>
      <c r="N238" s="252">
        <f t="shared" si="83"/>
        <v>48567.5</v>
      </c>
    </row>
    <row r="239" spans="1:16" s="70" customFormat="1" ht="56.25" x14ac:dyDescent="0.3">
      <c r="A239" s="2"/>
      <c r="B239" s="102" t="s">
        <v>135</v>
      </c>
      <c r="C239" s="99" t="s">
        <v>453</v>
      </c>
      <c r="D239" s="100" t="s">
        <v>304</v>
      </c>
      <c r="E239" s="100" t="s">
        <v>119</v>
      </c>
      <c r="F239" s="272" t="s">
        <v>119</v>
      </c>
      <c r="G239" s="272" t="s">
        <v>98</v>
      </c>
      <c r="H239" s="272" t="s">
        <v>90</v>
      </c>
      <c r="I239" s="273" t="s">
        <v>153</v>
      </c>
      <c r="J239" s="100" t="s">
        <v>136</v>
      </c>
      <c r="K239" s="252">
        <v>48567.5</v>
      </c>
      <c r="L239" s="252">
        <f>M239-K239</f>
        <v>0</v>
      </c>
      <c r="M239" s="252">
        <v>48567.5</v>
      </c>
      <c r="N239" s="252">
        <v>48567.5</v>
      </c>
    </row>
    <row r="240" spans="1:16" s="70" customFormat="1" ht="18.75" x14ac:dyDescent="0.3">
      <c r="A240" s="2"/>
      <c r="B240" s="98" t="s">
        <v>263</v>
      </c>
      <c r="C240" s="99" t="s">
        <v>453</v>
      </c>
      <c r="D240" s="100" t="s">
        <v>306</v>
      </c>
      <c r="E240" s="100"/>
      <c r="F240" s="272"/>
      <c r="G240" s="272"/>
      <c r="H240" s="272"/>
      <c r="I240" s="273"/>
      <c r="J240" s="100"/>
      <c r="K240" s="252">
        <f>K241+K250</f>
        <v>28555.200000000001</v>
      </c>
      <c r="L240" s="252">
        <f>L241+L250</f>
        <v>0</v>
      </c>
      <c r="M240" s="252">
        <f>M241+M250</f>
        <v>28555.200000000001</v>
      </c>
      <c r="N240" s="252">
        <f>N241+N250</f>
        <v>28530</v>
      </c>
      <c r="P240" s="71"/>
    </row>
    <row r="241" spans="1:16" s="70" customFormat="1" ht="18.75" x14ac:dyDescent="0.3">
      <c r="A241" s="2"/>
      <c r="B241" s="98" t="s">
        <v>265</v>
      </c>
      <c r="C241" s="99" t="s">
        <v>453</v>
      </c>
      <c r="D241" s="100" t="s">
        <v>306</v>
      </c>
      <c r="E241" s="100" t="s">
        <v>90</v>
      </c>
      <c r="F241" s="272"/>
      <c r="G241" s="272"/>
      <c r="H241" s="272"/>
      <c r="I241" s="273"/>
      <c r="J241" s="100"/>
      <c r="K241" s="252">
        <f t="shared" ref="K241:N242" si="84">K242</f>
        <v>20598</v>
      </c>
      <c r="L241" s="252">
        <f t="shared" si="84"/>
        <v>0</v>
      </c>
      <c r="M241" s="252">
        <f t="shared" si="84"/>
        <v>20598</v>
      </c>
      <c r="N241" s="252">
        <f t="shared" si="84"/>
        <v>20598</v>
      </c>
    </row>
    <row r="242" spans="1:16" s="70" customFormat="1" ht="56.25" x14ac:dyDescent="0.3">
      <c r="A242" s="2"/>
      <c r="B242" s="103" t="s">
        <v>293</v>
      </c>
      <c r="C242" s="99" t="s">
        <v>453</v>
      </c>
      <c r="D242" s="100" t="s">
        <v>306</v>
      </c>
      <c r="E242" s="100" t="s">
        <v>90</v>
      </c>
      <c r="F242" s="272" t="s">
        <v>119</v>
      </c>
      <c r="G242" s="272" t="s">
        <v>95</v>
      </c>
      <c r="H242" s="272" t="s">
        <v>96</v>
      </c>
      <c r="I242" s="273" t="s">
        <v>97</v>
      </c>
      <c r="J242" s="100"/>
      <c r="K242" s="252">
        <f t="shared" si="84"/>
        <v>20598</v>
      </c>
      <c r="L242" s="252">
        <f t="shared" si="84"/>
        <v>0</v>
      </c>
      <c r="M242" s="252">
        <f t="shared" si="84"/>
        <v>20598</v>
      </c>
      <c r="N242" s="252">
        <f t="shared" si="84"/>
        <v>20598</v>
      </c>
      <c r="P242" s="71"/>
    </row>
    <row r="243" spans="1:16" s="9" customFormat="1" ht="75" x14ac:dyDescent="0.3">
      <c r="A243" s="2"/>
      <c r="B243" s="103" t="s">
        <v>294</v>
      </c>
      <c r="C243" s="99" t="s">
        <v>453</v>
      </c>
      <c r="D243" s="100" t="s">
        <v>306</v>
      </c>
      <c r="E243" s="100" t="s">
        <v>90</v>
      </c>
      <c r="F243" s="130" t="s">
        <v>119</v>
      </c>
      <c r="G243" s="130" t="s">
        <v>98</v>
      </c>
      <c r="H243" s="130" t="s">
        <v>96</v>
      </c>
      <c r="I243" s="131" t="s">
        <v>97</v>
      </c>
      <c r="J243" s="129"/>
      <c r="K243" s="252">
        <f>K244+K247</f>
        <v>20598</v>
      </c>
      <c r="L243" s="252">
        <f>L244+L247</f>
        <v>0</v>
      </c>
      <c r="M243" s="252">
        <f>M244+M247</f>
        <v>20598</v>
      </c>
      <c r="N243" s="252">
        <f>N244+N247</f>
        <v>20598</v>
      </c>
    </row>
    <row r="244" spans="1:16" s="9" customFormat="1" ht="18.75" x14ac:dyDescent="0.3">
      <c r="A244" s="2"/>
      <c r="B244" s="98" t="s">
        <v>457</v>
      </c>
      <c r="C244" s="99" t="s">
        <v>453</v>
      </c>
      <c r="D244" s="100" t="s">
        <v>306</v>
      </c>
      <c r="E244" s="100" t="s">
        <v>90</v>
      </c>
      <c r="F244" s="130" t="s">
        <v>119</v>
      </c>
      <c r="G244" s="130" t="s">
        <v>98</v>
      </c>
      <c r="H244" s="130" t="s">
        <v>119</v>
      </c>
      <c r="I244" s="131" t="s">
        <v>97</v>
      </c>
      <c r="J244" s="129"/>
      <c r="K244" s="252">
        <f t="shared" ref="K244:N245" si="85">K245</f>
        <v>10543.8</v>
      </c>
      <c r="L244" s="252">
        <f t="shared" si="85"/>
        <v>0</v>
      </c>
      <c r="M244" s="252">
        <f t="shared" si="85"/>
        <v>10543.8</v>
      </c>
      <c r="N244" s="252">
        <f t="shared" si="85"/>
        <v>10543.8</v>
      </c>
    </row>
    <row r="245" spans="1:16" s="9" customFormat="1" ht="68.45" customHeight="1" x14ac:dyDescent="0.3">
      <c r="A245" s="2"/>
      <c r="B245" s="101" t="s">
        <v>458</v>
      </c>
      <c r="C245" s="99" t="s">
        <v>453</v>
      </c>
      <c r="D245" s="100" t="s">
        <v>306</v>
      </c>
      <c r="E245" s="100" t="s">
        <v>90</v>
      </c>
      <c r="F245" s="130" t="s">
        <v>119</v>
      </c>
      <c r="G245" s="130" t="s">
        <v>98</v>
      </c>
      <c r="H245" s="130" t="s">
        <v>119</v>
      </c>
      <c r="I245" s="131" t="s">
        <v>153</v>
      </c>
      <c r="J245" s="129"/>
      <c r="K245" s="252">
        <f t="shared" si="85"/>
        <v>10543.8</v>
      </c>
      <c r="L245" s="252">
        <f t="shared" si="85"/>
        <v>0</v>
      </c>
      <c r="M245" s="252">
        <f t="shared" si="85"/>
        <v>10543.8</v>
      </c>
      <c r="N245" s="252">
        <f t="shared" si="85"/>
        <v>10543.8</v>
      </c>
    </row>
    <row r="246" spans="1:16" s="70" customFormat="1" ht="56.25" x14ac:dyDescent="0.3">
      <c r="A246" s="2"/>
      <c r="B246" s="102" t="s">
        <v>135</v>
      </c>
      <c r="C246" s="99" t="s">
        <v>453</v>
      </c>
      <c r="D246" s="100" t="s">
        <v>306</v>
      </c>
      <c r="E246" s="100" t="s">
        <v>90</v>
      </c>
      <c r="F246" s="272" t="s">
        <v>119</v>
      </c>
      <c r="G246" s="272" t="s">
        <v>98</v>
      </c>
      <c r="H246" s="272" t="s">
        <v>119</v>
      </c>
      <c r="I246" s="273" t="s">
        <v>153</v>
      </c>
      <c r="J246" s="100" t="s">
        <v>136</v>
      </c>
      <c r="K246" s="252">
        <v>10543.8</v>
      </c>
      <c r="L246" s="252">
        <f>M246-K246</f>
        <v>0</v>
      </c>
      <c r="M246" s="252">
        <v>10543.8</v>
      </c>
      <c r="N246" s="252">
        <v>10543.8</v>
      </c>
      <c r="P246" s="71"/>
    </row>
    <row r="247" spans="1:16" s="9" customFormat="1" ht="37.5" x14ac:dyDescent="0.3">
      <c r="A247" s="2"/>
      <c r="B247" s="102" t="s">
        <v>460</v>
      </c>
      <c r="C247" s="99" t="s">
        <v>453</v>
      </c>
      <c r="D247" s="100" t="s">
        <v>306</v>
      </c>
      <c r="E247" s="100" t="s">
        <v>90</v>
      </c>
      <c r="F247" s="130" t="s">
        <v>119</v>
      </c>
      <c r="G247" s="130" t="s">
        <v>98</v>
      </c>
      <c r="H247" s="130" t="s">
        <v>105</v>
      </c>
      <c r="I247" s="273" t="s">
        <v>97</v>
      </c>
      <c r="J247" s="100"/>
      <c r="K247" s="252">
        <f>K248</f>
        <v>10054.200000000001</v>
      </c>
      <c r="L247" s="252">
        <f>L248</f>
        <v>0</v>
      </c>
      <c r="M247" s="252">
        <f>M248</f>
        <v>10054.200000000001</v>
      </c>
      <c r="N247" s="252">
        <f>N248</f>
        <v>10054.200000000001</v>
      </c>
    </row>
    <row r="248" spans="1:16" s="9" customFormat="1" ht="71.45" customHeight="1" x14ac:dyDescent="0.3">
      <c r="A248" s="2"/>
      <c r="B248" s="101" t="s">
        <v>458</v>
      </c>
      <c r="C248" s="99" t="s">
        <v>453</v>
      </c>
      <c r="D248" s="100" t="s">
        <v>306</v>
      </c>
      <c r="E248" s="100" t="s">
        <v>90</v>
      </c>
      <c r="F248" s="130" t="s">
        <v>119</v>
      </c>
      <c r="G248" s="130" t="s">
        <v>98</v>
      </c>
      <c r="H248" s="130" t="s">
        <v>105</v>
      </c>
      <c r="I248" s="131" t="s">
        <v>153</v>
      </c>
      <c r="J248" s="129"/>
      <c r="K248" s="252">
        <f>SUM(K249:K249)</f>
        <v>10054.200000000001</v>
      </c>
      <c r="L248" s="252">
        <f>SUM(L249:L249)</f>
        <v>0</v>
      </c>
      <c r="M248" s="252">
        <f>SUM(M249:M249)</f>
        <v>10054.200000000001</v>
      </c>
      <c r="N248" s="252">
        <f>SUM(N249:N249)</f>
        <v>10054.200000000001</v>
      </c>
    </row>
    <row r="249" spans="1:16" s="70" customFormat="1" ht="92.45" customHeight="1" x14ac:dyDescent="0.3">
      <c r="A249" s="2"/>
      <c r="B249" s="232" t="s">
        <v>102</v>
      </c>
      <c r="C249" s="99" t="s">
        <v>453</v>
      </c>
      <c r="D249" s="100" t="s">
        <v>306</v>
      </c>
      <c r="E249" s="100" t="s">
        <v>90</v>
      </c>
      <c r="F249" s="288" t="s">
        <v>119</v>
      </c>
      <c r="G249" s="289" t="s">
        <v>98</v>
      </c>
      <c r="H249" s="289" t="s">
        <v>105</v>
      </c>
      <c r="I249" s="290" t="s">
        <v>153</v>
      </c>
      <c r="J249" s="100" t="s">
        <v>103</v>
      </c>
      <c r="K249" s="252">
        <v>10054.200000000001</v>
      </c>
      <c r="L249" s="252">
        <f>M249-K249</f>
        <v>0</v>
      </c>
      <c r="M249" s="252">
        <v>10054.200000000001</v>
      </c>
      <c r="N249" s="252">
        <v>10054.200000000001</v>
      </c>
      <c r="P249" s="71"/>
    </row>
    <row r="250" spans="1:16" s="9" customFormat="1" ht="37.5" x14ac:dyDescent="0.3">
      <c r="A250" s="2"/>
      <c r="B250" s="98" t="s">
        <v>462</v>
      </c>
      <c r="C250" s="99" t="s">
        <v>453</v>
      </c>
      <c r="D250" s="100" t="s">
        <v>306</v>
      </c>
      <c r="E250" s="100" t="s">
        <v>105</v>
      </c>
      <c r="F250" s="130"/>
      <c r="G250" s="130"/>
      <c r="H250" s="130"/>
      <c r="I250" s="131"/>
      <c r="J250" s="129"/>
      <c r="K250" s="252">
        <f t="shared" ref="K250:N252" si="86">K251</f>
        <v>7957.2</v>
      </c>
      <c r="L250" s="252">
        <f t="shared" si="86"/>
        <v>0</v>
      </c>
      <c r="M250" s="252">
        <f t="shared" si="86"/>
        <v>7957.2</v>
      </c>
      <c r="N250" s="252">
        <f t="shared" si="86"/>
        <v>7932</v>
      </c>
    </row>
    <row r="251" spans="1:16" s="9" customFormat="1" ht="56.25" x14ac:dyDescent="0.3">
      <c r="A251" s="2"/>
      <c r="B251" s="103" t="s">
        <v>293</v>
      </c>
      <c r="C251" s="99" t="s">
        <v>453</v>
      </c>
      <c r="D251" s="100" t="s">
        <v>306</v>
      </c>
      <c r="E251" s="100" t="s">
        <v>105</v>
      </c>
      <c r="F251" s="130" t="s">
        <v>119</v>
      </c>
      <c r="G251" s="130" t="s">
        <v>95</v>
      </c>
      <c r="H251" s="130" t="s">
        <v>96</v>
      </c>
      <c r="I251" s="131" t="s">
        <v>97</v>
      </c>
      <c r="J251" s="129"/>
      <c r="K251" s="252">
        <f t="shared" si="86"/>
        <v>7957.2</v>
      </c>
      <c r="L251" s="252">
        <f t="shared" si="86"/>
        <v>0</v>
      </c>
      <c r="M251" s="252">
        <f t="shared" si="86"/>
        <v>7957.2</v>
      </c>
      <c r="N251" s="252">
        <f t="shared" si="86"/>
        <v>7932</v>
      </c>
    </row>
    <row r="252" spans="1:16" s="70" customFormat="1" ht="56.25" x14ac:dyDescent="0.3">
      <c r="A252" s="2"/>
      <c r="B252" s="98" t="s">
        <v>296</v>
      </c>
      <c r="C252" s="99" t="s">
        <v>453</v>
      </c>
      <c r="D252" s="100" t="s">
        <v>306</v>
      </c>
      <c r="E252" s="100" t="s">
        <v>105</v>
      </c>
      <c r="F252" s="272" t="s">
        <v>119</v>
      </c>
      <c r="G252" s="272" t="s">
        <v>83</v>
      </c>
      <c r="H252" s="272" t="s">
        <v>96</v>
      </c>
      <c r="I252" s="273" t="s">
        <v>97</v>
      </c>
      <c r="J252" s="100"/>
      <c r="K252" s="252">
        <f t="shared" si="86"/>
        <v>7957.2</v>
      </c>
      <c r="L252" s="252">
        <f t="shared" si="86"/>
        <v>0</v>
      </c>
      <c r="M252" s="252">
        <f t="shared" si="86"/>
        <v>7957.2</v>
      </c>
      <c r="N252" s="252">
        <f t="shared" si="86"/>
        <v>7932</v>
      </c>
      <c r="P252" s="71"/>
    </row>
    <row r="253" spans="1:16" s="70" customFormat="1" ht="37.5" x14ac:dyDescent="0.3">
      <c r="A253" s="2"/>
      <c r="B253" s="98" t="s">
        <v>389</v>
      </c>
      <c r="C253" s="99" t="s">
        <v>453</v>
      </c>
      <c r="D253" s="100" t="s">
        <v>306</v>
      </c>
      <c r="E253" s="100" t="s">
        <v>105</v>
      </c>
      <c r="F253" s="272" t="s">
        <v>119</v>
      </c>
      <c r="G253" s="272" t="s">
        <v>83</v>
      </c>
      <c r="H253" s="272" t="s">
        <v>90</v>
      </c>
      <c r="I253" s="273" t="s">
        <v>97</v>
      </c>
      <c r="J253" s="100"/>
      <c r="K253" s="252">
        <f>K254+K257</f>
        <v>7957.2</v>
      </c>
      <c r="L253" s="252">
        <f>L254+L257</f>
        <v>0</v>
      </c>
      <c r="M253" s="252">
        <f>M254+M257</f>
        <v>7957.2</v>
      </c>
      <c r="N253" s="252">
        <f>N254+N257</f>
        <v>7932</v>
      </c>
      <c r="P253" s="71"/>
    </row>
    <row r="254" spans="1:16" s="9" customFormat="1" ht="37.5" x14ac:dyDescent="0.3">
      <c r="A254" s="2"/>
      <c r="B254" s="98" t="s">
        <v>100</v>
      </c>
      <c r="C254" s="99" t="s">
        <v>453</v>
      </c>
      <c r="D254" s="100" t="s">
        <v>306</v>
      </c>
      <c r="E254" s="100" t="s">
        <v>105</v>
      </c>
      <c r="F254" s="272" t="s">
        <v>119</v>
      </c>
      <c r="G254" s="272" t="s">
        <v>83</v>
      </c>
      <c r="H254" s="272" t="s">
        <v>90</v>
      </c>
      <c r="I254" s="273" t="s">
        <v>101</v>
      </c>
      <c r="J254" s="129"/>
      <c r="K254" s="252">
        <f t="shared" ref="K254" si="87">SUM(K255:K256)</f>
        <v>2438.3999999999996</v>
      </c>
      <c r="L254" s="252">
        <f>SUM(L255:L256)</f>
        <v>0</v>
      </c>
      <c r="M254" s="252">
        <f t="shared" ref="M254:N254" si="88">SUM(M255:M256)</f>
        <v>2438.3999999999996</v>
      </c>
      <c r="N254" s="252">
        <f t="shared" si="88"/>
        <v>2413.1999999999998</v>
      </c>
    </row>
    <row r="255" spans="1:16" s="9" customFormat="1" ht="87.6" customHeight="1" x14ac:dyDescent="0.3">
      <c r="A255" s="2"/>
      <c r="B255" s="98" t="s">
        <v>102</v>
      </c>
      <c r="C255" s="99" t="s">
        <v>453</v>
      </c>
      <c r="D255" s="100" t="s">
        <v>306</v>
      </c>
      <c r="E255" s="100" t="s">
        <v>105</v>
      </c>
      <c r="F255" s="272" t="s">
        <v>119</v>
      </c>
      <c r="G255" s="272" t="s">
        <v>83</v>
      </c>
      <c r="H255" s="272" t="s">
        <v>90</v>
      </c>
      <c r="I255" s="273" t="s">
        <v>101</v>
      </c>
      <c r="J255" s="129" t="s">
        <v>103</v>
      </c>
      <c r="K255" s="252">
        <v>2413.1999999999998</v>
      </c>
      <c r="L255" s="252">
        <f t="shared" ref="L255:L256" si="89">M255-K255</f>
        <v>0</v>
      </c>
      <c r="M255" s="252">
        <v>2413.1999999999998</v>
      </c>
      <c r="N255" s="252">
        <v>2413.1999999999998</v>
      </c>
    </row>
    <row r="256" spans="1:16" s="9" customFormat="1" ht="33" customHeight="1" x14ac:dyDescent="0.3">
      <c r="A256" s="2"/>
      <c r="B256" s="98" t="s">
        <v>108</v>
      </c>
      <c r="C256" s="99" t="s">
        <v>453</v>
      </c>
      <c r="D256" s="100" t="s">
        <v>306</v>
      </c>
      <c r="E256" s="100" t="s">
        <v>105</v>
      </c>
      <c r="F256" s="272" t="s">
        <v>119</v>
      </c>
      <c r="G256" s="272" t="s">
        <v>83</v>
      </c>
      <c r="H256" s="272" t="s">
        <v>90</v>
      </c>
      <c r="I256" s="273" t="s">
        <v>101</v>
      </c>
      <c r="J256" s="129" t="s">
        <v>109</v>
      </c>
      <c r="K256" s="252">
        <v>25.2</v>
      </c>
      <c r="L256" s="252">
        <f t="shared" si="89"/>
        <v>0</v>
      </c>
      <c r="M256" s="252">
        <v>25.2</v>
      </c>
      <c r="N256" s="252">
        <v>0</v>
      </c>
    </row>
    <row r="257" spans="1:16" s="70" customFormat="1" ht="69.599999999999994" customHeight="1" x14ac:dyDescent="0.3">
      <c r="A257" s="2"/>
      <c r="B257" s="101" t="s">
        <v>458</v>
      </c>
      <c r="C257" s="99" t="s">
        <v>453</v>
      </c>
      <c r="D257" s="100" t="s">
        <v>306</v>
      </c>
      <c r="E257" s="100" t="s">
        <v>105</v>
      </c>
      <c r="F257" s="272" t="s">
        <v>119</v>
      </c>
      <c r="G257" s="272" t="s">
        <v>83</v>
      </c>
      <c r="H257" s="272" t="s">
        <v>90</v>
      </c>
      <c r="I257" s="273" t="s">
        <v>153</v>
      </c>
      <c r="J257" s="100"/>
      <c r="K257" s="252">
        <f t="shared" ref="K257:N257" si="90">K258</f>
        <v>5518.8</v>
      </c>
      <c r="L257" s="252">
        <f>L258</f>
        <v>0</v>
      </c>
      <c r="M257" s="252">
        <f t="shared" si="90"/>
        <v>5518.8</v>
      </c>
      <c r="N257" s="252">
        <f t="shared" si="90"/>
        <v>5518.8</v>
      </c>
      <c r="P257" s="71"/>
    </row>
    <row r="258" spans="1:16" s="9" customFormat="1" ht="90.6" customHeight="1" x14ac:dyDescent="0.3">
      <c r="A258" s="2"/>
      <c r="B258" s="98" t="s">
        <v>102</v>
      </c>
      <c r="C258" s="128" t="s">
        <v>453</v>
      </c>
      <c r="D258" s="129" t="s">
        <v>306</v>
      </c>
      <c r="E258" s="129" t="s">
        <v>105</v>
      </c>
      <c r="F258" s="272" t="s">
        <v>119</v>
      </c>
      <c r="G258" s="272" t="s">
        <v>83</v>
      </c>
      <c r="H258" s="272" t="s">
        <v>90</v>
      </c>
      <c r="I258" s="273" t="s">
        <v>153</v>
      </c>
      <c r="J258" s="129" t="s">
        <v>103</v>
      </c>
      <c r="K258" s="252">
        <v>5518.8</v>
      </c>
      <c r="L258" s="252">
        <f>M258-K258</f>
        <v>0</v>
      </c>
      <c r="M258" s="252">
        <v>5518.8</v>
      </c>
      <c r="N258" s="252">
        <v>5518.8</v>
      </c>
    </row>
    <row r="259" spans="1:16" s="70" customFormat="1" ht="18.75" x14ac:dyDescent="0.3">
      <c r="A259" s="2"/>
      <c r="B259" s="98"/>
      <c r="C259" s="128"/>
      <c r="D259" s="129"/>
      <c r="E259" s="129"/>
      <c r="F259" s="272"/>
      <c r="G259" s="272"/>
      <c r="H259" s="272"/>
      <c r="I259" s="273"/>
      <c r="J259" s="100"/>
      <c r="K259" s="252"/>
      <c r="L259" s="252"/>
      <c r="M259" s="252"/>
      <c r="N259" s="252"/>
      <c r="P259" s="71"/>
    </row>
    <row r="260" spans="1:16" s="69" customFormat="1" ht="56.25" x14ac:dyDescent="0.3">
      <c r="A260" s="161">
        <v>7</v>
      </c>
      <c r="B260" s="93" t="s">
        <v>58</v>
      </c>
      <c r="C260" s="94" t="s">
        <v>398</v>
      </c>
      <c r="D260" s="95"/>
      <c r="E260" s="95"/>
      <c r="F260" s="96"/>
      <c r="G260" s="96"/>
      <c r="H260" s="96"/>
      <c r="I260" s="97"/>
      <c r="J260" s="95"/>
      <c r="K260" s="251">
        <f>K261</f>
        <v>31971.5</v>
      </c>
      <c r="L260" s="251">
        <f>L261</f>
        <v>0</v>
      </c>
      <c r="M260" s="251">
        <f>M261</f>
        <v>31971.5</v>
      </c>
      <c r="N260" s="251">
        <f>N261</f>
        <v>27516.3</v>
      </c>
    </row>
    <row r="261" spans="1:16" s="70" customFormat="1" ht="18.75" x14ac:dyDescent="0.3">
      <c r="A261" s="2"/>
      <c r="B261" s="103" t="s">
        <v>463</v>
      </c>
      <c r="C261" s="99" t="s">
        <v>398</v>
      </c>
      <c r="D261" s="100" t="s">
        <v>123</v>
      </c>
      <c r="E261" s="100"/>
      <c r="F261" s="272"/>
      <c r="G261" s="272"/>
      <c r="H261" s="272"/>
      <c r="I261" s="273"/>
      <c r="J261" s="100"/>
      <c r="K261" s="252">
        <f t="shared" ref="K261" si="91">K262+K270</f>
        <v>31971.5</v>
      </c>
      <c r="L261" s="252">
        <f>L262+L270</f>
        <v>0</v>
      </c>
      <c r="M261" s="252">
        <f t="shared" ref="M261:N261" si="92">M262+M270</f>
        <v>31971.5</v>
      </c>
      <c r="N261" s="252">
        <f t="shared" si="92"/>
        <v>27516.3</v>
      </c>
    </row>
    <row r="262" spans="1:16" s="69" customFormat="1" ht="18.75" x14ac:dyDescent="0.3">
      <c r="A262" s="2"/>
      <c r="B262" s="103" t="s">
        <v>538</v>
      </c>
      <c r="C262" s="99" t="s">
        <v>398</v>
      </c>
      <c r="D262" s="100" t="s">
        <v>123</v>
      </c>
      <c r="E262" s="100" t="s">
        <v>90</v>
      </c>
      <c r="F262" s="272"/>
      <c r="G262" s="272"/>
      <c r="H262" s="272"/>
      <c r="I262" s="273"/>
      <c r="J262" s="100"/>
      <c r="K262" s="252">
        <f t="shared" ref="K262:N265" si="93">K263</f>
        <v>29688.5</v>
      </c>
      <c r="L262" s="252">
        <f t="shared" si="93"/>
        <v>0</v>
      </c>
      <c r="M262" s="252">
        <f t="shared" si="93"/>
        <v>29688.5</v>
      </c>
      <c r="N262" s="252">
        <f t="shared" si="93"/>
        <v>25254.2</v>
      </c>
    </row>
    <row r="263" spans="1:16" s="69" customFormat="1" ht="56.25" x14ac:dyDescent="0.3">
      <c r="A263" s="2"/>
      <c r="B263" s="98" t="s">
        <v>297</v>
      </c>
      <c r="C263" s="99" t="s">
        <v>398</v>
      </c>
      <c r="D263" s="100" t="s">
        <v>123</v>
      </c>
      <c r="E263" s="100" t="s">
        <v>90</v>
      </c>
      <c r="F263" s="272" t="s">
        <v>105</v>
      </c>
      <c r="G263" s="272" t="s">
        <v>95</v>
      </c>
      <c r="H263" s="272" t="s">
        <v>96</v>
      </c>
      <c r="I263" s="273" t="s">
        <v>97</v>
      </c>
      <c r="J263" s="100"/>
      <c r="K263" s="252">
        <f t="shared" si="93"/>
        <v>29688.5</v>
      </c>
      <c r="L263" s="252">
        <f t="shared" si="93"/>
        <v>0</v>
      </c>
      <c r="M263" s="252">
        <f t="shared" si="93"/>
        <v>29688.5</v>
      </c>
      <c r="N263" s="252">
        <f t="shared" si="93"/>
        <v>25254.2</v>
      </c>
    </row>
    <row r="264" spans="1:16" s="70" customFormat="1" ht="37.5" x14ac:dyDescent="0.3">
      <c r="A264" s="2"/>
      <c r="B264" s="98" t="s">
        <v>300</v>
      </c>
      <c r="C264" s="99" t="s">
        <v>398</v>
      </c>
      <c r="D264" s="100" t="s">
        <v>123</v>
      </c>
      <c r="E264" s="100" t="s">
        <v>90</v>
      </c>
      <c r="F264" s="272" t="s">
        <v>105</v>
      </c>
      <c r="G264" s="272" t="s">
        <v>150</v>
      </c>
      <c r="H264" s="272" t="s">
        <v>96</v>
      </c>
      <c r="I264" s="273" t="s">
        <v>97</v>
      </c>
      <c r="J264" s="100"/>
      <c r="K264" s="252">
        <f t="shared" si="93"/>
        <v>29688.5</v>
      </c>
      <c r="L264" s="252">
        <f t="shared" si="93"/>
        <v>0</v>
      </c>
      <c r="M264" s="252">
        <f t="shared" si="93"/>
        <v>29688.5</v>
      </c>
      <c r="N264" s="252">
        <f t="shared" si="93"/>
        <v>25254.2</v>
      </c>
    </row>
    <row r="265" spans="1:16" s="69" customFormat="1" ht="37.5" x14ac:dyDescent="0.3">
      <c r="A265" s="2"/>
      <c r="B265" s="98" t="s">
        <v>541</v>
      </c>
      <c r="C265" s="99" t="s">
        <v>398</v>
      </c>
      <c r="D265" s="100" t="s">
        <v>123</v>
      </c>
      <c r="E265" s="100" t="s">
        <v>90</v>
      </c>
      <c r="F265" s="272" t="s">
        <v>105</v>
      </c>
      <c r="G265" s="272" t="s">
        <v>150</v>
      </c>
      <c r="H265" s="272" t="s">
        <v>92</v>
      </c>
      <c r="I265" s="273" t="s">
        <v>97</v>
      </c>
      <c r="J265" s="100"/>
      <c r="K265" s="252">
        <f t="shared" si="93"/>
        <v>29688.5</v>
      </c>
      <c r="L265" s="252">
        <f t="shared" si="93"/>
        <v>0</v>
      </c>
      <c r="M265" s="252">
        <f t="shared" si="93"/>
        <v>29688.5</v>
      </c>
      <c r="N265" s="252">
        <f t="shared" si="93"/>
        <v>25254.2</v>
      </c>
    </row>
    <row r="266" spans="1:16" s="69" customFormat="1" ht="68.45" customHeight="1" x14ac:dyDescent="0.3">
      <c r="A266" s="2"/>
      <c r="B266" s="98" t="s">
        <v>151</v>
      </c>
      <c r="C266" s="99" t="s">
        <v>398</v>
      </c>
      <c r="D266" s="100" t="s">
        <v>123</v>
      </c>
      <c r="E266" s="100" t="s">
        <v>90</v>
      </c>
      <c r="F266" s="272" t="s">
        <v>105</v>
      </c>
      <c r="G266" s="272" t="s">
        <v>150</v>
      </c>
      <c r="H266" s="272" t="s">
        <v>92</v>
      </c>
      <c r="I266" s="273" t="s">
        <v>153</v>
      </c>
      <c r="J266" s="100"/>
      <c r="K266" s="252">
        <f>K267+K268+K269</f>
        <v>29688.5</v>
      </c>
      <c r="L266" s="252">
        <f>L267+L268+L269</f>
        <v>0</v>
      </c>
      <c r="M266" s="252">
        <f>M267+M268+M269</f>
        <v>29688.5</v>
      </c>
      <c r="N266" s="252">
        <f>N267+N268+N269</f>
        <v>25254.2</v>
      </c>
    </row>
    <row r="267" spans="1:16" s="69" customFormat="1" ht="88.15" customHeight="1" x14ac:dyDescent="0.3">
      <c r="A267" s="2"/>
      <c r="B267" s="98" t="s">
        <v>102</v>
      </c>
      <c r="C267" s="99" t="s">
        <v>398</v>
      </c>
      <c r="D267" s="100" t="s">
        <v>123</v>
      </c>
      <c r="E267" s="100" t="s">
        <v>90</v>
      </c>
      <c r="F267" s="272" t="s">
        <v>105</v>
      </c>
      <c r="G267" s="272" t="s">
        <v>150</v>
      </c>
      <c r="H267" s="272" t="s">
        <v>92</v>
      </c>
      <c r="I267" s="273" t="s">
        <v>153</v>
      </c>
      <c r="J267" s="100" t="s">
        <v>103</v>
      </c>
      <c r="K267" s="252">
        <v>20730.2</v>
      </c>
      <c r="L267" s="252">
        <f t="shared" ref="L267:L269" si="94">M267-K267</f>
        <v>0</v>
      </c>
      <c r="M267" s="252">
        <v>20730.2</v>
      </c>
      <c r="N267" s="252">
        <v>20730.2</v>
      </c>
    </row>
    <row r="268" spans="1:16" s="70" customFormat="1" ht="34.15" customHeight="1" x14ac:dyDescent="0.3">
      <c r="A268" s="2"/>
      <c r="B268" s="98" t="s">
        <v>108</v>
      </c>
      <c r="C268" s="99" t="s">
        <v>398</v>
      </c>
      <c r="D268" s="100" t="s">
        <v>123</v>
      </c>
      <c r="E268" s="100" t="s">
        <v>90</v>
      </c>
      <c r="F268" s="272" t="s">
        <v>105</v>
      </c>
      <c r="G268" s="272" t="s">
        <v>150</v>
      </c>
      <c r="H268" s="272" t="s">
        <v>92</v>
      </c>
      <c r="I268" s="273" t="s">
        <v>153</v>
      </c>
      <c r="J268" s="100" t="s">
        <v>109</v>
      </c>
      <c r="K268" s="252">
        <v>5658.3</v>
      </c>
      <c r="L268" s="252">
        <f t="shared" si="94"/>
        <v>0</v>
      </c>
      <c r="M268" s="252">
        <v>5658.3</v>
      </c>
      <c r="N268" s="252">
        <v>4524</v>
      </c>
    </row>
    <row r="269" spans="1:16" s="69" customFormat="1" ht="18.75" x14ac:dyDescent="0.3">
      <c r="A269" s="2"/>
      <c r="B269" s="98" t="s">
        <v>110</v>
      </c>
      <c r="C269" s="99" t="s">
        <v>398</v>
      </c>
      <c r="D269" s="100" t="s">
        <v>123</v>
      </c>
      <c r="E269" s="100" t="s">
        <v>90</v>
      </c>
      <c r="F269" s="272" t="s">
        <v>105</v>
      </c>
      <c r="G269" s="272" t="s">
        <v>150</v>
      </c>
      <c r="H269" s="272" t="s">
        <v>92</v>
      </c>
      <c r="I269" s="273" t="s">
        <v>153</v>
      </c>
      <c r="J269" s="100" t="s">
        <v>111</v>
      </c>
      <c r="K269" s="252">
        <v>3300</v>
      </c>
      <c r="L269" s="252">
        <f t="shared" si="94"/>
        <v>0</v>
      </c>
      <c r="M269" s="252">
        <v>3300</v>
      </c>
      <c r="N269" s="252">
        <v>0</v>
      </c>
    </row>
    <row r="270" spans="1:16" s="70" customFormat="1" ht="37.5" x14ac:dyDescent="0.3">
      <c r="A270" s="2"/>
      <c r="B270" s="103" t="s">
        <v>278</v>
      </c>
      <c r="C270" s="99" t="s">
        <v>398</v>
      </c>
      <c r="D270" s="100" t="s">
        <v>123</v>
      </c>
      <c r="E270" s="100" t="s">
        <v>121</v>
      </c>
      <c r="F270" s="272"/>
      <c r="G270" s="272"/>
      <c r="H270" s="272"/>
      <c r="I270" s="273"/>
      <c r="J270" s="100"/>
      <c r="K270" s="252">
        <f t="shared" ref="K270:N273" si="95">K271</f>
        <v>2282.9999999999995</v>
      </c>
      <c r="L270" s="252">
        <f t="shared" si="95"/>
        <v>0</v>
      </c>
      <c r="M270" s="252">
        <f t="shared" si="95"/>
        <v>2282.9999999999995</v>
      </c>
      <c r="N270" s="252">
        <f t="shared" si="95"/>
        <v>2262.1</v>
      </c>
      <c r="P270" s="71"/>
    </row>
    <row r="271" spans="1:16" s="70" customFormat="1" ht="56.25" x14ac:dyDescent="0.3">
      <c r="A271" s="2"/>
      <c r="B271" s="98" t="s">
        <v>297</v>
      </c>
      <c r="C271" s="99" t="s">
        <v>398</v>
      </c>
      <c r="D271" s="100" t="s">
        <v>123</v>
      </c>
      <c r="E271" s="100" t="s">
        <v>121</v>
      </c>
      <c r="F271" s="272" t="s">
        <v>105</v>
      </c>
      <c r="G271" s="272" t="s">
        <v>95</v>
      </c>
      <c r="H271" s="272" t="s">
        <v>96</v>
      </c>
      <c r="I271" s="273" t="s">
        <v>97</v>
      </c>
      <c r="J271" s="100"/>
      <c r="K271" s="252">
        <f t="shared" si="95"/>
        <v>2282.9999999999995</v>
      </c>
      <c r="L271" s="252">
        <f t="shared" si="95"/>
        <v>0</v>
      </c>
      <c r="M271" s="252">
        <f t="shared" si="95"/>
        <v>2282.9999999999995</v>
      </c>
      <c r="N271" s="252">
        <f t="shared" si="95"/>
        <v>2262.1</v>
      </c>
      <c r="P271" s="71"/>
    </row>
    <row r="272" spans="1:16" s="70" customFormat="1" ht="37.5" x14ac:dyDescent="0.3">
      <c r="A272" s="2"/>
      <c r="B272" s="102" t="s">
        <v>300</v>
      </c>
      <c r="C272" s="99" t="s">
        <v>398</v>
      </c>
      <c r="D272" s="100" t="s">
        <v>123</v>
      </c>
      <c r="E272" s="100" t="s">
        <v>121</v>
      </c>
      <c r="F272" s="272" t="s">
        <v>105</v>
      </c>
      <c r="G272" s="272" t="s">
        <v>150</v>
      </c>
      <c r="H272" s="272" t="s">
        <v>96</v>
      </c>
      <c r="I272" s="273" t="s">
        <v>97</v>
      </c>
      <c r="J272" s="100"/>
      <c r="K272" s="252">
        <f t="shared" si="95"/>
        <v>2282.9999999999995</v>
      </c>
      <c r="L272" s="252">
        <f t="shared" si="95"/>
        <v>0</v>
      </c>
      <c r="M272" s="252">
        <f t="shared" si="95"/>
        <v>2282.9999999999995</v>
      </c>
      <c r="N272" s="252">
        <f t="shared" si="95"/>
        <v>2262.1</v>
      </c>
      <c r="P272" s="71"/>
    </row>
    <row r="273" spans="1:16" s="70" customFormat="1" ht="37.5" x14ac:dyDescent="0.3">
      <c r="A273" s="2"/>
      <c r="B273" s="98" t="s">
        <v>389</v>
      </c>
      <c r="C273" s="99" t="s">
        <v>398</v>
      </c>
      <c r="D273" s="100" t="s">
        <v>123</v>
      </c>
      <c r="E273" s="100" t="s">
        <v>121</v>
      </c>
      <c r="F273" s="272" t="s">
        <v>105</v>
      </c>
      <c r="G273" s="272" t="s">
        <v>150</v>
      </c>
      <c r="H273" s="272" t="s">
        <v>90</v>
      </c>
      <c r="I273" s="273" t="s">
        <v>97</v>
      </c>
      <c r="J273" s="100"/>
      <c r="K273" s="252">
        <f t="shared" si="95"/>
        <v>2282.9999999999995</v>
      </c>
      <c r="L273" s="252">
        <f t="shared" si="95"/>
        <v>0</v>
      </c>
      <c r="M273" s="252">
        <f t="shared" si="95"/>
        <v>2282.9999999999995</v>
      </c>
      <c r="N273" s="252">
        <f t="shared" si="95"/>
        <v>2262.1</v>
      </c>
      <c r="P273" s="71"/>
    </row>
    <row r="274" spans="1:16" s="70" customFormat="1" ht="37.5" x14ac:dyDescent="0.3">
      <c r="A274" s="2"/>
      <c r="B274" s="98" t="s">
        <v>100</v>
      </c>
      <c r="C274" s="99" t="s">
        <v>398</v>
      </c>
      <c r="D274" s="100" t="s">
        <v>123</v>
      </c>
      <c r="E274" s="100" t="s">
        <v>121</v>
      </c>
      <c r="F274" s="272" t="s">
        <v>105</v>
      </c>
      <c r="G274" s="272" t="s">
        <v>150</v>
      </c>
      <c r="H274" s="272" t="s">
        <v>90</v>
      </c>
      <c r="I274" s="273" t="s">
        <v>101</v>
      </c>
      <c r="J274" s="100"/>
      <c r="K274" s="252">
        <f t="shared" ref="K274" si="96">SUM(K275:K277)</f>
        <v>2282.9999999999995</v>
      </c>
      <c r="L274" s="252">
        <f>SUM(L275:L277)</f>
        <v>0</v>
      </c>
      <c r="M274" s="252">
        <f t="shared" ref="M274:N274" si="97">SUM(M275:M277)</f>
        <v>2282.9999999999995</v>
      </c>
      <c r="N274" s="252">
        <f t="shared" si="97"/>
        <v>2262.1</v>
      </c>
      <c r="P274" s="71"/>
    </row>
    <row r="275" spans="1:16" s="70" customFormat="1" ht="85.9" customHeight="1" x14ac:dyDescent="0.3">
      <c r="A275" s="2"/>
      <c r="B275" s="98" t="s">
        <v>102</v>
      </c>
      <c r="C275" s="99" t="s">
        <v>398</v>
      </c>
      <c r="D275" s="100" t="s">
        <v>123</v>
      </c>
      <c r="E275" s="100" t="s">
        <v>121</v>
      </c>
      <c r="F275" s="272" t="s">
        <v>105</v>
      </c>
      <c r="G275" s="272" t="s">
        <v>150</v>
      </c>
      <c r="H275" s="272" t="s">
        <v>90</v>
      </c>
      <c r="I275" s="273" t="s">
        <v>101</v>
      </c>
      <c r="J275" s="100" t="s">
        <v>103</v>
      </c>
      <c r="K275" s="252">
        <v>2262.1</v>
      </c>
      <c r="L275" s="252">
        <f t="shared" ref="L275:L277" si="98">M275-K275</f>
        <v>0</v>
      </c>
      <c r="M275" s="252">
        <v>2262.1</v>
      </c>
      <c r="N275" s="252">
        <v>2262.1</v>
      </c>
      <c r="P275" s="71"/>
    </row>
    <row r="276" spans="1:16" s="378" customFormat="1" ht="33" customHeight="1" x14ac:dyDescent="0.3">
      <c r="A276" s="358"/>
      <c r="B276" s="373" t="s">
        <v>108</v>
      </c>
      <c r="C276" s="374" t="s">
        <v>398</v>
      </c>
      <c r="D276" s="357" t="s">
        <v>123</v>
      </c>
      <c r="E276" s="357" t="s">
        <v>121</v>
      </c>
      <c r="F276" s="571" t="s">
        <v>105</v>
      </c>
      <c r="G276" s="572" t="s">
        <v>150</v>
      </c>
      <c r="H276" s="572" t="s">
        <v>90</v>
      </c>
      <c r="I276" s="573" t="s">
        <v>101</v>
      </c>
      <c r="J276" s="357" t="s">
        <v>109</v>
      </c>
      <c r="K276" s="377">
        <v>18.7</v>
      </c>
      <c r="L276" s="252">
        <f t="shared" si="98"/>
        <v>0</v>
      </c>
      <c r="M276" s="377">
        <v>18.7</v>
      </c>
      <c r="N276" s="377">
        <v>0</v>
      </c>
      <c r="O276" s="461"/>
    </row>
    <row r="277" spans="1:16" s="378" customFormat="1" ht="18.75" x14ac:dyDescent="0.3">
      <c r="A277" s="358"/>
      <c r="B277" s="373" t="s">
        <v>110</v>
      </c>
      <c r="C277" s="374" t="s">
        <v>398</v>
      </c>
      <c r="D277" s="357" t="s">
        <v>123</v>
      </c>
      <c r="E277" s="357" t="s">
        <v>121</v>
      </c>
      <c r="F277" s="571" t="s">
        <v>105</v>
      </c>
      <c r="G277" s="572" t="s">
        <v>150</v>
      </c>
      <c r="H277" s="572" t="s">
        <v>90</v>
      </c>
      <c r="I277" s="573" t="s">
        <v>101</v>
      </c>
      <c r="J277" s="357" t="s">
        <v>111</v>
      </c>
      <c r="K277" s="377">
        <v>2.2000000000000002</v>
      </c>
      <c r="L277" s="252">
        <f t="shared" si="98"/>
        <v>0</v>
      </c>
      <c r="M277" s="377">
        <v>2.2000000000000002</v>
      </c>
      <c r="N277" s="377">
        <v>0</v>
      </c>
      <c r="O277" s="461"/>
    </row>
    <row r="278" spans="1:16" s="70" customFormat="1" ht="18.75" x14ac:dyDescent="0.3">
      <c r="A278" s="2"/>
      <c r="B278" s="98"/>
      <c r="C278" s="99"/>
      <c r="D278" s="100"/>
      <c r="E278" s="100"/>
      <c r="F278" s="272"/>
      <c r="G278" s="272"/>
      <c r="H278" s="272"/>
      <c r="I278" s="273"/>
      <c r="J278" s="100"/>
      <c r="K278" s="252"/>
      <c r="L278" s="252"/>
      <c r="M278" s="252"/>
      <c r="N278" s="252"/>
      <c r="P278" s="71"/>
    </row>
    <row r="279" spans="1:16" s="69" customFormat="1" ht="56.25" x14ac:dyDescent="0.3">
      <c r="A279" s="161">
        <v>8</v>
      </c>
      <c r="B279" s="93" t="s">
        <v>59</v>
      </c>
      <c r="C279" s="94" t="s">
        <v>394</v>
      </c>
      <c r="D279" s="95"/>
      <c r="E279" s="95"/>
      <c r="F279" s="96"/>
      <c r="G279" s="96"/>
      <c r="H279" s="96"/>
      <c r="I279" s="97"/>
      <c r="J279" s="95"/>
      <c r="K279" s="251">
        <f>K280</f>
        <v>4804.3999999999996</v>
      </c>
      <c r="L279" s="251">
        <f>L280</f>
        <v>0</v>
      </c>
      <c r="M279" s="251">
        <f>M280</f>
        <v>4804.3999999999996</v>
      </c>
      <c r="N279" s="251">
        <f>N280</f>
        <v>4687</v>
      </c>
    </row>
    <row r="280" spans="1:16" s="70" customFormat="1" ht="18.75" x14ac:dyDescent="0.3">
      <c r="A280" s="161"/>
      <c r="B280" s="98" t="s">
        <v>254</v>
      </c>
      <c r="C280" s="99" t="s">
        <v>394</v>
      </c>
      <c r="D280" s="100" t="s">
        <v>304</v>
      </c>
      <c r="E280" s="100"/>
      <c r="F280" s="272"/>
      <c r="G280" s="272"/>
      <c r="H280" s="272"/>
      <c r="I280" s="273"/>
      <c r="J280" s="100"/>
      <c r="K280" s="252">
        <f>K281+K288</f>
        <v>4804.3999999999996</v>
      </c>
      <c r="L280" s="252">
        <f>L281+L288</f>
        <v>0</v>
      </c>
      <c r="M280" s="252">
        <f>M281+M288</f>
        <v>4804.3999999999996</v>
      </c>
      <c r="N280" s="252">
        <f>N281+N288</f>
        <v>4687</v>
      </c>
    </row>
    <row r="281" spans="1:16" s="67" customFormat="1" ht="18.75" x14ac:dyDescent="0.3">
      <c r="A281" s="161"/>
      <c r="B281" s="98" t="s">
        <v>518</v>
      </c>
      <c r="C281" s="99" t="s">
        <v>394</v>
      </c>
      <c r="D281" s="100" t="s">
        <v>304</v>
      </c>
      <c r="E281" s="100" t="s">
        <v>304</v>
      </c>
      <c r="F281" s="272"/>
      <c r="G281" s="272"/>
      <c r="H281" s="272"/>
      <c r="I281" s="273"/>
      <c r="J281" s="100"/>
      <c r="K281" s="252">
        <f t="shared" ref="K281:N284" si="99">K282</f>
        <v>2153.5</v>
      </c>
      <c r="L281" s="252">
        <f t="shared" si="99"/>
        <v>0</v>
      </c>
      <c r="M281" s="252">
        <f t="shared" si="99"/>
        <v>2153.5</v>
      </c>
      <c r="N281" s="252">
        <f t="shared" si="99"/>
        <v>2153.5</v>
      </c>
    </row>
    <row r="282" spans="1:16" s="67" customFormat="1" ht="56.25" x14ac:dyDescent="0.3">
      <c r="A282" s="161"/>
      <c r="B282" s="98" t="s">
        <v>301</v>
      </c>
      <c r="C282" s="99" t="s">
        <v>394</v>
      </c>
      <c r="D282" s="100" t="s">
        <v>304</v>
      </c>
      <c r="E282" s="100" t="s">
        <v>304</v>
      </c>
      <c r="F282" s="272" t="s">
        <v>121</v>
      </c>
      <c r="G282" s="272" t="s">
        <v>95</v>
      </c>
      <c r="H282" s="272" t="s">
        <v>96</v>
      </c>
      <c r="I282" s="273" t="s">
        <v>97</v>
      </c>
      <c r="J282" s="100"/>
      <c r="K282" s="252">
        <f t="shared" si="99"/>
        <v>2153.5</v>
      </c>
      <c r="L282" s="252">
        <f t="shared" si="99"/>
        <v>0</v>
      </c>
      <c r="M282" s="252">
        <f t="shared" si="99"/>
        <v>2153.5</v>
      </c>
      <c r="N282" s="252">
        <f t="shared" si="99"/>
        <v>2153.5</v>
      </c>
    </row>
    <row r="283" spans="1:16" s="67" customFormat="1" ht="18.75" x14ac:dyDescent="0.3">
      <c r="A283" s="161"/>
      <c r="B283" s="98" t="s">
        <v>302</v>
      </c>
      <c r="C283" s="99" t="s">
        <v>394</v>
      </c>
      <c r="D283" s="100" t="s">
        <v>304</v>
      </c>
      <c r="E283" s="100" t="s">
        <v>304</v>
      </c>
      <c r="F283" s="272" t="s">
        <v>121</v>
      </c>
      <c r="G283" s="272" t="s">
        <v>98</v>
      </c>
      <c r="H283" s="272" t="s">
        <v>96</v>
      </c>
      <c r="I283" s="273" t="s">
        <v>97</v>
      </c>
      <c r="J283" s="100"/>
      <c r="K283" s="252">
        <f t="shared" si="99"/>
        <v>2153.5</v>
      </c>
      <c r="L283" s="252">
        <f t="shared" si="99"/>
        <v>0</v>
      </c>
      <c r="M283" s="252">
        <f t="shared" si="99"/>
        <v>2153.5</v>
      </c>
      <c r="N283" s="252">
        <f t="shared" si="99"/>
        <v>2153.5</v>
      </c>
    </row>
    <row r="284" spans="1:16" s="67" customFormat="1" ht="93.75" x14ac:dyDescent="0.3">
      <c r="A284" s="161"/>
      <c r="B284" s="98" t="s">
        <v>395</v>
      </c>
      <c r="C284" s="99" t="s">
        <v>394</v>
      </c>
      <c r="D284" s="100" t="s">
        <v>304</v>
      </c>
      <c r="E284" s="100" t="s">
        <v>304</v>
      </c>
      <c r="F284" s="272" t="s">
        <v>121</v>
      </c>
      <c r="G284" s="272" t="s">
        <v>98</v>
      </c>
      <c r="H284" s="272" t="s">
        <v>90</v>
      </c>
      <c r="I284" s="273" t="s">
        <v>97</v>
      </c>
      <c r="J284" s="100"/>
      <c r="K284" s="252">
        <f t="shared" si="99"/>
        <v>2153.5</v>
      </c>
      <c r="L284" s="252">
        <f t="shared" si="99"/>
        <v>0</v>
      </c>
      <c r="M284" s="252">
        <f t="shared" si="99"/>
        <v>2153.5</v>
      </c>
      <c r="N284" s="252">
        <f t="shared" si="99"/>
        <v>2153.5</v>
      </c>
    </row>
    <row r="285" spans="1:16" s="67" customFormat="1" ht="70.900000000000006" customHeight="1" x14ac:dyDescent="0.3">
      <c r="A285" s="161"/>
      <c r="B285" s="98" t="s">
        <v>151</v>
      </c>
      <c r="C285" s="99" t="s">
        <v>394</v>
      </c>
      <c r="D285" s="100" t="s">
        <v>304</v>
      </c>
      <c r="E285" s="100" t="s">
        <v>304</v>
      </c>
      <c r="F285" s="272" t="s">
        <v>121</v>
      </c>
      <c r="G285" s="272" t="s">
        <v>98</v>
      </c>
      <c r="H285" s="272" t="s">
        <v>90</v>
      </c>
      <c r="I285" s="273" t="s">
        <v>153</v>
      </c>
      <c r="J285" s="100"/>
      <c r="K285" s="252">
        <f t="shared" ref="K285" si="100">SUM(K286:K287)</f>
        <v>2153.5</v>
      </c>
      <c r="L285" s="252">
        <f>SUM(L286:L287)</f>
        <v>0</v>
      </c>
      <c r="M285" s="252">
        <f t="shared" ref="M285:N285" si="101">SUM(M286:M287)</f>
        <v>2153.5</v>
      </c>
      <c r="N285" s="252">
        <f t="shared" si="101"/>
        <v>2153.5</v>
      </c>
    </row>
    <row r="286" spans="1:16" s="67" customFormat="1" ht="90.6" customHeight="1" x14ac:dyDescent="0.3">
      <c r="A286" s="2"/>
      <c r="B286" s="98" t="s">
        <v>102</v>
      </c>
      <c r="C286" s="99" t="s">
        <v>394</v>
      </c>
      <c r="D286" s="100" t="s">
        <v>304</v>
      </c>
      <c r="E286" s="100" t="s">
        <v>304</v>
      </c>
      <c r="F286" s="272" t="s">
        <v>121</v>
      </c>
      <c r="G286" s="272" t="s">
        <v>98</v>
      </c>
      <c r="H286" s="272" t="s">
        <v>90</v>
      </c>
      <c r="I286" s="273" t="s">
        <v>153</v>
      </c>
      <c r="J286" s="100" t="s">
        <v>103</v>
      </c>
      <c r="K286" s="252">
        <v>2114.5</v>
      </c>
      <c r="L286" s="252">
        <f t="shared" ref="L286:L287" si="102">M286-K286</f>
        <v>0</v>
      </c>
      <c r="M286" s="252">
        <v>2114.5</v>
      </c>
      <c r="N286" s="252">
        <v>2114.5</v>
      </c>
    </row>
    <row r="287" spans="1:16" s="378" customFormat="1" ht="34.9" customHeight="1" x14ac:dyDescent="0.3">
      <c r="A287" s="358"/>
      <c r="B287" s="373" t="s">
        <v>108</v>
      </c>
      <c r="C287" s="374" t="s">
        <v>394</v>
      </c>
      <c r="D287" s="357" t="s">
        <v>304</v>
      </c>
      <c r="E287" s="357" t="s">
        <v>304</v>
      </c>
      <c r="F287" s="571" t="s">
        <v>121</v>
      </c>
      <c r="G287" s="572" t="s">
        <v>98</v>
      </c>
      <c r="H287" s="572" t="s">
        <v>90</v>
      </c>
      <c r="I287" s="573" t="s">
        <v>153</v>
      </c>
      <c r="J287" s="357" t="s">
        <v>109</v>
      </c>
      <c r="K287" s="377">
        <v>39</v>
      </c>
      <c r="L287" s="252">
        <f t="shared" si="102"/>
        <v>0</v>
      </c>
      <c r="M287" s="377">
        <v>39</v>
      </c>
      <c r="N287" s="377">
        <v>39</v>
      </c>
    </row>
    <row r="288" spans="1:16" s="70" customFormat="1" ht="19.899999999999999" customHeight="1" x14ac:dyDescent="0.3">
      <c r="A288" s="2"/>
      <c r="B288" s="232" t="s">
        <v>261</v>
      </c>
      <c r="C288" s="178" t="s">
        <v>394</v>
      </c>
      <c r="D288" s="100" t="s">
        <v>304</v>
      </c>
      <c r="E288" s="100" t="s">
        <v>139</v>
      </c>
      <c r="F288" s="179"/>
      <c r="G288" s="180"/>
      <c r="H288" s="180"/>
      <c r="I288" s="181"/>
      <c r="J288" s="85"/>
      <c r="K288" s="252">
        <f t="shared" ref="K288:N291" si="103">K289</f>
        <v>2650.9</v>
      </c>
      <c r="L288" s="252">
        <f t="shared" si="103"/>
        <v>0</v>
      </c>
      <c r="M288" s="252">
        <f t="shared" si="103"/>
        <v>2650.9</v>
      </c>
      <c r="N288" s="252">
        <f t="shared" si="103"/>
        <v>2533.5</v>
      </c>
      <c r="P288" s="71"/>
    </row>
    <row r="289" spans="1:16" s="70" customFormat="1" ht="37.15" customHeight="1" x14ac:dyDescent="0.3">
      <c r="A289" s="2"/>
      <c r="B289" s="232" t="s">
        <v>301</v>
      </c>
      <c r="C289" s="178" t="s">
        <v>394</v>
      </c>
      <c r="D289" s="100" t="s">
        <v>304</v>
      </c>
      <c r="E289" s="100" t="s">
        <v>139</v>
      </c>
      <c r="F289" s="179" t="s">
        <v>121</v>
      </c>
      <c r="G289" s="180" t="s">
        <v>95</v>
      </c>
      <c r="H289" s="180" t="s">
        <v>96</v>
      </c>
      <c r="I289" s="181" t="s">
        <v>97</v>
      </c>
      <c r="J289" s="85"/>
      <c r="K289" s="252">
        <f t="shared" si="103"/>
        <v>2650.9</v>
      </c>
      <c r="L289" s="252">
        <f t="shared" si="103"/>
        <v>0</v>
      </c>
      <c r="M289" s="252">
        <f t="shared" si="103"/>
        <v>2650.9</v>
      </c>
      <c r="N289" s="252">
        <f t="shared" si="103"/>
        <v>2533.5</v>
      </c>
      <c r="P289" s="71"/>
    </row>
    <row r="290" spans="1:16" s="9" customFormat="1" ht="37.5" x14ac:dyDescent="0.3">
      <c r="A290" s="2"/>
      <c r="B290" s="98" t="s">
        <v>300</v>
      </c>
      <c r="C290" s="99" t="s">
        <v>394</v>
      </c>
      <c r="D290" s="100" t="s">
        <v>304</v>
      </c>
      <c r="E290" s="100" t="s">
        <v>139</v>
      </c>
      <c r="F290" s="272" t="s">
        <v>121</v>
      </c>
      <c r="G290" s="272" t="s">
        <v>150</v>
      </c>
      <c r="H290" s="272" t="s">
        <v>96</v>
      </c>
      <c r="I290" s="273" t="s">
        <v>97</v>
      </c>
      <c r="J290" s="100"/>
      <c r="K290" s="252">
        <f t="shared" si="103"/>
        <v>2650.9</v>
      </c>
      <c r="L290" s="252">
        <f t="shared" si="103"/>
        <v>0</v>
      </c>
      <c r="M290" s="252">
        <f t="shared" si="103"/>
        <v>2650.9</v>
      </c>
      <c r="N290" s="252">
        <f t="shared" si="103"/>
        <v>2533.5</v>
      </c>
    </row>
    <row r="291" spans="1:16" s="67" customFormat="1" ht="37.5" x14ac:dyDescent="0.3">
      <c r="A291" s="2"/>
      <c r="B291" s="98" t="s">
        <v>389</v>
      </c>
      <c r="C291" s="99" t="s">
        <v>394</v>
      </c>
      <c r="D291" s="100" t="s">
        <v>304</v>
      </c>
      <c r="E291" s="100" t="s">
        <v>139</v>
      </c>
      <c r="F291" s="272" t="s">
        <v>121</v>
      </c>
      <c r="G291" s="272" t="s">
        <v>150</v>
      </c>
      <c r="H291" s="272" t="s">
        <v>90</v>
      </c>
      <c r="I291" s="273" t="s">
        <v>97</v>
      </c>
      <c r="J291" s="100"/>
      <c r="K291" s="252">
        <f t="shared" si="103"/>
        <v>2650.9</v>
      </c>
      <c r="L291" s="252">
        <f t="shared" si="103"/>
        <v>0</v>
      </c>
      <c r="M291" s="252">
        <f t="shared" si="103"/>
        <v>2650.9</v>
      </c>
      <c r="N291" s="252">
        <f t="shared" si="103"/>
        <v>2533.5</v>
      </c>
    </row>
    <row r="292" spans="1:16" s="70" customFormat="1" ht="37.5" x14ac:dyDescent="0.3">
      <c r="A292" s="2"/>
      <c r="B292" s="98" t="s">
        <v>100</v>
      </c>
      <c r="C292" s="99" t="s">
        <v>394</v>
      </c>
      <c r="D292" s="100" t="s">
        <v>304</v>
      </c>
      <c r="E292" s="100" t="s">
        <v>139</v>
      </c>
      <c r="F292" s="272" t="s">
        <v>121</v>
      </c>
      <c r="G292" s="272" t="s">
        <v>150</v>
      </c>
      <c r="H292" s="272" t="s">
        <v>90</v>
      </c>
      <c r="I292" s="273" t="s">
        <v>101</v>
      </c>
      <c r="J292" s="100"/>
      <c r="K292" s="252">
        <f>K293+K294+K295</f>
        <v>2650.9</v>
      </c>
      <c r="L292" s="252">
        <f>L293+L294+L295</f>
        <v>0</v>
      </c>
      <c r="M292" s="252">
        <f>M293+M294+M295</f>
        <v>2650.9</v>
      </c>
      <c r="N292" s="252">
        <f>N293+N294+N295</f>
        <v>2533.5</v>
      </c>
    </row>
    <row r="293" spans="1:16" s="70" customFormat="1" ht="88.15" customHeight="1" x14ac:dyDescent="0.3">
      <c r="A293" s="2"/>
      <c r="B293" s="98" t="s">
        <v>102</v>
      </c>
      <c r="C293" s="99" t="s">
        <v>394</v>
      </c>
      <c r="D293" s="100" t="s">
        <v>304</v>
      </c>
      <c r="E293" s="100" t="s">
        <v>139</v>
      </c>
      <c r="F293" s="272" t="s">
        <v>121</v>
      </c>
      <c r="G293" s="272" t="s">
        <v>150</v>
      </c>
      <c r="H293" s="272" t="s">
        <v>90</v>
      </c>
      <c r="I293" s="273" t="s">
        <v>101</v>
      </c>
      <c r="J293" s="100" t="s">
        <v>103</v>
      </c>
      <c r="K293" s="252">
        <v>2533.5</v>
      </c>
      <c r="L293" s="252">
        <f t="shared" ref="L293:L295" si="104">M293-K293</f>
        <v>0</v>
      </c>
      <c r="M293" s="252">
        <v>2533.5</v>
      </c>
      <c r="N293" s="252">
        <v>2533.5</v>
      </c>
      <c r="P293" s="71"/>
    </row>
    <row r="294" spans="1:16" s="70" customFormat="1" ht="33.6" customHeight="1" x14ac:dyDescent="0.3">
      <c r="A294" s="2"/>
      <c r="B294" s="98" t="s">
        <v>108</v>
      </c>
      <c r="C294" s="128" t="s">
        <v>394</v>
      </c>
      <c r="D294" s="129" t="s">
        <v>304</v>
      </c>
      <c r="E294" s="100" t="s">
        <v>139</v>
      </c>
      <c r="F294" s="272" t="s">
        <v>121</v>
      </c>
      <c r="G294" s="272" t="s">
        <v>150</v>
      </c>
      <c r="H294" s="272" t="s">
        <v>90</v>
      </c>
      <c r="I294" s="273" t="s">
        <v>101</v>
      </c>
      <c r="J294" s="100" t="s">
        <v>109</v>
      </c>
      <c r="K294" s="252">
        <v>117.1</v>
      </c>
      <c r="L294" s="252">
        <f t="shared" si="104"/>
        <v>0</v>
      </c>
      <c r="M294" s="252">
        <v>117.1</v>
      </c>
      <c r="N294" s="252">
        <v>0</v>
      </c>
    </row>
    <row r="295" spans="1:16" s="70" customFormat="1" ht="18.75" x14ac:dyDescent="0.3">
      <c r="A295" s="2"/>
      <c r="B295" s="98" t="s">
        <v>110</v>
      </c>
      <c r="C295" s="128" t="s">
        <v>394</v>
      </c>
      <c r="D295" s="129" t="s">
        <v>304</v>
      </c>
      <c r="E295" s="100" t="s">
        <v>139</v>
      </c>
      <c r="F295" s="272" t="s">
        <v>121</v>
      </c>
      <c r="G295" s="272" t="s">
        <v>150</v>
      </c>
      <c r="H295" s="272" t="s">
        <v>90</v>
      </c>
      <c r="I295" s="273" t="s">
        <v>101</v>
      </c>
      <c r="J295" s="100" t="s">
        <v>111</v>
      </c>
      <c r="K295" s="252">
        <v>0.3</v>
      </c>
      <c r="L295" s="252">
        <f t="shared" si="104"/>
        <v>0</v>
      </c>
      <c r="M295" s="252">
        <v>0.3</v>
      </c>
      <c r="N295" s="252"/>
      <c r="P295" s="71"/>
    </row>
    <row r="296" spans="1:16" ht="18.75" x14ac:dyDescent="0.3">
      <c r="A296" s="2"/>
      <c r="B296" s="98"/>
      <c r="C296" s="128"/>
      <c r="D296" s="129"/>
      <c r="E296" s="129"/>
      <c r="F296" s="130"/>
      <c r="G296" s="130"/>
      <c r="H296" s="130"/>
      <c r="I296" s="131"/>
      <c r="J296" s="129"/>
      <c r="K296" s="252"/>
      <c r="L296" s="252"/>
      <c r="M296" s="252"/>
      <c r="N296" s="252"/>
    </row>
    <row r="297" spans="1:16" s="69" customFormat="1" ht="56.25" x14ac:dyDescent="0.3">
      <c r="A297" s="161">
        <v>9</v>
      </c>
      <c r="B297" s="93" t="s">
        <v>60</v>
      </c>
      <c r="C297" s="94" t="s">
        <v>406</v>
      </c>
      <c r="D297" s="95"/>
      <c r="E297" s="95"/>
      <c r="F297" s="96"/>
      <c r="G297" s="96"/>
      <c r="H297" s="96"/>
      <c r="I297" s="97"/>
      <c r="J297" s="95"/>
      <c r="K297" s="251">
        <f>K298+K305</f>
        <v>69041.8</v>
      </c>
      <c r="L297" s="251">
        <f>L298+L305</f>
        <v>0</v>
      </c>
      <c r="M297" s="251">
        <f>M298+M305</f>
        <v>69041.8</v>
      </c>
      <c r="N297" s="251">
        <f>N298+N305</f>
        <v>71541.8</v>
      </c>
    </row>
    <row r="298" spans="1:16" s="70" customFormat="1" ht="18.75" x14ac:dyDescent="0.3">
      <c r="A298" s="2"/>
      <c r="B298" s="103" t="s">
        <v>254</v>
      </c>
      <c r="C298" s="99" t="s">
        <v>406</v>
      </c>
      <c r="D298" s="100" t="s">
        <v>304</v>
      </c>
      <c r="E298" s="100"/>
      <c r="F298" s="272"/>
      <c r="G298" s="272"/>
      <c r="H298" s="272"/>
      <c r="I298" s="273"/>
      <c r="J298" s="100"/>
      <c r="K298" s="252">
        <f t="shared" ref="K298:N303" si="105">K299</f>
        <v>15.6</v>
      </c>
      <c r="L298" s="252">
        <f t="shared" si="105"/>
        <v>0</v>
      </c>
      <c r="M298" s="252">
        <f t="shared" si="105"/>
        <v>15.6</v>
      </c>
      <c r="N298" s="252">
        <f t="shared" si="105"/>
        <v>15.6</v>
      </c>
    </row>
    <row r="299" spans="1:16" s="67" customFormat="1" ht="18.75" x14ac:dyDescent="0.3">
      <c r="A299" s="2"/>
      <c r="B299" s="98" t="s">
        <v>518</v>
      </c>
      <c r="C299" s="99" t="s">
        <v>406</v>
      </c>
      <c r="D299" s="100" t="s">
        <v>304</v>
      </c>
      <c r="E299" s="100" t="s">
        <v>304</v>
      </c>
      <c r="F299" s="272"/>
      <c r="G299" s="272"/>
      <c r="H299" s="272"/>
      <c r="I299" s="273"/>
      <c r="J299" s="100"/>
      <c r="K299" s="252">
        <f t="shared" si="105"/>
        <v>15.6</v>
      </c>
      <c r="L299" s="252">
        <f t="shared" si="105"/>
        <v>0</v>
      </c>
      <c r="M299" s="252">
        <f t="shared" si="105"/>
        <v>15.6</v>
      </c>
      <c r="N299" s="252">
        <f t="shared" si="105"/>
        <v>15.6</v>
      </c>
    </row>
    <row r="300" spans="1:16" s="67" customFormat="1" ht="56.25" x14ac:dyDescent="0.3">
      <c r="A300" s="2"/>
      <c r="B300" s="98" t="s">
        <v>407</v>
      </c>
      <c r="C300" s="99" t="s">
        <v>406</v>
      </c>
      <c r="D300" s="100" t="s">
        <v>304</v>
      </c>
      <c r="E300" s="100" t="s">
        <v>304</v>
      </c>
      <c r="F300" s="272" t="s">
        <v>139</v>
      </c>
      <c r="G300" s="272" t="s">
        <v>95</v>
      </c>
      <c r="H300" s="272" t="s">
        <v>96</v>
      </c>
      <c r="I300" s="273" t="s">
        <v>97</v>
      </c>
      <c r="J300" s="100"/>
      <c r="K300" s="252">
        <f t="shared" si="105"/>
        <v>15.6</v>
      </c>
      <c r="L300" s="252">
        <f t="shared" si="105"/>
        <v>0</v>
      </c>
      <c r="M300" s="252">
        <f t="shared" si="105"/>
        <v>15.6</v>
      </c>
      <c r="N300" s="252">
        <f t="shared" si="105"/>
        <v>15.6</v>
      </c>
    </row>
    <row r="301" spans="1:16" s="67" customFormat="1" ht="34.9" customHeight="1" x14ac:dyDescent="0.3">
      <c r="A301" s="2"/>
      <c r="B301" s="98" t="s">
        <v>491</v>
      </c>
      <c r="C301" s="99" t="s">
        <v>406</v>
      </c>
      <c r="D301" s="100" t="s">
        <v>304</v>
      </c>
      <c r="E301" s="100" t="s">
        <v>304</v>
      </c>
      <c r="F301" s="272" t="s">
        <v>139</v>
      </c>
      <c r="G301" s="272" t="s">
        <v>98</v>
      </c>
      <c r="H301" s="272" t="s">
        <v>96</v>
      </c>
      <c r="I301" s="273" t="s">
        <v>97</v>
      </c>
      <c r="J301" s="100"/>
      <c r="K301" s="252">
        <f t="shared" si="105"/>
        <v>15.6</v>
      </c>
      <c r="L301" s="252">
        <f t="shared" si="105"/>
        <v>0</v>
      </c>
      <c r="M301" s="252">
        <f t="shared" si="105"/>
        <v>15.6</v>
      </c>
      <c r="N301" s="252">
        <f t="shared" si="105"/>
        <v>15.6</v>
      </c>
    </row>
    <row r="302" spans="1:16" s="67" customFormat="1" ht="37.5" x14ac:dyDescent="0.3">
      <c r="A302" s="2"/>
      <c r="B302" s="98" t="s">
        <v>392</v>
      </c>
      <c r="C302" s="99" t="s">
        <v>406</v>
      </c>
      <c r="D302" s="100" t="s">
        <v>304</v>
      </c>
      <c r="E302" s="100" t="s">
        <v>304</v>
      </c>
      <c r="F302" s="272" t="s">
        <v>139</v>
      </c>
      <c r="G302" s="272" t="s">
        <v>98</v>
      </c>
      <c r="H302" s="272" t="s">
        <v>90</v>
      </c>
      <c r="I302" s="273" t="s">
        <v>97</v>
      </c>
      <c r="J302" s="100"/>
      <c r="K302" s="252">
        <f t="shared" si="105"/>
        <v>15.6</v>
      </c>
      <c r="L302" s="252">
        <f t="shared" si="105"/>
        <v>0</v>
      </c>
      <c r="M302" s="252">
        <f t="shared" si="105"/>
        <v>15.6</v>
      </c>
      <c r="N302" s="252">
        <f t="shared" si="105"/>
        <v>15.6</v>
      </c>
    </row>
    <row r="303" spans="1:16" s="67" customFormat="1" ht="168.75" x14ac:dyDescent="0.3">
      <c r="A303" s="2"/>
      <c r="B303" s="227" t="s">
        <v>534</v>
      </c>
      <c r="C303" s="99" t="s">
        <v>406</v>
      </c>
      <c r="D303" s="100" t="s">
        <v>304</v>
      </c>
      <c r="E303" s="100" t="s">
        <v>304</v>
      </c>
      <c r="F303" s="272" t="s">
        <v>139</v>
      </c>
      <c r="G303" s="272" t="s">
        <v>98</v>
      </c>
      <c r="H303" s="272" t="s">
        <v>90</v>
      </c>
      <c r="I303" s="273" t="s">
        <v>408</v>
      </c>
      <c r="J303" s="100"/>
      <c r="K303" s="252">
        <f t="shared" si="105"/>
        <v>15.6</v>
      </c>
      <c r="L303" s="252">
        <f t="shared" si="105"/>
        <v>0</v>
      </c>
      <c r="M303" s="252">
        <f t="shared" si="105"/>
        <v>15.6</v>
      </c>
      <c r="N303" s="252">
        <f t="shared" si="105"/>
        <v>15.6</v>
      </c>
    </row>
    <row r="304" spans="1:16" s="67" customFormat="1" ht="34.15" customHeight="1" x14ac:dyDescent="0.3">
      <c r="A304" s="2"/>
      <c r="B304" s="98" t="s">
        <v>183</v>
      </c>
      <c r="C304" s="99" t="s">
        <v>406</v>
      </c>
      <c r="D304" s="100" t="s">
        <v>304</v>
      </c>
      <c r="E304" s="100" t="s">
        <v>304</v>
      </c>
      <c r="F304" s="272" t="s">
        <v>139</v>
      </c>
      <c r="G304" s="272" t="s">
        <v>98</v>
      </c>
      <c r="H304" s="272" t="s">
        <v>90</v>
      </c>
      <c r="I304" s="273" t="s">
        <v>408</v>
      </c>
      <c r="J304" s="100" t="s">
        <v>184</v>
      </c>
      <c r="K304" s="252">
        <v>15.6</v>
      </c>
      <c r="L304" s="252">
        <f>M304-K304</f>
        <v>0</v>
      </c>
      <c r="M304" s="252">
        <v>15.6</v>
      </c>
      <c r="N304" s="252">
        <v>15.6</v>
      </c>
    </row>
    <row r="305" spans="1:16" s="69" customFormat="1" ht="18.75" x14ac:dyDescent="0.3">
      <c r="A305" s="2"/>
      <c r="B305" s="103" t="s">
        <v>182</v>
      </c>
      <c r="C305" s="99" t="s">
        <v>406</v>
      </c>
      <c r="D305" s="100" t="s">
        <v>167</v>
      </c>
      <c r="E305" s="100"/>
      <c r="F305" s="272"/>
      <c r="G305" s="272"/>
      <c r="H305" s="272"/>
      <c r="I305" s="273"/>
      <c r="J305" s="100"/>
      <c r="K305" s="252">
        <f t="shared" ref="K305" si="106">K306+K327</f>
        <v>69026.2</v>
      </c>
      <c r="L305" s="252">
        <f>L306+L327</f>
        <v>0</v>
      </c>
      <c r="M305" s="252">
        <f t="shared" ref="M305:N305" si="107">M306+M327</f>
        <v>69026.2</v>
      </c>
      <c r="N305" s="252">
        <f t="shared" si="107"/>
        <v>71526.2</v>
      </c>
      <c r="P305" s="68"/>
    </row>
    <row r="306" spans="1:16" s="70" customFormat="1" ht="18.75" x14ac:dyDescent="0.3">
      <c r="A306" s="2"/>
      <c r="B306" s="98" t="s">
        <v>272</v>
      </c>
      <c r="C306" s="99" t="s">
        <v>406</v>
      </c>
      <c r="D306" s="100" t="s">
        <v>167</v>
      </c>
      <c r="E306" s="100" t="s">
        <v>105</v>
      </c>
      <c r="F306" s="272"/>
      <c r="G306" s="272"/>
      <c r="H306" s="272"/>
      <c r="I306" s="273"/>
      <c r="J306" s="100"/>
      <c r="K306" s="252">
        <f t="shared" ref="K306:N306" si="108">K307</f>
        <v>62777.4</v>
      </c>
      <c r="L306" s="252">
        <f>L307</f>
        <v>0</v>
      </c>
      <c r="M306" s="252">
        <f t="shared" si="108"/>
        <v>62777.4</v>
      </c>
      <c r="N306" s="252">
        <f t="shared" si="108"/>
        <v>65277.399999999994</v>
      </c>
    </row>
    <row r="307" spans="1:16" s="9" customFormat="1" ht="56.25" x14ac:dyDescent="0.3">
      <c r="A307" s="2"/>
      <c r="B307" s="102" t="s">
        <v>310</v>
      </c>
      <c r="C307" s="99" t="s">
        <v>406</v>
      </c>
      <c r="D307" s="100" t="s">
        <v>167</v>
      </c>
      <c r="E307" s="100" t="s">
        <v>105</v>
      </c>
      <c r="F307" s="272" t="s">
        <v>139</v>
      </c>
      <c r="G307" s="272" t="s">
        <v>95</v>
      </c>
      <c r="H307" s="272" t="s">
        <v>96</v>
      </c>
      <c r="I307" s="273" t="s">
        <v>97</v>
      </c>
      <c r="J307" s="100"/>
      <c r="K307" s="252">
        <f t="shared" ref="K307:N307" si="109">K308</f>
        <v>62777.4</v>
      </c>
      <c r="L307" s="252">
        <f t="shared" si="109"/>
        <v>0</v>
      </c>
      <c r="M307" s="252">
        <f t="shared" si="109"/>
        <v>62777.4</v>
      </c>
      <c r="N307" s="252">
        <f t="shared" si="109"/>
        <v>65277.399999999994</v>
      </c>
    </row>
    <row r="308" spans="1:16" s="9" customFormat="1" ht="37.5" x14ac:dyDescent="0.3">
      <c r="A308" s="2"/>
      <c r="B308" s="98" t="s">
        <v>491</v>
      </c>
      <c r="C308" s="99" t="s">
        <v>406</v>
      </c>
      <c r="D308" s="100" t="s">
        <v>167</v>
      </c>
      <c r="E308" s="100" t="s">
        <v>105</v>
      </c>
      <c r="F308" s="272" t="s">
        <v>139</v>
      </c>
      <c r="G308" s="272" t="s">
        <v>98</v>
      </c>
      <c r="H308" s="272" t="s">
        <v>96</v>
      </c>
      <c r="I308" s="273" t="s">
        <v>97</v>
      </c>
      <c r="J308" s="100"/>
      <c r="K308" s="252">
        <f t="shared" ref="K308" si="110">K309+K322</f>
        <v>62777.4</v>
      </c>
      <c r="L308" s="252">
        <f>L309+L322</f>
        <v>0</v>
      </c>
      <c r="M308" s="252">
        <f t="shared" ref="M308:N308" si="111">M309+M322</f>
        <v>62777.4</v>
      </c>
      <c r="N308" s="252">
        <f t="shared" si="111"/>
        <v>65277.399999999994</v>
      </c>
    </row>
    <row r="309" spans="1:16" s="67" customFormat="1" ht="37.5" x14ac:dyDescent="0.3">
      <c r="A309" s="2"/>
      <c r="B309" s="98" t="s">
        <v>392</v>
      </c>
      <c r="C309" s="99" t="s">
        <v>406</v>
      </c>
      <c r="D309" s="100" t="s">
        <v>167</v>
      </c>
      <c r="E309" s="100" t="s">
        <v>105</v>
      </c>
      <c r="F309" s="272" t="s">
        <v>139</v>
      </c>
      <c r="G309" s="272" t="s">
        <v>98</v>
      </c>
      <c r="H309" s="272" t="s">
        <v>90</v>
      </c>
      <c r="I309" s="273" t="s">
        <v>97</v>
      </c>
      <c r="J309" s="100"/>
      <c r="K309" s="252">
        <f>K310+K313+K316+K319</f>
        <v>62541.200000000004</v>
      </c>
      <c r="L309" s="252">
        <f>L310+L313+L316+L319</f>
        <v>0</v>
      </c>
      <c r="M309" s="252">
        <f>M310+M313+M316+M319</f>
        <v>62541.200000000004</v>
      </c>
      <c r="N309" s="252">
        <f>N310+N313+N316+N319</f>
        <v>65041.2</v>
      </c>
    </row>
    <row r="310" spans="1:16" s="67" customFormat="1" ht="148.15" customHeight="1" x14ac:dyDescent="0.3">
      <c r="A310" s="2"/>
      <c r="B310" s="213" t="s">
        <v>535</v>
      </c>
      <c r="C310" s="291" t="s">
        <v>406</v>
      </c>
      <c r="D310" s="292" t="s">
        <v>167</v>
      </c>
      <c r="E310" s="292" t="s">
        <v>105</v>
      </c>
      <c r="F310" s="293" t="s">
        <v>139</v>
      </c>
      <c r="G310" s="293" t="s">
        <v>98</v>
      </c>
      <c r="H310" s="293" t="s">
        <v>90</v>
      </c>
      <c r="I310" s="294" t="s">
        <v>409</v>
      </c>
      <c r="J310" s="292"/>
      <c r="K310" s="252">
        <f>SUM(K311:K312)</f>
        <v>34336.800000000003</v>
      </c>
      <c r="L310" s="252">
        <f>SUM(L311:L312)</f>
        <v>0</v>
      </c>
      <c r="M310" s="252">
        <f>SUM(M311:M312)</f>
        <v>34336.800000000003</v>
      </c>
      <c r="N310" s="252">
        <f>SUM(N311:N312)</f>
        <v>35709.599999999999</v>
      </c>
    </row>
    <row r="311" spans="1:16" s="67" customFormat="1" ht="37.15" customHeight="1" x14ac:dyDescent="0.3">
      <c r="A311" s="2"/>
      <c r="B311" s="98" t="s">
        <v>108</v>
      </c>
      <c r="C311" s="99" t="s">
        <v>406</v>
      </c>
      <c r="D311" s="100" t="s">
        <v>167</v>
      </c>
      <c r="E311" s="100" t="s">
        <v>105</v>
      </c>
      <c r="F311" s="272" t="s">
        <v>139</v>
      </c>
      <c r="G311" s="272" t="s">
        <v>98</v>
      </c>
      <c r="H311" s="272" t="s">
        <v>90</v>
      </c>
      <c r="I311" s="273" t="s">
        <v>409</v>
      </c>
      <c r="J311" s="100" t="s">
        <v>109</v>
      </c>
      <c r="K311" s="252">
        <v>170.8</v>
      </c>
      <c r="L311" s="252">
        <f t="shared" ref="L311:L312" si="112">M311-K311</f>
        <v>0</v>
      </c>
      <c r="M311" s="252">
        <v>170.8</v>
      </c>
      <c r="N311" s="252">
        <v>177.6</v>
      </c>
    </row>
    <row r="312" spans="1:16" s="67" customFormat="1" ht="37.5" x14ac:dyDescent="0.3">
      <c r="A312" s="2"/>
      <c r="B312" s="98" t="s">
        <v>183</v>
      </c>
      <c r="C312" s="291" t="s">
        <v>406</v>
      </c>
      <c r="D312" s="292" t="s">
        <v>167</v>
      </c>
      <c r="E312" s="292" t="s">
        <v>105</v>
      </c>
      <c r="F312" s="293" t="s">
        <v>139</v>
      </c>
      <c r="G312" s="293" t="s">
        <v>98</v>
      </c>
      <c r="H312" s="293" t="s">
        <v>90</v>
      </c>
      <c r="I312" s="294" t="s">
        <v>409</v>
      </c>
      <c r="J312" s="292" t="s">
        <v>184</v>
      </c>
      <c r="K312" s="295">
        <v>34166</v>
      </c>
      <c r="L312" s="252">
        <f t="shared" si="112"/>
        <v>0</v>
      </c>
      <c r="M312" s="295">
        <v>34166</v>
      </c>
      <c r="N312" s="295">
        <v>35532</v>
      </c>
    </row>
    <row r="313" spans="1:16" s="67" customFormat="1" ht="93.75" x14ac:dyDescent="0.3">
      <c r="A313" s="2"/>
      <c r="B313" s="98" t="s">
        <v>536</v>
      </c>
      <c r="C313" s="99" t="s">
        <v>406</v>
      </c>
      <c r="D313" s="100" t="s">
        <v>167</v>
      </c>
      <c r="E313" s="100" t="s">
        <v>105</v>
      </c>
      <c r="F313" s="272" t="s">
        <v>139</v>
      </c>
      <c r="G313" s="272" t="s">
        <v>98</v>
      </c>
      <c r="H313" s="272" t="s">
        <v>90</v>
      </c>
      <c r="I313" s="273" t="s">
        <v>410</v>
      </c>
      <c r="J313" s="100"/>
      <c r="K313" s="252">
        <f>SUM(K314:K315)</f>
        <v>27224.300000000003</v>
      </c>
      <c r="L313" s="252">
        <f>SUM(L314:L315)</f>
        <v>0</v>
      </c>
      <c r="M313" s="252">
        <f>SUM(M314:M315)</f>
        <v>27224.300000000003</v>
      </c>
      <c r="N313" s="252">
        <f>SUM(N314:N315)</f>
        <v>28312.300000000003</v>
      </c>
    </row>
    <row r="314" spans="1:16" s="67" customFormat="1" ht="37.9" customHeight="1" x14ac:dyDescent="0.3">
      <c r="A314" s="2"/>
      <c r="B314" s="98" t="s">
        <v>108</v>
      </c>
      <c r="C314" s="99" t="s">
        <v>406</v>
      </c>
      <c r="D314" s="100" t="s">
        <v>167</v>
      </c>
      <c r="E314" s="100" t="s">
        <v>105</v>
      </c>
      <c r="F314" s="272" t="s">
        <v>139</v>
      </c>
      <c r="G314" s="272" t="s">
        <v>98</v>
      </c>
      <c r="H314" s="272" t="s">
        <v>90</v>
      </c>
      <c r="I314" s="273" t="s">
        <v>410</v>
      </c>
      <c r="J314" s="100" t="s">
        <v>109</v>
      </c>
      <c r="K314" s="252">
        <v>135.4</v>
      </c>
      <c r="L314" s="252">
        <f t="shared" ref="L314:L315" si="113">M314-K314</f>
        <v>0</v>
      </c>
      <c r="M314" s="252">
        <v>135.4</v>
      </c>
      <c r="N314" s="252">
        <v>140.9</v>
      </c>
    </row>
    <row r="315" spans="1:16" s="67" customFormat="1" ht="37.5" x14ac:dyDescent="0.3">
      <c r="A315" s="2"/>
      <c r="B315" s="98" t="s">
        <v>183</v>
      </c>
      <c r="C315" s="99" t="s">
        <v>406</v>
      </c>
      <c r="D315" s="100" t="s">
        <v>167</v>
      </c>
      <c r="E315" s="100" t="s">
        <v>105</v>
      </c>
      <c r="F315" s="272" t="s">
        <v>139</v>
      </c>
      <c r="G315" s="272" t="s">
        <v>98</v>
      </c>
      <c r="H315" s="272" t="s">
        <v>90</v>
      </c>
      <c r="I315" s="273" t="s">
        <v>410</v>
      </c>
      <c r="J315" s="100" t="s">
        <v>184</v>
      </c>
      <c r="K315" s="252">
        <v>27088.9</v>
      </c>
      <c r="L315" s="252">
        <f t="shared" si="113"/>
        <v>0</v>
      </c>
      <c r="M315" s="252">
        <v>27088.9</v>
      </c>
      <c r="N315" s="252">
        <v>28171.4</v>
      </c>
    </row>
    <row r="316" spans="1:16" s="67" customFormat="1" ht="93.75" x14ac:dyDescent="0.3">
      <c r="A316" s="2"/>
      <c r="B316" s="98" t="s">
        <v>537</v>
      </c>
      <c r="C316" s="291" t="s">
        <v>406</v>
      </c>
      <c r="D316" s="292" t="s">
        <v>167</v>
      </c>
      <c r="E316" s="292" t="s">
        <v>105</v>
      </c>
      <c r="F316" s="293" t="s">
        <v>139</v>
      </c>
      <c r="G316" s="293" t="s">
        <v>98</v>
      </c>
      <c r="H316" s="293" t="s">
        <v>90</v>
      </c>
      <c r="I316" s="294" t="s">
        <v>411</v>
      </c>
      <c r="J316" s="292"/>
      <c r="K316" s="252">
        <f>SUM(K317:K318)</f>
        <v>467.40000000000003</v>
      </c>
      <c r="L316" s="252">
        <f>SUM(L317:L318)</f>
        <v>0</v>
      </c>
      <c r="M316" s="252">
        <f>SUM(M317:M318)</f>
        <v>467.40000000000003</v>
      </c>
      <c r="N316" s="252">
        <f>SUM(N317:N318)</f>
        <v>486.09999999999997</v>
      </c>
    </row>
    <row r="317" spans="1:16" s="67" customFormat="1" ht="36.6" customHeight="1" x14ac:dyDescent="0.3">
      <c r="A317" s="2"/>
      <c r="B317" s="98" t="s">
        <v>108</v>
      </c>
      <c r="C317" s="99" t="s">
        <v>406</v>
      </c>
      <c r="D317" s="100" t="s">
        <v>167</v>
      </c>
      <c r="E317" s="100" t="s">
        <v>105</v>
      </c>
      <c r="F317" s="272" t="s">
        <v>139</v>
      </c>
      <c r="G317" s="272" t="s">
        <v>98</v>
      </c>
      <c r="H317" s="272" t="s">
        <v>90</v>
      </c>
      <c r="I317" s="273" t="s">
        <v>411</v>
      </c>
      <c r="J317" s="100" t="s">
        <v>109</v>
      </c>
      <c r="K317" s="252">
        <v>2.2999999999999998</v>
      </c>
      <c r="L317" s="252">
        <f t="shared" ref="L317:L318" si="114">M317-K317</f>
        <v>0</v>
      </c>
      <c r="M317" s="252">
        <v>2.2999999999999998</v>
      </c>
      <c r="N317" s="252">
        <v>2.4</v>
      </c>
    </row>
    <row r="318" spans="1:16" s="67" customFormat="1" ht="37.5" x14ac:dyDescent="0.3">
      <c r="A318" s="2"/>
      <c r="B318" s="98" t="s">
        <v>183</v>
      </c>
      <c r="C318" s="291" t="s">
        <v>406</v>
      </c>
      <c r="D318" s="292" t="s">
        <v>167</v>
      </c>
      <c r="E318" s="292" t="s">
        <v>105</v>
      </c>
      <c r="F318" s="293" t="s">
        <v>139</v>
      </c>
      <c r="G318" s="293" t="s">
        <v>98</v>
      </c>
      <c r="H318" s="293" t="s">
        <v>90</v>
      </c>
      <c r="I318" s="294" t="s">
        <v>411</v>
      </c>
      <c r="J318" s="292" t="s">
        <v>184</v>
      </c>
      <c r="K318" s="295">
        <v>465.1</v>
      </c>
      <c r="L318" s="252">
        <f t="shared" si="114"/>
        <v>0</v>
      </c>
      <c r="M318" s="295">
        <v>465.1</v>
      </c>
      <c r="N318" s="295">
        <v>483.7</v>
      </c>
    </row>
    <row r="319" spans="1:16" s="67" customFormat="1" ht="131.25" x14ac:dyDescent="0.3">
      <c r="A319" s="2"/>
      <c r="B319" s="98" t="s">
        <v>555</v>
      </c>
      <c r="C319" s="99" t="s">
        <v>406</v>
      </c>
      <c r="D319" s="100" t="s">
        <v>167</v>
      </c>
      <c r="E319" s="100" t="s">
        <v>105</v>
      </c>
      <c r="F319" s="272" t="s">
        <v>139</v>
      </c>
      <c r="G319" s="272" t="s">
        <v>98</v>
      </c>
      <c r="H319" s="272" t="s">
        <v>90</v>
      </c>
      <c r="I319" s="273" t="s">
        <v>412</v>
      </c>
      <c r="J319" s="100"/>
      <c r="K319" s="252">
        <f>SUM(K320:K321)</f>
        <v>512.70000000000005</v>
      </c>
      <c r="L319" s="252">
        <f>SUM(L320:L321)</f>
        <v>0</v>
      </c>
      <c r="M319" s="252">
        <f>SUM(M320:M321)</f>
        <v>512.70000000000005</v>
      </c>
      <c r="N319" s="252">
        <f>SUM(N320:N321)</f>
        <v>533.20000000000005</v>
      </c>
    </row>
    <row r="320" spans="1:16" s="67" customFormat="1" ht="37.15" customHeight="1" x14ac:dyDescent="0.3">
      <c r="A320" s="2"/>
      <c r="B320" s="98" t="s">
        <v>108</v>
      </c>
      <c r="C320" s="99" t="s">
        <v>406</v>
      </c>
      <c r="D320" s="100" t="s">
        <v>167</v>
      </c>
      <c r="E320" s="100" t="s">
        <v>105</v>
      </c>
      <c r="F320" s="272" t="s">
        <v>139</v>
      </c>
      <c r="G320" s="272" t="s">
        <v>98</v>
      </c>
      <c r="H320" s="272" t="s">
        <v>90</v>
      </c>
      <c r="I320" s="273" t="s">
        <v>412</v>
      </c>
      <c r="J320" s="100" t="s">
        <v>109</v>
      </c>
      <c r="K320" s="252">
        <v>2.6</v>
      </c>
      <c r="L320" s="252">
        <f t="shared" ref="L320:L321" si="115">M320-K320</f>
        <v>0</v>
      </c>
      <c r="M320" s="252">
        <v>2.6</v>
      </c>
      <c r="N320" s="252">
        <v>2.7</v>
      </c>
    </row>
    <row r="321" spans="1:16" s="67" customFormat="1" ht="37.5" x14ac:dyDescent="0.3">
      <c r="A321" s="2"/>
      <c r="B321" s="98" t="s">
        <v>183</v>
      </c>
      <c r="C321" s="99" t="s">
        <v>406</v>
      </c>
      <c r="D321" s="100" t="s">
        <v>167</v>
      </c>
      <c r="E321" s="100" t="s">
        <v>105</v>
      </c>
      <c r="F321" s="272" t="s">
        <v>139</v>
      </c>
      <c r="G321" s="272" t="s">
        <v>98</v>
      </c>
      <c r="H321" s="272" t="s">
        <v>90</v>
      </c>
      <c r="I321" s="273" t="s">
        <v>412</v>
      </c>
      <c r="J321" s="100" t="s">
        <v>184</v>
      </c>
      <c r="K321" s="252">
        <v>510.1</v>
      </c>
      <c r="L321" s="252">
        <f t="shared" si="115"/>
        <v>0</v>
      </c>
      <c r="M321" s="252">
        <v>510.1</v>
      </c>
      <c r="N321" s="252">
        <v>530.5</v>
      </c>
    </row>
    <row r="322" spans="1:16" s="69" customFormat="1" ht="79.5" customHeight="1" x14ac:dyDescent="0.3">
      <c r="A322" s="2"/>
      <c r="B322" s="102" t="s">
        <v>421</v>
      </c>
      <c r="C322" s="99" t="s">
        <v>406</v>
      </c>
      <c r="D322" s="100" t="s">
        <v>167</v>
      </c>
      <c r="E322" s="100" t="s">
        <v>105</v>
      </c>
      <c r="F322" s="504" t="s">
        <v>139</v>
      </c>
      <c r="G322" s="504" t="s">
        <v>98</v>
      </c>
      <c r="H322" s="504" t="s">
        <v>92</v>
      </c>
      <c r="I322" s="505" t="s">
        <v>97</v>
      </c>
      <c r="J322" s="100"/>
      <c r="K322" s="252">
        <f>K323+K325</f>
        <v>236.2</v>
      </c>
      <c r="L322" s="252">
        <f>L323+L325</f>
        <v>0</v>
      </c>
      <c r="M322" s="252">
        <f>M323+M325</f>
        <v>236.2</v>
      </c>
      <c r="N322" s="252">
        <f>N323+N325</f>
        <v>236.2</v>
      </c>
      <c r="P322" s="68"/>
    </row>
    <row r="323" spans="1:16" s="69" customFormat="1" ht="194.25" customHeight="1" x14ac:dyDescent="0.3">
      <c r="A323" s="2"/>
      <c r="B323" s="213" t="s">
        <v>543</v>
      </c>
      <c r="C323" s="99" t="s">
        <v>406</v>
      </c>
      <c r="D323" s="100" t="s">
        <v>167</v>
      </c>
      <c r="E323" s="100" t="s">
        <v>105</v>
      </c>
      <c r="F323" s="504" t="s">
        <v>139</v>
      </c>
      <c r="G323" s="504" t="s">
        <v>98</v>
      </c>
      <c r="H323" s="504" t="s">
        <v>92</v>
      </c>
      <c r="I323" s="505" t="s">
        <v>544</v>
      </c>
      <c r="J323" s="100"/>
      <c r="K323" s="252">
        <f>K324</f>
        <v>5.2</v>
      </c>
      <c r="L323" s="252">
        <f>L324</f>
        <v>0</v>
      </c>
      <c r="M323" s="252">
        <f>M324</f>
        <v>5.2</v>
      </c>
      <c r="N323" s="252">
        <f>N324</f>
        <v>5.2</v>
      </c>
      <c r="P323" s="68"/>
    </row>
    <row r="324" spans="1:16" s="69" customFormat="1" ht="36" customHeight="1" x14ac:dyDescent="0.3">
      <c r="A324" s="2"/>
      <c r="B324" s="98" t="s">
        <v>183</v>
      </c>
      <c r="C324" s="99" t="s">
        <v>406</v>
      </c>
      <c r="D324" s="100" t="s">
        <v>167</v>
      </c>
      <c r="E324" s="100" t="s">
        <v>105</v>
      </c>
      <c r="F324" s="504" t="s">
        <v>139</v>
      </c>
      <c r="G324" s="504" t="s">
        <v>98</v>
      </c>
      <c r="H324" s="504" t="s">
        <v>92</v>
      </c>
      <c r="I324" s="505" t="s">
        <v>544</v>
      </c>
      <c r="J324" s="100" t="s">
        <v>184</v>
      </c>
      <c r="K324" s="252">
        <v>5.2</v>
      </c>
      <c r="L324" s="252">
        <f>M324-K324</f>
        <v>0</v>
      </c>
      <c r="M324" s="252">
        <v>5.2</v>
      </c>
      <c r="N324" s="252">
        <v>5.2</v>
      </c>
      <c r="P324" s="68"/>
    </row>
    <row r="325" spans="1:16" s="69" customFormat="1" ht="267.60000000000002" customHeight="1" x14ac:dyDescent="0.3">
      <c r="A325" s="2"/>
      <c r="B325" s="213" t="s">
        <v>554</v>
      </c>
      <c r="C325" s="99" t="s">
        <v>406</v>
      </c>
      <c r="D325" s="100" t="s">
        <v>167</v>
      </c>
      <c r="E325" s="100" t="s">
        <v>105</v>
      </c>
      <c r="F325" s="504" t="s">
        <v>139</v>
      </c>
      <c r="G325" s="504" t="s">
        <v>98</v>
      </c>
      <c r="H325" s="504" t="s">
        <v>92</v>
      </c>
      <c r="I325" s="505" t="s">
        <v>545</v>
      </c>
      <c r="J325" s="100"/>
      <c r="K325" s="252">
        <f>K326</f>
        <v>231</v>
      </c>
      <c r="L325" s="252">
        <f>L326</f>
        <v>0</v>
      </c>
      <c r="M325" s="252">
        <f>M326</f>
        <v>231</v>
      </c>
      <c r="N325" s="252">
        <f>N326</f>
        <v>231</v>
      </c>
      <c r="P325" s="68"/>
    </row>
    <row r="326" spans="1:16" s="69" customFormat="1" ht="37.9" customHeight="1" x14ac:dyDescent="0.3">
      <c r="A326" s="2"/>
      <c r="B326" s="98" t="s">
        <v>183</v>
      </c>
      <c r="C326" s="99" t="s">
        <v>406</v>
      </c>
      <c r="D326" s="100" t="s">
        <v>167</v>
      </c>
      <c r="E326" s="100" t="s">
        <v>105</v>
      </c>
      <c r="F326" s="504" t="s">
        <v>139</v>
      </c>
      <c r="G326" s="504" t="s">
        <v>98</v>
      </c>
      <c r="H326" s="504" t="s">
        <v>92</v>
      </c>
      <c r="I326" s="505" t="s">
        <v>545</v>
      </c>
      <c r="J326" s="100" t="s">
        <v>184</v>
      </c>
      <c r="K326" s="252">
        <v>231</v>
      </c>
      <c r="L326" s="252">
        <f>M326-K326</f>
        <v>0</v>
      </c>
      <c r="M326" s="252">
        <v>231</v>
      </c>
      <c r="N326" s="252">
        <v>231</v>
      </c>
      <c r="P326" s="68"/>
    </row>
    <row r="327" spans="1:16" s="70" customFormat="1" ht="16.899999999999999" customHeight="1" x14ac:dyDescent="0.3">
      <c r="A327" s="2"/>
      <c r="B327" s="98" t="s">
        <v>413</v>
      </c>
      <c r="C327" s="99" t="s">
        <v>406</v>
      </c>
      <c r="D327" s="100" t="s">
        <v>167</v>
      </c>
      <c r="E327" s="100" t="s">
        <v>141</v>
      </c>
      <c r="F327" s="272"/>
      <c r="G327" s="272"/>
      <c r="H327" s="272"/>
      <c r="I327" s="273"/>
      <c r="J327" s="100"/>
      <c r="K327" s="252">
        <f t="shared" ref="K327:N329" si="116">K328</f>
        <v>6248.8</v>
      </c>
      <c r="L327" s="252">
        <f t="shared" si="116"/>
        <v>0</v>
      </c>
      <c r="M327" s="252">
        <f t="shared" si="116"/>
        <v>6248.8</v>
      </c>
      <c r="N327" s="252">
        <f t="shared" si="116"/>
        <v>6248.8</v>
      </c>
    </row>
    <row r="328" spans="1:16" s="9" customFormat="1" ht="56.25" x14ac:dyDescent="0.3">
      <c r="A328" s="2"/>
      <c r="B328" s="102" t="s">
        <v>310</v>
      </c>
      <c r="C328" s="99" t="s">
        <v>406</v>
      </c>
      <c r="D328" s="100" t="s">
        <v>167</v>
      </c>
      <c r="E328" s="100" t="s">
        <v>141</v>
      </c>
      <c r="F328" s="272" t="s">
        <v>139</v>
      </c>
      <c r="G328" s="272" t="s">
        <v>95</v>
      </c>
      <c r="H328" s="272" t="s">
        <v>96</v>
      </c>
      <c r="I328" s="273" t="s">
        <v>97</v>
      </c>
      <c r="J328" s="100"/>
      <c r="K328" s="252">
        <f t="shared" si="116"/>
        <v>6248.8</v>
      </c>
      <c r="L328" s="252">
        <f t="shared" si="116"/>
        <v>0</v>
      </c>
      <c r="M328" s="252">
        <f t="shared" si="116"/>
        <v>6248.8</v>
      </c>
      <c r="N328" s="252">
        <f t="shared" si="116"/>
        <v>6248.8</v>
      </c>
    </row>
    <row r="329" spans="1:16" s="9" customFormat="1" ht="37.5" x14ac:dyDescent="0.3">
      <c r="A329" s="2"/>
      <c r="B329" s="98" t="s">
        <v>491</v>
      </c>
      <c r="C329" s="99" t="s">
        <v>406</v>
      </c>
      <c r="D329" s="100" t="s">
        <v>167</v>
      </c>
      <c r="E329" s="100" t="s">
        <v>141</v>
      </c>
      <c r="F329" s="272" t="s">
        <v>139</v>
      </c>
      <c r="G329" s="272" t="s">
        <v>98</v>
      </c>
      <c r="H329" s="272" t="s">
        <v>96</v>
      </c>
      <c r="I329" s="273" t="s">
        <v>97</v>
      </c>
      <c r="J329" s="100"/>
      <c r="K329" s="252">
        <f t="shared" si="116"/>
        <v>6248.8</v>
      </c>
      <c r="L329" s="252">
        <f t="shared" si="116"/>
        <v>0</v>
      </c>
      <c r="M329" s="252">
        <f t="shared" si="116"/>
        <v>6248.8</v>
      </c>
      <c r="N329" s="252">
        <f t="shared" si="116"/>
        <v>6248.8</v>
      </c>
    </row>
    <row r="330" spans="1:16" s="67" customFormat="1" ht="37.5" x14ac:dyDescent="0.3">
      <c r="A330" s="2"/>
      <c r="B330" s="98" t="s">
        <v>309</v>
      </c>
      <c r="C330" s="99" t="s">
        <v>406</v>
      </c>
      <c r="D330" s="100" t="s">
        <v>167</v>
      </c>
      <c r="E330" s="100" t="s">
        <v>141</v>
      </c>
      <c r="F330" s="272" t="s">
        <v>139</v>
      </c>
      <c r="G330" s="272" t="s">
        <v>98</v>
      </c>
      <c r="H330" s="272" t="s">
        <v>119</v>
      </c>
      <c r="I330" s="273" t="s">
        <v>97</v>
      </c>
      <c r="J330" s="100"/>
      <c r="K330" s="252">
        <f>K331+K334+K337</f>
        <v>6248.8</v>
      </c>
      <c r="L330" s="252">
        <f>L331+L334+L337</f>
        <v>0</v>
      </c>
      <c r="M330" s="252">
        <f>M331+M334+M337</f>
        <v>6248.8</v>
      </c>
      <c r="N330" s="252">
        <f>N331+N334+N337</f>
        <v>6248.8</v>
      </c>
    </row>
    <row r="331" spans="1:16" s="67" customFormat="1" ht="93.75" x14ac:dyDescent="0.3">
      <c r="A331" s="2"/>
      <c r="B331" s="98" t="s">
        <v>311</v>
      </c>
      <c r="C331" s="99" t="s">
        <v>406</v>
      </c>
      <c r="D331" s="100" t="s">
        <v>167</v>
      </c>
      <c r="E331" s="100" t="s">
        <v>141</v>
      </c>
      <c r="F331" s="272" t="s">
        <v>139</v>
      </c>
      <c r="G331" s="272" t="s">
        <v>98</v>
      </c>
      <c r="H331" s="272" t="s">
        <v>119</v>
      </c>
      <c r="I331" s="273" t="s">
        <v>414</v>
      </c>
      <c r="J331" s="100"/>
      <c r="K331" s="252">
        <f>K332+K333</f>
        <v>4784.5</v>
      </c>
      <c r="L331" s="252">
        <f>L332+L333</f>
        <v>0</v>
      </c>
      <c r="M331" s="252">
        <f>M332+M333</f>
        <v>4784.5</v>
      </c>
      <c r="N331" s="252">
        <f>N332+N333</f>
        <v>4784.5</v>
      </c>
    </row>
    <row r="332" spans="1:16" s="67" customFormat="1" ht="90" customHeight="1" x14ac:dyDescent="0.3">
      <c r="A332" s="2"/>
      <c r="B332" s="98" t="s">
        <v>102</v>
      </c>
      <c r="C332" s="99" t="s">
        <v>406</v>
      </c>
      <c r="D332" s="100" t="s">
        <v>167</v>
      </c>
      <c r="E332" s="100" t="s">
        <v>141</v>
      </c>
      <c r="F332" s="272" t="s">
        <v>139</v>
      </c>
      <c r="G332" s="272" t="s">
        <v>98</v>
      </c>
      <c r="H332" s="272" t="s">
        <v>119</v>
      </c>
      <c r="I332" s="273" t="s">
        <v>414</v>
      </c>
      <c r="J332" s="100" t="s">
        <v>103</v>
      </c>
      <c r="K332" s="591">
        <f>4413.5+21</f>
        <v>4434.5</v>
      </c>
      <c r="L332" s="252">
        <f t="shared" ref="L332:L333" si="117">M332-K332</f>
        <v>0</v>
      </c>
      <c r="M332" s="591">
        <f>4413.5+21</f>
        <v>4434.5</v>
      </c>
      <c r="N332" s="591">
        <f>4413.5+21</f>
        <v>4434.5</v>
      </c>
    </row>
    <row r="333" spans="1:16" s="67" customFormat="1" ht="32.450000000000003" customHeight="1" x14ac:dyDescent="0.3">
      <c r="A333" s="2"/>
      <c r="B333" s="98" t="s">
        <v>108</v>
      </c>
      <c r="C333" s="99" t="s">
        <v>406</v>
      </c>
      <c r="D333" s="100" t="s">
        <v>167</v>
      </c>
      <c r="E333" s="100" t="s">
        <v>141</v>
      </c>
      <c r="F333" s="133" t="s">
        <v>139</v>
      </c>
      <c r="G333" s="133" t="s">
        <v>98</v>
      </c>
      <c r="H333" s="133" t="s">
        <v>119</v>
      </c>
      <c r="I333" s="134" t="s">
        <v>414</v>
      </c>
      <c r="J333" s="100" t="s">
        <v>109</v>
      </c>
      <c r="K333" s="252">
        <v>350</v>
      </c>
      <c r="L333" s="252">
        <f t="shared" si="117"/>
        <v>0</v>
      </c>
      <c r="M333" s="252">
        <v>350</v>
      </c>
      <c r="N333" s="252">
        <v>350</v>
      </c>
    </row>
    <row r="334" spans="1:16" s="67" customFormat="1" ht="56.25" x14ac:dyDescent="0.3">
      <c r="A334" s="2"/>
      <c r="B334" s="232" t="s">
        <v>601</v>
      </c>
      <c r="C334" s="99" t="s">
        <v>406</v>
      </c>
      <c r="D334" s="100" t="s">
        <v>167</v>
      </c>
      <c r="E334" s="100" t="s">
        <v>141</v>
      </c>
      <c r="F334" s="272" t="s">
        <v>139</v>
      </c>
      <c r="G334" s="272" t="s">
        <v>98</v>
      </c>
      <c r="H334" s="272" t="s">
        <v>119</v>
      </c>
      <c r="I334" s="273" t="s">
        <v>415</v>
      </c>
      <c r="J334" s="100"/>
      <c r="K334" s="252">
        <f>K335+K336</f>
        <v>617.29999999999995</v>
      </c>
      <c r="L334" s="252">
        <f>L335+L336</f>
        <v>0</v>
      </c>
      <c r="M334" s="252">
        <f>M335+M336</f>
        <v>617.29999999999995</v>
      </c>
      <c r="N334" s="252">
        <f>N335+N336</f>
        <v>617.29999999999995</v>
      </c>
    </row>
    <row r="335" spans="1:16" s="67" customFormat="1" ht="87.6" customHeight="1" x14ac:dyDescent="0.3">
      <c r="A335" s="2"/>
      <c r="B335" s="98" t="s">
        <v>102</v>
      </c>
      <c r="C335" s="99" t="s">
        <v>406</v>
      </c>
      <c r="D335" s="100" t="s">
        <v>167</v>
      </c>
      <c r="E335" s="100" t="s">
        <v>141</v>
      </c>
      <c r="F335" s="272" t="s">
        <v>139</v>
      </c>
      <c r="G335" s="272" t="s">
        <v>98</v>
      </c>
      <c r="H335" s="272" t="s">
        <v>119</v>
      </c>
      <c r="I335" s="273" t="s">
        <v>415</v>
      </c>
      <c r="J335" s="100" t="s">
        <v>103</v>
      </c>
      <c r="K335" s="591">
        <f>564.3+3</f>
        <v>567.29999999999995</v>
      </c>
      <c r="L335" s="252">
        <f t="shared" ref="L335:L336" si="118">M335-K335</f>
        <v>0</v>
      </c>
      <c r="M335" s="591">
        <f>564.3+3</f>
        <v>567.29999999999995</v>
      </c>
      <c r="N335" s="591">
        <f>564.3+3</f>
        <v>567.29999999999995</v>
      </c>
    </row>
    <row r="336" spans="1:16" s="67" customFormat="1" ht="34.15" customHeight="1" x14ac:dyDescent="0.3">
      <c r="A336" s="2"/>
      <c r="B336" s="98" t="s">
        <v>108</v>
      </c>
      <c r="C336" s="99" t="s">
        <v>406</v>
      </c>
      <c r="D336" s="100" t="s">
        <v>167</v>
      </c>
      <c r="E336" s="100" t="s">
        <v>141</v>
      </c>
      <c r="F336" s="272" t="s">
        <v>139</v>
      </c>
      <c r="G336" s="272" t="s">
        <v>98</v>
      </c>
      <c r="H336" s="272" t="s">
        <v>119</v>
      </c>
      <c r="I336" s="273" t="s">
        <v>415</v>
      </c>
      <c r="J336" s="100" t="s">
        <v>109</v>
      </c>
      <c r="K336" s="252">
        <v>50</v>
      </c>
      <c r="L336" s="252">
        <f t="shared" si="118"/>
        <v>0</v>
      </c>
      <c r="M336" s="252">
        <v>50</v>
      </c>
      <c r="N336" s="252">
        <v>50</v>
      </c>
    </row>
    <row r="337" spans="1:14" s="67" customFormat="1" ht="300" x14ac:dyDescent="0.3">
      <c r="A337" s="2"/>
      <c r="B337" s="98" t="s">
        <v>312</v>
      </c>
      <c r="C337" s="99" t="s">
        <v>406</v>
      </c>
      <c r="D337" s="100" t="s">
        <v>167</v>
      </c>
      <c r="E337" s="100" t="s">
        <v>141</v>
      </c>
      <c r="F337" s="272" t="s">
        <v>139</v>
      </c>
      <c r="G337" s="272" t="s">
        <v>98</v>
      </c>
      <c r="H337" s="272" t="s">
        <v>119</v>
      </c>
      <c r="I337" s="273" t="s">
        <v>416</v>
      </c>
      <c r="J337" s="100"/>
      <c r="K337" s="252">
        <f>K338+K339</f>
        <v>847</v>
      </c>
      <c r="L337" s="252">
        <f>L338+L339</f>
        <v>0</v>
      </c>
      <c r="M337" s="252">
        <f>M338+M339</f>
        <v>847</v>
      </c>
      <c r="N337" s="252">
        <f>N338+N339</f>
        <v>847</v>
      </c>
    </row>
    <row r="338" spans="1:14" s="67" customFormat="1" ht="88.15" customHeight="1" x14ac:dyDescent="0.3">
      <c r="A338" s="2"/>
      <c r="B338" s="98" t="s">
        <v>102</v>
      </c>
      <c r="C338" s="99" t="s">
        <v>406</v>
      </c>
      <c r="D338" s="100" t="s">
        <v>167</v>
      </c>
      <c r="E338" s="100" t="s">
        <v>141</v>
      </c>
      <c r="F338" s="272" t="s">
        <v>139</v>
      </c>
      <c r="G338" s="272" t="s">
        <v>98</v>
      </c>
      <c r="H338" s="272" t="s">
        <v>119</v>
      </c>
      <c r="I338" s="273" t="s">
        <v>416</v>
      </c>
      <c r="J338" s="100" t="s">
        <v>103</v>
      </c>
      <c r="K338" s="591">
        <f>761+6</f>
        <v>767</v>
      </c>
      <c r="L338" s="252">
        <f t="shared" ref="L338:L339" si="119">M338-K338</f>
        <v>0</v>
      </c>
      <c r="M338" s="591">
        <f>761+6</f>
        <v>767</v>
      </c>
      <c r="N338" s="591">
        <f>761+6</f>
        <v>767</v>
      </c>
    </row>
    <row r="339" spans="1:14" s="67" customFormat="1" ht="31.9" customHeight="1" x14ac:dyDescent="0.3">
      <c r="A339" s="2"/>
      <c r="B339" s="98" t="s">
        <v>108</v>
      </c>
      <c r="C339" s="99" t="s">
        <v>406</v>
      </c>
      <c r="D339" s="100" t="s">
        <v>167</v>
      </c>
      <c r="E339" s="100" t="s">
        <v>141</v>
      </c>
      <c r="F339" s="272" t="s">
        <v>139</v>
      </c>
      <c r="G339" s="272" t="s">
        <v>98</v>
      </c>
      <c r="H339" s="272" t="s">
        <v>119</v>
      </c>
      <c r="I339" s="273" t="s">
        <v>416</v>
      </c>
      <c r="J339" s="100" t="s">
        <v>109</v>
      </c>
      <c r="K339" s="252">
        <v>80</v>
      </c>
      <c r="L339" s="252">
        <f t="shared" si="119"/>
        <v>0</v>
      </c>
      <c r="M339" s="252">
        <v>80</v>
      </c>
      <c r="N339" s="252">
        <v>80</v>
      </c>
    </row>
    <row r="340" spans="1:14" s="67" customFormat="1" ht="18.75" x14ac:dyDescent="0.3">
      <c r="A340" s="2"/>
      <c r="B340" s="98"/>
      <c r="C340" s="99"/>
      <c r="D340" s="100"/>
      <c r="E340" s="100"/>
      <c r="F340" s="272"/>
      <c r="G340" s="272"/>
      <c r="H340" s="272"/>
      <c r="I340" s="273"/>
      <c r="J340" s="100"/>
      <c r="K340" s="252"/>
      <c r="L340" s="252"/>
      <c r="M340" s="252"/>
      <c r="N340" s="252"/>
    </row>
    <row r="341" spans="1:14" s="67" customFormat="1" ht="18.75" x14ac:dyDescent="0.3">
      <c r="A341" s="3">
        <v>10</v>
      </c>
      <c r="B341" s="214" t="s">
        <v>546</v>
      </c>
      <c r="C341" s="99"/>
      <c r="D341" s="100"/>
      <c r="E341" s="100"/>
      <c r="F341" s="272"/>
      <c r="G341" s="272"/>
      <c r="H341" s="272"/>
      <c r="I341" s="273"/>
      <c r="J341" s="100"/>
      <c r="K341" s="255">
        <f>K342</f>
        <v>25033.4</v>
      </c>
      <c r="L341" s="255">
        <f>L342</f>
        <v>0</v>
      </c>
      <c r="M341" s="255">
        <f>M342</f>
        <v>25033.4</v>
      </c>
      <c r="N341" s="255">
        <f>N342</f>
        <v>48806.5</v>
      </c>
    </row>
    <row r="342" spans="1:14" s="67" customFormat="1" ht="18.75" x14ac:dyDescent="0.3">
      <c r="A342" s="177"/>
      <c r="B342" s="215" t="s">
        <v>546</v>
      </c>
      <c r="C342" s="99"/>
      <c r="D342" s="100"/>
      <c r="E342" s="100"/>
      <c r="F342" s="272"/>
      <c r="G342" s="272"/>
      <c r="H342" s="272"/>
      <c r="I342" s="273"/>
      <c r="J342" s="100"/>
      <c r="K342" s="252">
        <v>25033.4</v>
      </c>
      <c r="L342" s="252">
        <f t="shared" ref="L342" si="120">M342-K342</f>
        <v>0</v>
      </c>
      <c r="M342" s="252">
        <v>25033.4</v>
      </c>
      <c r="N342" s="252">
        <v>48806.5</v>
      </c>
    </row>
    <row r="343" spans="1:14" x14ac:dyDescent="0.25">
      <c r="K343" s="212"/>
      <c r="L343" s="212"/>
      <c r="M343" s="212"/>
      <c r="N343" s="212"/>
    </row>
    <row r="344" spans="1:14" x14ac:dyDescent="0.25">
      <c r="K344" s="212"/>
      <c r="L344" s="212"/>
      <c r="M344" s="212"/>
      <c r="N344" s="212"/>
    </row>
    <row r="345" spans="1:14" s="42" customFormat="1" ht="18.75" x14ac:dyDescent="0.3">
      <c r="A345" s="265" t="s">
        <v>588</v>
      </c>
      <c r="B345" s="47"/>
      <c r="C345" s="48"/>
      <c r="D345" s="48"/>
      <c r="E345" s="48"/>
      <c r="F345" s="49"/>
      <c r="G345" s="55"/>
      <c r="H345" s="45"/>
    </row>
    <row r="346" spans="1:14" s="42" customFormat="1" ht="18.75" x14ac:dyDescent="0.3">
      <c r="A346" s="265" t="s">
        <v>589</v>
      </c>
      <c r="B346" s="47"/>
      <c r="C346" s="48"/>
      <c r="D346" s="48"/>
      <c r="E346" s="48"/>
      <c r="F346" s="49"/>
      <c r="G346" s="55"/>
      <c r="H346" s="45"/>
    </row>
    <row r="347" spans="1:14" s="42" customFormat="1" ht="18.75" x14ac:dyDescent="0.3">
      <c r="A347" s="266" t="s">
        <v>590</v>
      </c>
      <c r="B347" s="47"/>
      <c r="D347" s="48"/>
      <c r="E347" s="48"/>
      <c r="F347" s="49"/>
      <c r="N347" s="38" t="s">
        <v>643</v>
      </c>
    </row>
    <row r="348" spans="1:14" x14ac:dyDescent="0.25">
      <c r="L348" s="175"/>
    </row>
    <row r="349" spans="1:14" s="216" customFormat="1" ht="15.75" x14ac:dyDescent="0.25">
      <c r="B349" s="216" t="s">
        <v>547</v>
      </c>
      <c r="K349" s="217" t="e">
        <f>K342/('прил13(ведом 20-21)'!K15-('прил.5 (пост.безв.20-21)'!A11-'прил.5 (пост.безв.20-21)'!A15))*100</f>
        <v>#VALUE!</v>
      </c>
      <c r="L349" s="217"/>
      <c r="M349" s="217">
        <f>M342/('прил13(ведом 20-21)'!M15-('прил.5 (пост.безв.20-21)'!C11-'прил.5 (пост.безв.20-21)'!C15))*100</f>
        <v>5.0207169203659623</v>
      </c>
      <c r="N349" s="217">
        <f>N342/('прил13(ведом 20-21)'!N15-('прил.5 (пост.безв.20-21)'!D11-'прил.5 (пост.безв.20-21)'!D15))*100</f>
        <v>9.913856405133469</v>
      </c>
    </row>
    <row r="350" spans="1:14" x14ac:dyDescent="0.25">
      <c r="L350" s="175"/>
    </row>
    <row r="351" spans="1:14" ht="18.75" x14ac:dyDescent="0.3">
      <c r="D351" s="85" t="s">
        <v>90</v>
      </c>
      <c r="E351" s="85" t="s">
        <v>92</v>
      </c>
      <c r="F351" s="87"/>
      <c r="G351" s="87"/>
      <c r="H351" s="87"/>
      <c r="I351" s="87"/>
      <c r="J351" s="87"/>
      <c r="K351" s="238">
        <f>K18</f>
        <v>1971.5</v>
      </c>
      <c r="L351" s="238">
        <f>L18</f>
        <v>0</v>
      </c>
      <c r="M351" s="238">
        <f>M18</f>
        <v>1971.5</v>
      </c>
      <c r="N351" s="238">
        <f>N18</f>
        <v>1971.5</v>
      </c>
    </row>
    <row r="352" spans="1:14" ht="18.75" x14ac:dyDescent="0.3">
      <c r="D352" s="85" t="s">
        <v>90</v>
      </c>
      <c r="E352" s="85" t="s">
        <v>105</v>
      </c>
      <c r="F352" s="87"/>
      <c r="G352" s="87"/>
      <c r="H352" s="87"/>
      <c r="I352" s="87"/>
      <c r="J352" s="87"/>
      <c r="K352" s="238">
        <f>K24</f>
        <v>61196.9</v>
      </c>
      <c r="L352" s="238">
        <f>L24</f>
        <v>0</v>
      </c>
      <c r="M352" s="238">
        <f>M24</f>
        <v>61196.9</v>
      </c>
      <c r="N352" s="238">
        <f>N24</f>
        <v>59364.5</v>
      </c>
    </row>
    <row r="353" spans="4:14" ht="18.75" x14ac:dyDescent="0.3">
      <c r="D353" s="85" t="s">
        <v>90</v>
      </c>
      <c r="E353" s="85" t="s">
        <v>121</v>
      </c>
      <c r="F353" s="87"/>
      <c r="G353" s="87"/>
      <c r="H353" s="87"/>
      <c r="I353" s="87"/>
      <c r="J353" s="87"/>
      <c r="K353" s="238">
        <f>K42</f>
        <v>10.8</v>
      </c>
      <c r="L353" s="238">
        <f>L42</f>
        <v>0</v>
      </c>
      <c r="M353" s="238">
        <f>M42</f>
        <v>10.8</v>
      </c>
      <c r="N353" s="238">
        <f>N42</f>
        <v>4.7</v>
      </c>
    </row>
    <row r="354" spans="4:14" ht="18.75" x14ac:dyDescent="0.3">
      <c r="D354" s="85" t="s">
        <v>90</v>
      </c>
      <c r="E354" s="85" t="s">
        <v>141</v>
      </c>
      <c r="F354" s="87"/>
      <c r="G354" s="87"/>
      <c r="H354" s="87"/>
      <c r="I354" s="87"/>
      <c r="J354" s="87"/>
      <c r="K354" s="238">
        <f>K97+K114</f>
        <v>25456.400000000001</v>
      </c>
      <c r="L354" s="238">
        <f>L97+L114</f>
        <v>0</v>
      </c>
      <c r="M354" s="238">
        <f>M97+M114</f>
        <v>25456.400000000001</v>
      </c>
      <c r="N354" s="238">
        <f>N97+N114</f>
        <v>25454.5</v>
      </c>
    </row>
    <row r="355" spans="4:14" ht="18.75" x14ac:dyDescent="0.3">
      <c r="D355" s="85" t="s">
        <v>90</v>
      </c>
      <c r="E355" s="85" t="s">
        <v>123</v>
      </c>
      <c r="F355" s="87"/>
      <c r="G355" s="87"/>
      <c r="H355" s="87"/>
      <c r="I355" s="87"/>
      <c r="J355" s="87"/>
      <c r="K355" s="238">
        <f>K48</f>
        <v>3000</v>
      </c>
      <c r="L355" s="238">
        <f>L48</f>
        <v>0</v>
      </c>
      <c r="M355" s="238">
        <f>M48</f>
        <v>3000</v>
      </c>
      <c r="N355" s="238">
        <f>N48</f>
        <v>3000</v>
      </c>
    </row>
    <row r="356" spans="4:14" ht="18.75" x14ac:dyDescent="0.3">
      <c r="D356" s="85" t="s">
        <v>90</v>
      </c>
      <c r="E356" s="85" t="s">
        <v>130</v>
      </c>
      <c r="F356" s="87"/>
      <c r="G356" s="87"/>
      <c r="H356" s="87"/>
      <c r="I356" s="87"/>
      <c r="J356" s="87"/>
      <c r="K356" s="238">
        <f t="shared" ref="K356" si="121">K126</f>
        <v>20979.599999999999</v>
      </c>
      <c r="L356" s="238">
        <f>L126</f>
        <v>0</v>
      </c>
      <c r="M356" s="238">
        <f t="shared" ref="M356:N356" si="122">M126</f>
        <v>20979.599999999999</v>
      </c>
      <c r="N356" s="238">
        <f t="shared" si="122"/>
        <v>20811.5</v>
      </c>
    </row>
    <row r="357" spans="4:14" ht="18.75" x14ac:dyDescent="0.3">
      <c r="D357" s="86" t="s">
        <v>90</v>
      </c>
      <c r="E357" s="86" t="s">
        <v>96</v>
      </c>
      <c r="F357" s="87"/>
      <c r="G357" s="87"/>
      <c r="H357" s="87"/>
      <c r="I357" s="87"/>
      <c r="J357" s="87"/>
      <c r="K357" s="239">
        <f>SUBTOTAL(9,K351:K356)</f>
        <v>112615.20000000001</v>
      </c>
      <c r="L357" s="239">
        <f>SUBTOTAL(9,L351:L356)</f>
        <v>0</v>
      </c>
      <c r="M357" s="239">
        <f>SUBTOTAL(9,M351:M356)</f>
        <v>112615.20000000001</v>
      </c>
      <c r="N357" s="239">
        <f>SUBTOTAL(9,N351:N356)</f>
        <v>110606.7</v>
      </c>
    </row>
    <row r="358" spans="4:14" ht="18.75" x14ac:dyDescent="0.3">
      <c r="D358" s="85"/>
      <c r="E358" s="85"/>
      <c r="F358" s="87"/>
      <c r="G358" s="87"/>
      <c r="H358" s="87"/>
      <c r="I358" s="87"/>
      <c r="J358" s="87"/>
      <c r="K358" s="238"/>
      <c r="L358" s="238"/>
      <c r="M358" s="238"/>
      <c r="N358" s="238"/>
    </row>
    <row r="359" spans="4:14" ht="18.75" x14ac:dyDescent="0.3">
      <c r="D359" s="85" t="s">
        <v>119</v>
      </c>
      <c r="E359" s="85" t="s">
        <v>139</v>
      </c>
      <c r="F359" s="87"/>
      <c r="G359" s="87"/>
      <c r="H359" s="87"/>
      <c r="I359" s="87"/>
      <c r="J359" s="87"/>
      <c r="K359" s="238">
        <f t="shared" ref="K359" si="123">K55</f>
        <v>2643.1</v>
      </c>
      <c r="L359" s="238">
        <f>L55</f>
        <v>0</v>
      </c>
      <c r="M359" s="238">
        <f t="shared" ref="M359:N359" si="124">M55</f>
        <v>2643.1</v>
      </c>
      <c r="N359" s="238">
        <f t="shared" si="124"/>
        <v>2643.1</v>
      </c>
    </row>
    <row r="360" spans="4:14" ht="18.75" x14ac:dyDescent="0.3">
      <c r="D360" s="85" t="s">
        <v>119</v>
      </c>
      <c r="E360" s="85" t="s">
        <v>149</v>
      </c>
      <c r="F360" s="87"/>
      <c r="G360" s="87"/>
      <c r="H360" s="87"/>
      <c r="I360" s="87"/>
      <c r="J360" s="87"/>
      <c r="K360" s="238">
        <f>K61</f>
        <v>6397.1</v>
      </c>
      <c r="L360" s="238">
        <f>L61</f>
        <v>0</v>
      </c>
      <c r="M360" s="238">
        <f>M61</f>
        <v>6397.1</v>
      </c>
      <c r="N360" s="238">
        <f>N61</f>
        <v>6363.6</v>
      </c>
    </row>
    <row r="361" spans="4:14" ht="18.75" x14ac:dyDescent="0.3">
      <c r="D361" s="86" t="s">
        <v>119</v>
      </c>
      <c r="E361" s="86" t="s">
        <v>96</v>
      </c>
      <c r="F361" s="87"/>
      <c r="G361" s="87"/>
      <c r="H361" s="87"/>
      <c r="I361" s="87"/>
      <c r="J361" s="87"/>
      <c r="K361" s="239">
        <f>SUBTOTAL(9,K359:K360)</f>
        <v>9040.2000000000007</v>
      </c>
      <c r="L361" s="239">
        <f>SUBTOTAL(9,L359:L360)</f>
        <v>0</v>
      </c>
      <c r="M361" s="239">
        <f>SUBTOTAL(9,M359:M360)</f>
        <v>9040.2000000000007</v>
      </c>
      <c r="N361" s="239">
        <f>SUBTOTAL(9,N359:N360)</f>
        <v>9006.7000000000007</v>
      </c>
    </row>
    <row r="362" spans="4:14" ht="18.75" x14ac:dyDescent="0.3">
      <c r="D362" s="85"/>
      <c r="E362" s="85"/>
      <c r="F362" s="87"/>
      <c r="G362" s="87"/>
      <c r="H362" s="87"/>
      <c r="I362" s="87"/>
      <c r="J362" s="87"/>
      <c r="K362" s="238"/>
      <c r="L362" s="238"/>
      <c r="M362" s="238"/>
      <c r="N362" s="238"/>
    </row>
    <row r="363" spans="4:14" ht="18.75" x14ac:dyDescent="0.3">
      <c r="D363" s="85" t="s">
        <v>105</v>
      </c>
      <c r="E363" s="85" t="s">
        <v>121</v>
      </c>
      <c r="F363" s="87"/>
      <c r="G363" s="87"/>
      <c r="H363" s="87"/>
      <c r="I363" s="87"/>
      <c r="J363" s="87"/>
      <c r="K363" s="238">
        <f>K73</f>
        <v>11958.5</v>
      </c>
      <c r="L363" s="238">
        <f>L73</f>
        <v>0</v>
      </c>
      <c r="M363" s="238">
        <f>M73</f>
        <v>11958.5</v>
      </c>
      <c r="N363" s="238">
        <f>N73</f>
        <v>11958.5</v>
      </c>
    </row>
    <row r="364" spans="4:14" ht="18.75" x14ac:dyDescent="0.3">
      <c r="D364" s="85" t="s">
        <v>105</v>
      </c>
      <c r="E364" s="85" t="s">
        <v>139</v>
      </c>
      <c r="F364" s="87"/>
      <c r="G364" s="87"/>
      <c r="H364" s="87"/>
      <c r="I364" s="87"/>
      <c r="J364" s="87"/>
      <c r="K364" s="238">
        <f>K82</f>
        <v>4174.1000000000004</v>
      </c>
      <c r="L364" s="238">
        <f>L82</f>
        <v>0</v>
      </c>
      <c r="M364" s="238">
        <f>M82</f>
        <v>4174.1000000000004</v>
      </c>
      <c r="N364" s="238">
        <f>N82</f>
        <v>4240.8</v>
      </c>
    </row>
    <row r="365" spans="4:14" ht="18.75" x14ac:dyDescent="0.3">
      <c r="D365" s="85" t="s">
        <v>105</v>
      </c>
      <c r="E365" s="85" t="s">
        <v>163</v>
      </c>
      <c r="F365" s="87"/>
      <c r="G365" s="87"/>
      <c r="H365" s="87"/>
      <c r="I365" s="87"/>
      <c r="J365" s="87"/>
      <c r="K365" s="238">
        <f>K88</f>
        <v>4207.3</v>
      </c>
      <c r="L365" s="238">
        <f>L88</f>
        <v>0</v>
      </c>
      <c r="M365" s="238">
        <f>M88</f>
        <v>4207.3</v>
      </c>
      <c r="N365" s="238">
        <f>N88</f>
        <v>4158.7</v>
      </c>
    </row>
    <row r="366" spans="4:14" ht="18.75" x14ac:dyDescent="0.3">
      <c r="D366" s="86" t="s">
        <v>105</v>
      </c>
      <c r="E366" s="86" t="s">
        <v>96</v>
      </c>
      <c r="F366" s="87"/>
      <c r="G366" s="87"/>
      <c r="H366" s="87"/>
      <c r="I366" s="87"/>
      <c r="J366" s="87"/>
      <c r="K366" s="239">
        <f>SUBTOTAL(9,K363:K365)</f>
        <v>20339.900000000001</v>
      </c>
      <c r="L366" s="239">
        <f>SUBTOTAL(9,L363:L365)</f>
        <v>0</v>
      </c>
      <c r="M366" s="239">
        <f>SUBTOTAL(9,M363:M365)</f>
        <v>20339.900000000001</v>
      </c>
      <c r="N366" s="239">
        <f>SUBTOTAL(9,N363:N365)</f>
        <v>20358</v>
      </c>
    </row>
    <row r="367" spans="4:14" ht="18.75" x14ac:dyDescent="0.3">
      <c r="D367" s="85"/>
      <c r="E367" s="85"/>
      <c r="F367" s="87"/>
      <c r="G367" s="87"/>
      <c r="H367" s="87"/>
      <c r="I367" s="87"/>
      <c r="J367" s="87"/>
      <c r="K367" s="238"/>
      <c r="L367" s="238"/>
      <c r="M367" s="238"/>
      <c r="N367" s="238"/>
    </row>
    <row r="368" spans="4:14" ht="18.75" x14ac:dyDescent="0.3">
      <c r="D368" s="85" t="s">
        <v>121</v>
      </c>
      <c r="E368" s="85" t="s">
        <v>90</v>
      </c>
      <c r="F368" s="87"/>
      <c r="G368" s="87"/>
      <c r="H368" s="87"/>
      <c r="I368" s="87"/>
      <c r="J368" s="87"/>
      <c r="K368" s="238"/>
      <c r="L368" s="238"/>
      <c r="M368" s="238"/>
      <c r="N368" s="238"/>
    </row>
    <row r="369" spans="4:14" ht="18.75" x14ac:dyDescent="0.3">
      <c r="D369" s="85" t="s">
        <v>121</v>
      </c>
      <c r="E369" s="85" t="s">
        <v>92</v>
      </c>
      <c r="F369" s="87"/>
      <c r="G369" s="87"/>
      <c r="H369" s="87"/>
      <c r="I369" s="87"/>
      <c r="J369" s="87"/>
      <c r="K369" s="238"/>
      <c r="L369" s="238"/>
      <c r="M369" s="238"/>
      <c r="N369" s="238"/>
    </row>
    <row r="370" spans="4:14" ht="18.75" x14ac:dyDescent="0.3">
      <c r="D370" s="85" t="s">
        <v>121</v>
      </c>
      <c r="E370" s="85" t="s">
        <v>121</v>
      </c>
      <c r="F370" s="87"/>
      <c r="G370" s="87"/>
      <c r="H370" s="87"/>
      <c r="I370" s="87"/>
      <c r="J370" s="87"/>
      <c r="K370" s="238"/>
      <c r="L370" s="238"/>
      <c r="M370" s="238"/>
      <c r="N370" s="238"/>
    </row>
    <row r="371" spans="4:14" ht="18.75" x14ac:dyDescent="0.3">
      <c r="D371" s="86" t="s">
        <v>121</v>
      </c>
      <c r="E371" s="86" t="s">
        <v>96</v>
      </c>
      <c r="F371" s="87"/>
      <c r="G371" s="87"/>
      <c r="H371" s="87"/>
      <c r="I371" s="87"/>
      <c r="J371" s="87"/>
      <c r="K371" s="239">
        <f>SUBTOTAL(9,K368:K370)</f>
        <v>0</v>
      </c>
      <c r="L371" s="239">
        <f>SUBTOTAL(9,L368:L370)</f>
        <v>0</v>
      </c>
      <c r="M371" s="239">
        <f>SUBTOTAL(9,M368:M370)</f>
        <v>0</v>
      </c>
      <c r="N371" s="239">
        <f>SUBTOTAL(9,N368:N370)</f>
        <v>0</v>
      </c>
    </row>
    <row r="372" spans="4:14" ht="18.75" x14ac:dyDescent="0.3">
      <c r="D372" s="85"/>
      <c r="E372" s="85"/>
      <c r="F372" s="87"/>
      <c r="G372" s="87"/>
      <c r="H372" s="87"/>
      <c r="I372" s="87"/>
      <c r="J372" s="87"/>
      <c r="K372" s="238"/>
      <c r="L372" s="238"/>
      <c r="M372" s="238"/>
      <c r="N372" s="238"/>
    </row>
    <row r="373" spans="4:14" ht="18.75" x14ac:dyDescent="0.3">
      <c r="D373" s="85" t="s">
        <v>304</v>
      </c>
      <c r="E373" s="85" t="s">
        <v>90</v>
      </c>
      <c r="F373" s="87"/>
      <c r="G373" s="87"/>
      <c r="H373" s="87"/>
      <c r="I373" s="87"/>
      <c r="J373" s="87"/>
      <c r="K373" s="238">
        <f>K156</f>
        <v>282079.3</v>
      </c>
      <c r="L373" s="238">
        <f>L156</f>
        <v>0</v>
      </c>
      <c r="M373" s="238">
        <f>M156</f>
        <v>282079.3</v>
      </c>
      <c r="N373" s="238">
        <f>N156</f>
        <v>268897.90000000002</v>
      </c>
    </row>
    <row r="374" spans="4:14" ht="18.75" x14ac:dyDescent="0.3">
      <c r="D374" s="85" t="s">
        <v>304</v>
      </c>
      <c r="E374" s="85" t="s">
        <v>92</v>
      </c>
      <c r="F374" s="87"/>
      <c r="G374" s="87"/>
      <c r="H374" s="87"/>
      <c r="I374" s="87"/>
      <c r="J374" s="87"/>
      <c r="K374" s="238">
        <f>K166</f>
        <v>463923.29999999993</v>
      </c>
      <c r="L374" s="238">
        <f>L166</f>
        <v>0</v>
      </c>
      <c r="M374" s="238">
        <f>M166</f>
        <v>463923.29999999993</v>
      </c>
      <c r="N374" s="238">
        <f>N166</f>
        <v>456372.39999999991</v>
      </c>
    </row>
    <row r="375" spans="4:14" ht="18.75" x14ac:dyDescent="0.3">
      <c r="D375" s="85" t="s">
        <v>304</v>
      </c>
      <c r="E375" s="85" t="s">
        <v>119</v>
      </c>
      <c r="F375" s="87"/>
      <c r="G375" s="87"/>
      <c r="H375" s="87"/>
      <c r="I375" s="87"/>
      <c r="J375" s="87"/>
      <c r="K375" s="238">
        <f>K190+K234</f>
        <v>91832.1</v>
      </c>
      <c r="L375" s="238">
        <f>L190+L234</f>
        <v>0</v>
      </c>
      <c r="M375" s="238">
        <f>M190+M234</f>
        <v>91832.1</v>
      </c>
      <c r="N375" s="238">
        <f>N190+N234</f>
        <v>90214.299999999988</v>
      </c>
    </row>
    <row r="376" spans="4:14" ht="18.75" x14ac:dyDescent="0.3">
      <c r="D376" s="85" t="s">
        <v>304</v>
      </c>
      <c r="E376" s="85" t="s">
        <v>121</v>
      </c>
      <c r="F376" s="87"/>
      <c r="G376" s="87"/>
      <c r="H376" s="87"/>
      <c r="I376" s="87"/>
      <c r="J376" s="87"/>
      <c r="K376" s="238"/>
      <c r="L376" s="238"/>
      <c r="M376" s="238"/>
      <c r="N376" s="238"/>
    </row>
    <row r="377" spans="4:14" ht="18.75" x14ac:dyDescent="0.3">
      <c r="D377" s="85" t="s">
        <v>304</v>
      </c>
      <c r="E377" s="85" t="s">
        <v>304</v>
      </c>
      <c r="F377" s="87"/>
      <c r="G377" s="87"/>
      <c r="H377" s="87"/>
      <c r="I377" s="87"/>
      <c r="J377" s="87"/>
      <c r="K377" s="238">
        <f t="shared" ref="K377" si="125">K281+K299+K203</f>
        <v>5928.7</v>
      </c>
      <c r="L377" s="238">
        <f>L281+L299+L203</f>
        <v>0</v>
      </c>
      <c r="M377" s="238">
        <f t="shared" ref="M377:N377" si="126">M281+M299+M203</f>
        <v>5928.7</v>
      </c>
      <c r="N377" s="238">
        <f t="shared" si="126"/>
        <v>5919.2999999999993</v>
      </c>
    </row>
    <row r="378" spans="4:14" ht="18.75" x14ac:dyDescent="0.3">
      <c r="D378" s="85" t="s">
        <v>304</v>
      </c>
      <c r="E378" s="85" t="s">
        <v>139</v>
      </c>
      <c r="F378" s="87"/>
      <c r="G378" s="87"/>
      <c r="H378" s="87"/>
      <c r="I378" s="87"/>
      <c r="J378" s="87"/>
      <c r="K378" s="238">
        <f>K209+K288</f>
        <v>41997.4</v>
      </c>
      <c r="L378" s="238">
        <f>L209+L288</f>
        <v>0</v>
      </c>
      <c r="M378" s="238">
        <f>M209+M288</f>
        <v>41997.4</v>
      </c>
      <c r="N378" s="238">
        <f>N209+N288</f>
        <v>40952.6</v>
      </c>
    </row>
    <row r="379" spans="4:14" ht="18.75" x14ac:dyDescent="0.3">
      <c r="D379" s="86" t="s">
        <v>304</v>
      </c>
      <c r="E379" s="86" t="s">
        <v>96</v>
      </c>
      <c r="F379" s="87"/>
      <c r="G379" s="87"/>
      <c r="H379" s="87"/>
      <c r="I379" s="87"/>
      <c r="J379" s="87"/>
      <c r="K379" s="239">
        <f>SUBTOTAL(9,K373:K378)</f>
        <v>885760.79999999981</v>
      </c>
      <c r="L379" s="239">
        <f>SUBTOTAL(9,L373:L378)</f>
        <v>0</v>
      </c>
      <c r="M379" s="239">
        <f>SUBTOTAL(9,M373:M378)</f>
        <v>885760.79999999981</v>
      </c>
      <c r="N379" s="239">
        <f>SUBTOTAL(9,N373:N378)</f>
        <v>862356.49999999988</v>
      </c>
    </row>
    <row r="380" spans="4:14" ht="18.75" x14ac:dyDescent="0.3">
      <c r="D380" s="85"/>
      <c r="E380" s="85"/>
      <c r="F380" s="87"/>
      <c r="G380" s="87"/>
      <c r="H380" s="87"/>
      <c r="I380" s="87"/>
      <c r="J380" s="87"/>
      <c r="K380" s="238"/>
      <c r="L380" s="238"/>
      <c r="M380" s="238"/>
      <c r="N380" s="238"/>
    </row>
    <row r="381" spans="4:14" ht="18.75" x14ac:dyDescent="0.3">
      <c r="D381" s="85" t="s">
        <v>306</v>
      </c>
      <c r="E381" s="85" t="s">
        <v>90</v>
      </c>
      <c r="F381" s="87"/>
      <c r="G381" s="87"/>
      <c r="H381" s="87"/>
      <c r="I381" s="87"/>
      <c r="J381" s="87"/>
      <c r="K381" s="238">
        <f>K241</f>
        <v>20598</v>
      </c>
      <c r="L381" s="238">
        <f>L241</f>
        <v>0</v>
      </c>
      <c r="M381" s="238">
        <f>M241</f>
        <v>20598</v>
      </c>
      <c r="N381" s="238">
        <f>N241</f>
        <v>20598</v>
      </c>
    </row>
    <row r="382" spans="4:14" ht="18.75" x14ac:dyDescent="0.3">
      <c r="D382" s="85" t="s">
        <v>306</v>
      </c>
      <c r="E382" s="85" t="s">
        <v>105</v>
      </c>
      <c r="F382" s="87"/>
      <c r="G382" s="87"/>
      <c r="H382" s="87"/>
      <c r="I382" s="87"/>
      <c r="J382" s="87"/>
      <c r="K382" s="238">
        <f>K250</f>
        <v>7957.2</v>
      </c>
      <c r="L382" s="238">
        <f>L250</f>
        <v>0</v>
      </c>
      <c r="M382" s="238">
        <f>M250</f>
        <v>7957.2</v>
      </c>
      <c r="N382" s="238">
        <f>N250</f>
        <v>7932</v>
      </c>
    </row>
    <row r="383" spans="4:14" ht="18.75" x14ac:dyDescent="0.3">
      <c r="D383" s="86" t="s">
        <v>306</v>
      </c>
      <c r="E383" s="86" t="s">
        <v>96</v>
      </c>
      <c r="F383" s="87"/>
      <c r="G383" s="87"/>
      <c r="H383" s="87"/>
      <c r="I383" s="87"/>
      <c r="J383" s="87"/>
      <c r="K383" s="239">
        <f>SUBTOTAL(9,K381:K382)</f>
        <v>28555.200000000001</v>
      </c>
      <c r="L383" s="239">
        <f>SUBTOTAL(9,L381:L382)</f>
        <v>0</v>
      </c>
      <c r="M383" s="239">
        <f>SUBTOTAL(9,M381:M382)</f>
        <v>28555.200000000001</v>
      </c>
      <c r="N383" s="239">
        <f>SUBTOTAL(9,N381:N382)</f>
        <v>28530</v>
      </c>
    </row>
    <row r="384" spans="4:14" ht="18.75" x14ac:dyDescent="0.3">
      <c r="D384" s="85"/>
      <c r="E384" s="85"/>
      <c r="F384" s="87"/>
      <c r="G384" s="87"/>
      <c r="H384" s="87"/>
      <c r="I384" s="87"/>
      <c r="J384" s="87"/>
      <c r="K384" s="238"/>
      <c r="L384" s="238"/>
      <c r="M384" s="238"/>
      <c r="N384" s="238"/>
    </row>
    <row r="385" spans="4:14" ht="18.75" x14ac:dyDescent="0.3">
      <c r="D385" s="85" t="s">
        <v>139</v>
      </c>
      <c r="E385" s="85" t="s">
        <v>90</v>
      </c>
      <c r="F385" s="87"/>
      <c r="G385" s="87"/>
      <c r="H385" s="87"/>
      <c r="I385" s="87"/>
      <c r="J385" s="87"/>
      <c r="K385" s="238"/>
      <c r="L385" s="238"/>
      <c r="M385" s="238"/>
      <c r="N385" s="238"/>
    </row>
    <row r="386" spans="4:14" ht="18.75" x14ac:dyDescent="0.3">
      <c r="D386" s="85" t="s">
        <v>139</v>
      </c>
      <c r="E386" s="85" t="s">
        <v>92</v>
      </c>
      <c r="F386" s="87"/>
      <c r="G386" s="87"/>
      <c r="H386" s="87"/>
      <c r="I386" s="87"/>
      <c r="J386" s="87"/>
      <c r="K386" s="238"/>
      <c r="L386" s="238"/>
      <c r="M386" s="238"/>
      <c r="N386" s="238"/>
    </row>
    <row r="387" spans="4:14" ht="18.75" x14ac:dyDescent="0.3">
      <c r="D387" s="85" t="s">
        <v>139</v>
      </c>
      <c r="E387" s="85" t="s">
        <v>105</v>
      </c>
      <c r="F387" s="87"/>
      <c r="G387" s="87"/>
      <c r="H387" s="87"/>
      <c r="I387" s="87"/>
      <c r="J387" s="87"/>
      <c r="K387" s="238"/>
      <c r="L387" s="238"/>
      <c r="M387" s="238"/>
      <c r="N387" s="238"/>
    </row>
    <row r="388" spans="4:14" ht="18.75" x14ac:dyDescent="0.3">
      <c r="D388" s="85" t="s">
        <v>139</v>
      </c>
      <c r="E388" s="85" t="s">
        <v>139</v>
      </c>
      <c r="F388" s="87"/>
      <c r="G388" s="87"/>
      <c r="H388" s="87"/>
      <c r="I388" s="87"/>
      <c r="J388" s="87"/>
      <c r="K388" s="238"/>
      <c r="L388" s="238"/>
      <c r="M388" s="238"/>
      <c r="N388" s="238"/>
    </row>
    <row r="389" spans="4:14" ht="18.75" x14ac:dyDescent="0.3">
      <c r="D389" s="86" t="s">
        <v>139</v>
      </c>
      <c r="E389" s="86" t="s">
        <v>96</v>
      </c>
      <c r="F389" s="87"/>
      <c r="G389" s="87"/>
      <c r="H389" s="87"/>
      <c r="I389" s="87"/>
      <c r="J389" s="87"/>
      <c r="K389" s="239">
        <f>SUBTOTAL(9,K385:K388)</f>
        <v>0</v>
      </c>
      <c r="L389" s="239">
        <f>SUBTOTAL(9,L385:L388)</f>
        <v>0</v>
      </c>
      <c r="M389" s="239">
        <f>SUBTOTAL(9,M385:M388)</f>
        <v>0</v>
      </c>
      <c r="N389" s="239">
        <f>SUBTOTAL(9,N385:N388)</f>
        <v>0</v>
      </c>
    </row>
    <row r="390" spans="4:14" ht="18.75" x14ac:dyDescent="0.3">
      <c r="D390" s="85"/>
      <c r="E390" s="85"/>
      <c r="F390" s="87"/>
      <c r="G390" s="87"/>
      <c r="H390" s="87"/>
      <c r="I390" s="87"/>
      <c r="J390" s="87"/>
      <c r="K390" s="238"/>
      <c r="L390" s="238"/>
      <c r="M390" s="238"/>
      <c r="N390" s="238"/>
    </row>
    <row r="391" spans="4:14" ht="18.75" x14ac:dyDescent="0.3">
      <c r="D391" s="85" t="s">
        <v>167</v>
      </c>
      <c r="E391" s="85" t="s">
        <v>90</v>
      </c>
      <c r="F391" s="87"/>
      <c r="G391" s="87"/>
      <c r="H391" s="87"/>
      <c r="I391" s="87"/>
      <c r="J391" s="87"/>
      <c r="K391" s="238"/>
      <c r="L391" s="238"/>
      <c r="M391" s="238"/>
      <c r="N391" s="238"/>
    </row>
    <row r="392" spans="4:14" ht="18.75" x14ac:dyDescent="0.3">
      <c r="D392" s="85" t="s">
        <v>167</v>
      </c>
      <c r="E392" s="85" t="s">
        <v>119</v>
      </c>
      <c r="F392" s="87"/>
      <c r="G392" s="87"/>
      <c r="H392" s="87"/>
      <c r="I392" s="87"/>
      <c r="J392" s="87"/>
      <c r="K392" s="238"/>
      <c r="L392" s="238"/>
      <c r="M392" s="238"/>
      <c r="N392" s="238"/>
    </row>
    <row r="393" spans="4:14" ht="18.75" x14ac:dyDescent="0.3">
      <c r="D393" s="85" t="s">
        <v>167</v>
      </c>
      <c r="E393" s="85" t="s">
        <v>105</v>
      </c>
      <c r="F393" s="87"/>
      <c r="G393" s="87"/>
      <c r="H393" s="87"/>
      <c r="I393" s="87"/>
      <c r="J393" s="87"/>
      <c r="K393" s="238">
        <f>K224+K306+K143</f>
        <v>102912.8</v>
      </c>
      <c r="L393" s="238">
        <f>L224+L306+L143</f>
        <v>0</v>
      </c>
      <c r="M393" s="238">
        <f>M224+M306+M143</f>
        <v>102912.8</v>
      </c>
      <c r="N393" s="238">
        <f>N224+N306+N143</f>
        <v>106707.2</v>
      </c>
    </row>
    <row r="394" spans="4:14" ht="18.75" x14ac:dyDescent="0.3">
      <c r="D394" s="85" t="s">
        <v>167</v>
      </c>
      <c r="E394" s="85" t="s">
        <v>141</v>
      </c>
      <c r="F394" s="87"/>
      <c r="G394" s="87"/>
      <c r="H394" s="87"/>
      <c r="I394" s="87"/>
      <c r="J394" s="87"/>
      <c r="K394" s="238">
        <f t="shared" ref="K394" si="127">K327</f>
        <v>6248.8</v>
      </c>
      <c r="L394" s="238">
        <f>L327</f>
        <v>0</v>
      </c>
      <c r="M394" s="238">
        <f t="shared" ref="M394:N394" si="128">M327</f>
        <v>6248.8</v>
      </c>
      <c r="N394" s="238">
        <f t="shared" si="128"/>
        <v>6248.8</v>
      </c>
    </row>
    <row r="395" spans="4:14" ht="18.75" x14ac:dyDescent="0.3">
      <c r="D395" s="86" t="s">
        <v>167</v>
      </c>
      <c r="E395" s="86" t="s">
        <v>96</v>
      </c>
      <c r="F395" s="87"/>
      <c r="G395" s="87"/>
      <c r="H395" s="87"/>
      <c r="I395" s="87"/>
      <c r="J395" s="87"/>
      <c r="K395" s="239">
        <f>SUBTOTAL(9,K391:K394)</f>
        <v>109161.60000000001</v>
      </c>
      <c r="L395" s="239">
        <f>SUBTOTAL(9,L391:L394)</f>
        <v>0</v>
      </c>
      <c r="M395" s="239">
        <f>SUBTOTAL(9,M391:M394)</f>
        <v>109161.60000000001</v>
      </c>
      <c r="N395" s="239">
        <f>SUBTOTAL(9,N391:N394)</f>
        <v>112956</v>
      </c>
    </row>
    <row r="396" spans="4:14" ht="18.75" x14ac:dyDescent="0.3">
      <c r="D396" s="85"/>
      <c r="E396" s="85"/>
      <c r="F396" s="87"/>
      <c r="G396" s="87"/>
      <c r="H396" s="87"/>
      <c r="I396" s="87"/>
      <c r="J396" s="87"/>
      <c r="K396" s="238"/>
      <c r="L396" s="238"/>
      <c r="M396" s="238"/>
      <c r="N396" s="238"/>
    </row>
    <row r="397" spans="4:14" ht="18.75" x14ac:dyDescent="0.3">
      <c r="D397" s="85" t="s">
        <v>123</v>
      </c>
      <c r="E397" s="85" t="s">
        <v>90</v>
      </c>
      <c r="F397" s="87"/>
      <c r="G397" s="87"/>
      <c r="H397" s="87"/>
      <c r="I397" s="87"/>
      <c r="J397" s="87"/>
      <c r="K397" s="238">
        <f>K262</f>
        <v>29688.5</v>
      </c>
      <c r="L397" s="238">
        <f>L262</f>
        <v>0</v>
      </c>
      <c r="M397" s="238">
        <f>M262</f>
        <v>29688.5</v>
      </c>
      <c r="N397" s="238">
        <f>N262</f>
        <v>25254.2</v>
      </c>
    </row>
    <row r="398" spans="4:14" ht="18.75" x14ac:dyDescent="0.3">
      <c r="D398" s="85" t="s">
        <v>123</v>
      </c>
      <c r="E398" s="85" t="s">
        <v>92</v>
      </c>
      <c r="F398" s="87"/>
      <c r="G398" s="87"/>
      <c r="H398" s="87"/>
      <c r="I398" s="87"/>
      <c r="J398" s="87"/>
      <c r="K398" s="238"/>
      <c r="L398" s="238"/>
      <c r="M398" s="238"/>
      <c r="N398" s="238"/>
    </row>
    <row r="399" spans="4:14" ht="18.75" x14ac:dyDescent="0.3">
      <c r="D399" s="85" t="s">
        <v>123</v>
      </c>
      <c r="E399" s="85" t="s">
        <v>121</v>
      </c>
      <c r="F399" s="87"/>
      <c r="G399" s="87"/>
      <c r="H399" s="87"/>
      <c r="I399" s="87"/>
      <c r="J399" s="87"/>
      <c r="K399" s="238">
        <f>K270</f>
        <v>2282.9999999999995</v>
      </c>
      <c r="L399" s="238">
        <f>L270</f>
        <v>0</v>
      </c>
      <c r="M399" s="238">
        <f>M270</f>
        <v>2282.9999999999995</v>
      </c>
      <c r="N399" s="238">
        <f>N270</f>
        <v>2262.1</v>
      </c>
    </row>
    <row r="400" spans="4:14" ht="18.75" x14ac:dyDescent="0.3">
      <c r="D400" s="86" t="s">
        <v>123</v>
      </c>
      <c r="E400" s="86" t="s">
        <v>96</v>
      </c>
      <c r="F400" s="87"/>
      <c r="G400" s="87"/>
      <c r="H400" s="87"/>
      <c r="I400" s="87"/>
      <c r="J400" s="87"/>
      <c r="K400" s="239">
        <f>SUBTOTAL(9,K397:K399)</f>
        <v>31971.5</v>
      </c>
      <c r="L400" s="239">
        <f>SUBTOTAL(9,L397:L399)</f>
        <v>0</v>
      </c>
      <c r="M400" s="239">
        <f>SUBTOTAL(9,M397:M399)</f>
        <v>31971.5</v>
      </c>
      <c r="N400" s="239">
        <f>SUBTOTAL(9,N397:N399)</f>
        <v>27516.3</v>
      </c>
    </row>
    <row r="401" spans="2:14" ht="18.75" x14ac:dyDescent="0.3">
      <c r="D401" s="85"/>
      <c r="E401" s="85"/>
      <c r="F401" s="87"/>
      <c r="G401" s="87"/>
      <c r="H401" s="87"/>
      <c r="I401" s="87"/>
      <c r="J401" s="87"/>
      <c r="K401" s="238"/>
      <c r="L401" s="238"/>
      <c r="M401" s="238"/>
      <c r="N401" s="238"/>
    </row>
    <row r="402" spans="2:14" ht="18.75" x14ac:dyDescent="0.3">
      <c r="D402" s="85" t="s">
        <v>130</v>
      </c>
      <c r="E402" s="85" t="s">
        <v>90</v>
      </c>
      <c r="F402" s="87"/>
      <c r="G402" s="87"/>
      <c r="H402" s="87"/>
      <c r="I402" s="87"/>
      <c r="J402" s="87"/>
      <c r="K402" s="238"/>
      <c r="L402" s="238"/>
      <c r="M402" s="238"/>
      <c r="N402" s="238"/>
    </row>
    <row r="403" spans="2:14" ht="18.75" x14ac:dyDescent="0.3">
      <c r="D403" s="86" t="s">
        <v>130</v>
      </c>
      <c r="E403" s="86" t="s">
        <v>96</v>
      </c>
      <c r="F403" s="87"/>
      <c r="G403" s="87"/>
      <c r="H403" s="87"/>
      <c r="I403" s="87"/>
      <c r="J403" s="87"/>
      <c r="K403" s="239">
        <f>K402</f>
        <v>0</v>
      </c>
      <c r="L403" s="239">
        <f>L402</f>
        <v>0</v>
      </c>
      <c r="M403" s="239">
        <f>M402</f>
        <v>0</v>
      </c>
      <c r="N403" s="239">
        <f>N402</f>
        <v>0</v>
      </c>
    </row>
    <row r="404" spans="2:14" ht="18.75" x14ac:dyDescent="0.3">
      <c r="D404" s="85"/>
      <c r="E404" s="85"/>
      <c r="F404" s="87"/>
      <c r="G404" s="87"/>
      <c r="H404" s="87"/>
      <c r="I404" s="87"/>
      <c r="J404" s="87"/>
      <c r="K404" s="238"/>
      <c r="L404" s="238"/>
      <c r="M404" s="238"/>
      <c r="N404" s="238"/>
    </row>
    <row r="405" spans="2:14" ht="18.75" x14ac:dyDescent="0.3">
      <c r="D405" s="85" t="s">
        <v>149</v>
      </c>
      <c r="E405" s="85" t="s">
        <v>90</v>
      </c>
      <c r="F405" s="87"/>
      <c r="G405" s="87"/>
      <c r="H405" s="87"/>
      <c r="I405" s="87"/>
      <c r="J405" s="87"/>
      <c r="K405" s="238">
        <f>K105</f>
        <v>5000</v>
      </c>
      <c r="L405" s="238">
        <f>L105</f>
        <v>0</v>
      </c>
      <c r="M405" s="238">
        <f>M105</f>
        <v>5000</v>
      </c>
      <c r="N405" s="238">
        <f>N105</f>
        <v>5000</v>
      </c>
    </row>
    <row r="406" spans="2:14" ht="18.75" x14ac:dyDescent="0.3">
      <c r="D406" s="86" t="s">
        <v>149</v>
      </c>
      <c r="E406" s="86" t="s">
        <v>96</v>
      </c>
      <c r="F406" s="87"/>
      <c r="G406" s="87"/>
      <c r="H406" s="87"/>
      <c r="I406" s="87"/>
      <c r="J406" s="87"/>
      <c r="K406" s="239">
        <f>SUBTOTAL(9,K405:K405)</f>
        <v>5000</v>
      </c>
      <c r="L406" s="239">
        <f>SUBTOTAL(9,L405:L405)</f>
        <v>0</v>
      </c>
      <c r="M406" s="239">
        <f>SUBTOTAL(9,M405:M405)</f>
        <v>5000</v>
      </c>
      <c r="N406" s="239">
        <f>SUBTOTAL(9,N405:N405)</f>
        <v>5000</v>
      </c>
    </row>
    <row r="407" spans="2:14" ht="18.75" x14ac:dyDescent="0.3">
      <c r="D407" s="85"/>
      <c r="E407" s="85"/>
      <c r="F407" s="87"/>
      <c r="G407" s="87"/>
      <c r="H407" s="87"/>
      <c r="I407" s="87"/>
      <c r="J407" s="87"/>
      <c r="K407" s="238"/>
      <c r="L407" s="238"/>
      <c r="M407" s="238"/>
      <c r="N407" s="238"/>
    </row>
    <row r="408" spans="2:14" ht="18.75" x14ac:dyDescent="0.3">
      <c r="D408" s="218" t="s">
        <v>548</v>
      </c>
      <c r="E408" s="85"/>
      <c r="F408" s="87"/>
      <c r="G408" s="87"/>
      <c r="H408" s="87"/>
      <c r="I408" s="87"/>
      <c r="J408" s="87"/>
      <c r="K408" s="238">
        <f>K341</f>
        <v>25033.4</v>
      </c>
      <c r="L408" s="238">
        <f>L341</f>
        <v>0</v>
      </c>
      <c r="M408" s="238">
        <f>M341</f>
        <v>25033.4</v>
      </c>
      <c r="N408" s="238">
        <f>N341</f>
        <v>48806.5</v>
      </c>
    </row>
    <row r="409" spans="2:14" ht="18.75" x14ac:dyDescent="0.3">
      <c r="D409" s="85"/>
      <c r="E409" s="85"/>
      <c r="F409" s="87"/>
      <c r="G409" s="87"/>
      <c r="H409" s="87"/>
      <c r="I409" s="87"/>
      <c r="J409" s="87"/>
      <c r="K409" s="238"/>
      <c r="L409" s="238"/>
      <c r="M409" s="238"/>
      <c r="N409" s="238"/>
    </row>
    <row r="410" spans="2:14" ht="18.75" x14ac:dyDescent="0.3">
      <c r="D410" s="85"/>
      <c r="E410" s="85"/>
      <c r="F410" s="87"/>
      <c r="G410" s="87"/>
      <c r="H410" s="87"/>
      <c r="I410" s="87"/>
      <c r="J410" s="87"/>
      <c r="K410" s="239">
        <f>K406+K400+K395+K389+K383+K379+K371+K366+K361+K357+K408+K403</f>
        <v>1227477.7999999996</v>
      </c>
      <c r="L410" s="239">
        <f>L406+L400+L395+L389+L383+L379+L371+L366+L361+L357+L408+L403</f>
        <v>0</v>
      </c>
      <c r="M410" s="239">
        <f>M406+M400+M395+M389+M383+M379+M371+M366+M361+M357+M408+M403</f>
        <v>1227477.7999999996</v>
      </c>
      <c r="N410" s="239">
        <f>N406+N400+N395+N389+N383+N379+N371+N366+N361+N357+N408+N403</f>
        <v>1225136.6999999997</v>
      </c>
    </row>
    <row r="411" spans="2:14" ht="18.75" x14ac:dyDescent="0.3">
      <c r="D411" s="85"/>
      <c r="E411" s="85"/>
      <c r="F411" s="87"/>
      <c r="G411" s="87"/>
      <c r="H411" s="87"/>
      <c r="I411" s="87"/>
      <c r="J411" s="87"/>
      <c r="K411" s="238">
        <f>K410-K15</f>
        <v>0</v>
      </c>
      <c r="L411" s="238">
        <f>L410-L15</f>
        <v>0</v>
      </c>
      <c r="M411" s="238">
        <f>M410-M15</f>
        <v>0</v>
      </c>
      <c r="N411" s="238">
        <f>N410-N15</f>
        <v>0</v>
      </c>
    </row>
    <row r="412" spans="2:14" ht="18.75" x14ac:dyDescent="0.3">
      <c r="B412" s="74" t="s">
        <v>562</v>
      </c>
      <c r="D412" s="85"/>
      <c r="E412" s="85"/>
      <c r="F412" s="87"/>
      <c r="G412" s="87"/>
      <c r="H412" s="87"/>
      <c r="I412" s="87"/>
      <c r="J412" s="87"/>
      <c r="K412" s="238">
        <f>K400+K395+K389+K383+K379-K327-K292-K274-K254-K213</f>
        <v>1033813.4999999998</v>
      </c>
      <c r="L412" s="238">
        <f>L400+L395+L389+L383+L379-L327-L292-L274-L254-L213</f>
        <v>0</v>
      </c>
      <c r="M412" s="238">
        <f>M400+M395+M389+M383+M379-M327-M292-M274-M254-M213</f>
        <v>1033813.4999999998</v>
      </c>
      <c r="N412" s="238">
        <f>N400+N395+N389+N383+N379-N327-N292-N274-N254-N213</f>
        <v>1010034.6999999998</v>
      </c>
    </row>
    <row r="413" spans="2:14" ht="18.75" x14ac:dyDescent="0.3">
      <c r="B413" s="74" t="s">
        <v>561</v>
      </c>
      <c r="D413" s="85"/>
      <c r="E413" s="85"/>
      <c r="F413" s="87"/>
      <c r="G413" s="87"/>
      <c r="H413" s="87"/>
      <c r="I413" s="87"/>
      <c r="J413" s="87"/>
      <c r="K413" s="238">
        <f>K213+K254+K274+K292+K327</f>
        <v>21635.599999999999</v>
      </c>
      <c r="L413" s="238">
        <f>L213+L254+L274+L292+L327</f>
        <v>0</v>
      </c>
      <c r="M413" s="238">
        <f>M213+M254+M274+M292+M327</f>
        <v>21635.599999999999</v>
      </c>
      <c r="N413" s="238">
        <f>N213+N254+N274+N292+N327</f>
        <v>21324.100000000002</v>
      </c>
    </row>
    <row r="414" spans="2:14" ht="18.75" x14ac:dyDescent="0.3">
      <c r="D414" s="85"/>
      <c r="E414" s="85"/>
      <c r="F414" s="87"/>
      <c r="G414" s="87"/>
      <c r="H414" s="87"/>
      <c r="I414" s="87"/>
      <c r="J414" s="87"/>
      <c r="K414" s="176"/>
      <c r="L414" s="176"/>
      <c r="M414" s="176"/>
      <c r="N414" s="176"/>
    </row>
    <row r="415" spans="2:14" ht="18.75" x14ac:dyDescent="0.3">
      <c r="D415" s="85"/>
      <c r="E415" s="85"/>
      <c r="F415" s="87"/>
      <c r="G415" s="87"/>
      <c r="H415" s="87"/>
      <c r="I415" s="87"/>
      <c r="J415" s="87"/>
      <c r="K415" s="176"/>
      <c r="L415" s="176"/>
      <c r="M415" s="176"/>
      <c r="N415" s="176"/>
    </row>
    <row r="416" spans="2:14" x14ac:dyDescent="0.25">
      <c r="L416" s="175"/>
    </row>
    <row r="417" spans="11:14" x14ac:dyDescent="0.25">
      <c r="K417" s="212">
        <f>(K412/K410)*100</f>
        <v>84.222582273993069</v>
      </c>
      <c r="L417" s="212" t="e">
        <f>(L412/L410)*100</f>
        <v>#DIV/0!</v>
      </c>
      <c r="M417" s="212">
        <f>(M412/M410)*100</f>
        <v>84.222582273993069</v>
      </c>
      <c r="N417" s="212">
        <f>(N412/N410)*100</f>
        <v>82.442612322363701</v>
      </c>
    </row>
    <row r="418" spans="11:14" x14ac:dyDescent="0.25">
      <c r="L418" s="175"/>
    </row>
  </sheetData>
  <autoFilter ref="A4:N418"/>
  <mergeCells count="12">
    <mergeCell ref="K12:K13"/>
    <mergeCell ref="F12:I13"/>
    <mergeCell ref="J12:J13"/>
    <mergeCell ref="F14:I14"/>
    <mergeCell ref="A8:N8"/>
    <mergeCell ref="A12:A13"/>
    <mergeCell ref="B12:B13"/>
    <mergeCell ref="C12:C13"/>
    <mergeCell ref="D12:D13"/>
    <mergeCell ref="E12:E13"/>
    <mergeCell ref="N12:N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4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33.28515625" style="56" customWidth="1"/>
    <col min="2" max="2" width="66.42578125" style="56" customWidth="1"/>
    <col min="3" max="3" width="20" style="56" customWidth="1"/>
    <col min="4" max="4" width="9.140625" style="56"/>
    <col min="5" max="5" width="17.7109375" style="56" customWidth="1"/>
    <col min="6" max="6" width="19.85546875" style="56" customWidth="1"/>
    <col min="7" max="7" width="10.85546875" style="56" bestFit="1" customWidth="1"/>
    <col min="8" max="16384" width="9.140625" style="56"/>
  </cols>
  <sheetData>
    <row r="1" spans="1:6" s="219" customFormat="1" ht="18.75" x14ac:dyDescent="0.3">
      <c r="C1" s="1" t="s">
        <v>703</v>
      </c>
    </row>
    <row r="2" spans="1:6" s="219" customFormat="1" ht="18.75" x14ac:dyDescent="0.3">
      <c r="C2" s="1" t="s">
        <v>0</v>
      </c>
    </row>
    <row r="5" spans="1:6" ht="18.75" x14ac:dyDescent="0.3">
      <c r="C5" s="1" t="s">
        <v>758</v>
      </c>
    </row>
    <row r="6" spans="1:6" ht="18.75" x14ac:dyDescent="0.3">
      <c r="C6" s="1" t="s">
        <v>821</v>
      </c>
    </row>
    <row r="7" spans="1:6" ht="17.45" customHeight="1" x14ac:dyDescent="0.3">
      <c r="A7" s="20"/>
      <c r="B7" s="20"/>
      <c r="C7" s="20"/>
    </row>
    <row r="8" spans="1:6" s="219" customFormat="1" ht="18" customHeight="1" x14ac:dyDescent="0.3">
      <c r="C8" s="1"/>
    </row>
    <row r="9" spans="1:6" s="219" customFormat="1" ht="36" customHeight="1" x14ac:dyDescent="0.3">
      <c r="A9" s="1029" t="s">
        <v>759</v>
      </c>
      <c r="B9" s="1030"/>
      <c r="C9" s="1030"/>
    </row>
    <row r="10" spans="1:6" ht="18.75" x14ac:dyDescent="0.3">
      <c r="A10" s="20"/>
      <c r="B10" s="20"/>
      <c r="C10" s="20"/>
      <c r="E10" s="283"/>
      <c r="F10" s="194"/>
    </row>
    <row r="11" spans="1:6" ht="18.75" x14ac:dyDescent="0.3">
      <c r="A11" s="20"/>
      <c r="B11" s="20"/>
      <c r="C11" s="58" t="s">
        <v>319</v>
      </c>
    </row>
    <row r="12" spans="1:6" ht="58.9" customHeight="1" x14ac:dyDescent="0.3">
      <c r="A12" s="527" t="s">
        <v>64</v>
      </c>
      <c r="B12" s="83" t="s">
        <v>556</v>
      </c>
      <c r="C12" s="83" t="s">
        <v>66</v>
      </c>
      <c r="E12" s="195"/>
      <c r="F12" s="195"/>
    </row>
    <row r="13" spans="1:6" ht="18" customHeight="1" x14ac:dyDescent="0.3">
      <c r="A13" s="201">
        <v>1</v>
      </c>
      <c r="B13" s="202">
        <v>2</v>
      </c>
      <c r="C13" s="203">
        <v>3</v>
      </c>
      <c r="E13" s="195"/>
      <c r="F13" s="195"/>
    </row>
    <row r="14" spans="1:6" ht="37.15" customHeight="1" x14ac:dyDescent="0.3">
      <c r="A14" s="220" t="s">
        <v>320</v>
      </c>
      <c r="B14" s="537" t="s">
        <v>321</v>
      </c>
      <c r="C14" s="513">
        <f>C21+C15</f>
        <v>16865.420850000111</v>
      </c>
      <c r="E14" s="261"/>
      <c r="F14" s="60"/>
    </row>
    <row r="15" spans="1:6" s="332" customFormat="1" ht="37.5" x14ac:dyDescent="0.3">
      <c r="A15" s="221" t="s">
        <v>620</v>
      </c>
      <c r="B15" s="538" t="s">
        <v>621</v>
      </c>
      <c r="C15" s="260">
        <f>C16</f>
        <v>0</v>
      </c>
      <c r="E15" s="333"/>
      <c r="F15" s="334"/>
    </row>
    <row r="16" spans="1:6" s="332" customFormat="1" ht="56.25" x14ac:dyDescent="0.3">
      <c r="A16" s="222" t="s">
        <v>622</v>
      </c>
      <c r="B16" s="539" t="s">
        <v>623</v>
      </c>
      <c r="C16" s="336">
        <f>C17-C19</f>
        <v>0</v>
      </c>
      <c r="E16" s="333"/>
      <c r="F16" s="334"/>
    </row>
    <row r="17" spans="1:8" s="332" customFormat="1" ht="56.25" x14ac:dyDescent="0.3">
      <c r="A17" s="222" t="s">
        <v>624</v>
      </c>
      <c r="B17" s="539" t="s">
        <v>625</v>
      </c>
      <c r="C17" s="336">
        <f>C18</f>
        <v>7800</v>
      </c>
      <c r="E17" s="333"/>
      <c r="F17" s="334"/>
    </row>
    <row r="18" spans="1:8" s="332" customFormat="1" ht="75" x14ac:dyDescent="0.3">
      <c r="A18" s="222" t="s">
        <v>626</v>
      </c>
      <c r="B18" s="539" t="s">
        <v>25</v>
      </c>
      <c r="C18" s="336">
        <f>6240+1560</f>
        <v>7800</v>
      </c>
      <c r="E18" s="333"/>
      <c r="F18" s="334"/>
    </row>
    <row r="19" spans="1:8" s="332" customFormat="1" ht="56.25" x14ac:dyDescent="0.3">
      <c r="A19" s="222" t="s">
        <v>627</v>
      </c>
      <c r="B19" s="539" t="s">
        <v>628</v>
      </c>
      <c r="C19" s="336">
        <f>C20</f>
        <v>7800</v>
      </c>
      <c r="E19" s="333"/>
      <c r="F19" s="334"/>
    </row>
    <row r="20" spans="1:8" s="332" customFormat="1" ht="75" x14ac:dyDescent="0.3">
      <c r="A20" s="222" t="s">
        <v>629</v>
      </c>
      <c r="B20" s="539" t="s">
        <v>27</v>
      </c>
      <c r="C20" s="336">
        <v>7800</v>
      </c>
      <c r="E20" s="333"/>
      <c r="F20" s="334"/>
    </row>
    <row r="21" spans="1:8" s="61" customFormat="1" ht="34.9" customHeight="1" x14ac:dyDescent="0.3">
      <c r="A21" s="221" t="s">
        <v>322</v>
      </c>
      <c r="B21" s="540" t="s">
        <v>323</v>
      </c>
      <c r="C21" s="260">
        <f>C26-C22</f>
        <v>16865.420850000111</v>
      </c>
      <c r="F21" s="62"/>
      <c r="G21" s="63"/>
    </row>
    <row r="22" spans="1:8" s="57" customFormat="1" ht="18.75" x14ac:dyDescent="0.3">
      <c r="A22" s="222" t="s">
        <v>324</v>
      </c>
      <c r="B22" s="499" t="s">
        <v>325</v>
      </c>
      <c r="C22" s="284">
        <f>C23</f>
        <v>1306881.7999999998</v>
      </c>
    </row>
    <row r="23" spans="1:8" s="57" customFormat="1" ht="18.75" x14ac:dyDescent="0.3">
      <c r="A23" s="222" t="s">
        <v>326</v>
      </c>
      <c r="B23" s="499" t="s">
        <v>327</v>
      </c>
      <c r="C23" s="284">
        <f>C24</f>
        <v>1306881.7999999998</v>
      </c>
    </row>
    <row r="24" spans="1:8" s="57" customFormat="1" ht="37.5" x14ac:dyDescent="0.3">
      <c r="A24" s="222" t="s">
        <v>467</v>
      </c>
      <c r="B24" s="499" t="s">
        <v>328</v>
      </c>
      <c r="C24" s="284">
        <f>C25</f>
        <v>1306881.7999999998</v>
      </c>
    </row>
    <row r="25" spans="1:8" s="57" customFormat="1" ht="37.5" customHeight="1" x14ac:dyDescent="0.3">
      <c r="A25" s="222" t="s">
        <v>329</v>
      </c>
      <c r="B25" s="499" t="s">
        <v>32</v>
      </c>
      <c r="C25" s="500">
        <f>'прил. 2 (поступл.19)'!C37+C18</f>
        <v>1306881.7999999998</v>
      </c>
    </row>
    <row r="26" spans="1:8" s="57" customFormat="1" ht="18.75" x14ac:dyDescent="0.3">
      <c r="A26" s="222" t="s">
        <v>330</v>
      </c>
      <c r="B26" s="499" t="s">
        <v>331</v>
      </c>
      <c r="C26" s="500">
        <f>C27</f>
        <v>1323747.2208499999</v>
      </c>
    </row>
    <row r="27" spans="1:8" s="57" customFormat="1" ht="18.75" x14ac:dyDescent="0.3">
      <c r="A27" s="222" t="s">
        <v>332</v>
      </c>
      <c r="B27" s="499" t="s">
        <v>333</v>
      </c>
      <c r="C27" s="500">
        <f>C28</f>
        <v>1323747.2208499999</v>
      </c>
    </row>
    <row r="28" spans="1:8" s="57" customFormat="1" ht="22.15" customHeight="1" x14ac:dyDescent="0.3">
      <c r="A28" s="222" t="s">
        <v>334</v>
      </c>
      <c r="B28" s="499" t="s">
        <v>335</v>
      </c>
      <c r="C28" s="500">
        <f>C29</f>
        <v>1323747.2208499999</v>
      </c>
    </row>
    <row r="29" spans="1:8" s="57" customFormat="1" ht="37.5" x14ac:dyDescent="0.3">
      <c r="A29" s="256" t="s">
        <v>336</v>
      </c>
      <c r="B29" s="541" t="s">
        <v>34</v>
      </c>
      <c r="C29" s="542">
        <f>'прил12(ведом 19)'!M15+C20</f>
        <v>1323747.2208499999</v>
      </c>
    </row>
    <row r="30" spans="1:8" s="57" customFormat="1" ht="18.75" x14ac:dyDescent="0.3">
      <c r="A30" s="257"/>
      <c r="B30" s="258"/>
      <c r="C30" s="259"/>
    </row>
    <row r="31" spans="1:8" s="57" customFormat="1" ht="18.75" x14ac:dyDescent="0.3">
      <c r="A31" s="257"/>
      <c r="B31" s="258"/>
      <c r="C31" s="259"/>
    </row>
    <row r="32" spans="1:8" s="42" customFormat="1" ht="18.75" x14ac:dyDescent="0.3">
      <c r="A32" s="265" t="s">
        <v>588</v>
      </c>
      <c r="B32" s="47"/>
      <c r="C32" s="48"/>
      <c r="D32" s="48"/>
      <c r="E32" s="48"/>
      <c r="F32" s="49"/>
      <c r="G32" s="55"/>
      <c r="H32" s="45"/>
    </row>
    <row r="33" spans="1:8" s="42" customFormat="1" ht="18.75" x14ac:dyDescent="0.3">
      <c r="A33" s="265" t="s">
        <v>589</v>
      </c>
      <c r="B33" s="47"/>
      <c r="C33" s="48"/>
      <c r="D33" s="48"/>
      <c r="E33" s="48"/>
      <c r="F33" s="49"/>
      <c r="G33" s="55"/>
      <c r="H33" s="45"/>
    </row>
    <row r="34" spans="1:8" s="42" customFormat="1" ht="18.75" x14ac:dyDescent="0.3">
      <c r="A34" s="266" t="s">
        <v>590</v>
      </c>
      <c r="B34" s="47"/>
      <c r="C34" s="38" t="s">
        <v>643</v>
      </c>
      <c r="D34" s="48"/>
      <c r="E34" s="48"/>
      <c r="F34" s="49"/>
    </row>
  </sheetData>
  <mergeCells count="1">
    <mergeCell ref="A9:C9"/>
  </mergeCells>
  <printOptions horizontalCentered="1"/>
  <pageMargins left="1.1811023622047245" right="0.39370078740157483" top="0.62992125984251968" bottom="0.19685039370078741" header="0" footer="0"/>
  <pageSetup paperSize="9" scale="7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D5" sqref="D5"/>
    </sheetView>
  </sheetViews>
  <sheetFormatPr defaultColWidth="9.140625" defaultRowHeight="12.75" x14ac:dyDescent="0.2"/>
  <cols>
    <col min="1" max="1" width="33.28515625" style="56" customWidth="1"/>
    <col min="2" max="2" width="52.140625" style="56" customWidth="1"/>
    <col min="3" max="3" width="14.140625" style="56" customWidth="1"/>
    <col min="4" max="4" width="14.42578125" style="56" customWidth="1"/>
    <col min="5" max="5" width="17.7109375" style="56" customWidth="1"/>
    <col min="6" max="6" width="19.85546875" style="56" customWidth="1"/>
    <col min="7" max="7" width="10.85546875" style="56" bestFit="1" customWidth="1"/>
    <col min="8" max="16384" width="9.140625" style="56"/>
  </cols>
  <sheetData>
    <row r="1" spans="1:6" ht="18.75" x14ac:dyDescent="0.3">
      <c r="D1" s="1" t="s">
        <v>702</v>
      </c>
    </row>
    <row r="2" spans="1:6" ht="18.75" x14ac:dyDescent="0.3">
      <c r="D2" s="1" t="s">
        <v>0</v>
      </c>
    </row>
    <row r="3" spans="1:6" ht="11.25" customHeight="1" x14ac:dyDescent="0.3">
      <c r="D3" s="1"/>
    </row>
    <row r="4" spans="1:6" ht="18.75" x14ac:dyDescent="0.3">
      <c r="D4" s="1" t="s">
        <v>760</v>
      </c>
    </row>
    <row r="5" spans="1:6" ht="18.75" x14ac:dyDescent="0.3">
      <c r="D5" s="1" t="s">
        <v>821</v>
      </c>
    </row>
    <row r="6" spans="1:6" ht="12.75" customHeight="1" x14ac:dyDescent="0.3">
      <c r="A6" s="20"/>
      <c r="B6" s="20"/>
      <c r="C6" s="20"/>
    </row>
    <row r="7" spans="1:6" s="219" customFormat="1" ht="45" customHeight="1" x14ac:dyDescent="0.3">
      <c r="A7" s="1029" t="s">
        <v>761</v>
      </c>
      <c r="B7" s="1029"/>
      <c r="C7" s="1029"/>
      <c r="D7" s="1029"/>
    </row>
    <row r="8" spans="1:6" ht="12" customHeight="1" x14ac:dyDescent="0.3">
      <c r="A8" s="20"/>
      <c r="B8" s="20"/>
      <c r="C8" s="20"/>
      <c r="E8" s="283"/>
      <c r="F8" s="194"/>
    </row>
    <row r="9" spans="1:6" ht="18.75" x14ac:dyDescent="0.3">
      <c r="A9" s="20"/>
      <c r="B9" s="20"/>
      <c r="D9" s="58" t="s">
        <v>319</v>
      </c>
    </row>
    <row r="10" spans="1:6" ht="16.149999999999999" customHeight="1" x14ac:dyDescent="0.3">
      <c r="A10" s="984" t="s">
        <v>64</v>
      </c>
      <c r="B10" s="984" t="s">
        <v>556</v>
      </c>
      <c r="C10" s="1031" t="s">
        <v>66</v>
      </c>
      <c r="D10" s="1032"/>
    </row>
    <row r="11" spans="1:6" ht="60" customHeight="1" x14ac:dyDescent="0.3">
      <c r="A11" s="984"/>
      <c r="B11" s="984"/>
      <c r="C11" s="84" t="s">
        <v>591</v>
      </c>
      <c r="D11" s="84" t="s">
        <v>719</v>
      </c>
      <c r="E11" s="195"/>
      <c r="F11" s="195"/>
    </row>
    <row r="12" spans="1:6" ht="18" customHeight="1" x14ac:dyDescent="0.3">
      <c r="A12" s="201">
        <v>1</v>
      </c>
      <c r="B12" s="202">
        <v>2</v>
      </c>
      <c r="C12" s="203">
        <v>3</v>
      </c>
      <c r="D12" s="203">
        <v>4</v>
      </c>
      <c r="E12" s="195"/>
      <c r="F12" s="195"/>
    </row>
    <row r="13" spans="1:6" ht="56.25" x14ac:dyDescent="0.3">
      <c r="A13" s="220" t="s">
        <v>320</v>
      </c>
      <c r="B13" s="262" t="s">
        <v>321</v>
      </c>
      <c r="C13" s="943">
        <f>C18+C14</f>
        <v>-7800</v>
      </c>
      <c r="D13" s="943">
        <f>D18+D14</f>
        <v>0</v>
      </c>
      <c r="E13" s="59"/>
      <c r="F13" s="60"/>
    </row>
    <row r="14" spans="1:6" ht="56.25" x14ac:dyDescent="0.3">
      <c r="A14" s="221" t="s">
        <v>620</v>
      </c>
      <c r="B14" s="331" t="s">
        <v>621</v>
      </c>
      <c r="C14" s="943">
        <f>C15</f>
        <v>-7800</v>
      </c>
      <c r="D14" s="944">
        <v>0</v>
      </c>
      <c r="E14" s="59"/>
      <c r="F14" s="60"/>
    </row>
    <row r="15" spans="1:6" ht="61.5" customHeight="1" x14ac:dyDescent="0.3">
      <c r="A15" s="222" t="s">
        <v>622</v>
      </c>
      <c r="B15" s="335" t="s">
        <v>623</v>
      </c>
      <c r="C15" s="945">
        <f>-C16</f>
        <v>-7800</v>
      </c>
      <c r="D15" s="944"/>
      <c r="E15" s="59"/>
      <c r="F15" s="60"/>
    </row>
    <row r="16" spans="1:6" ht="80.25" customHeight="1" x14ac:dyDescent="0.3">
      <c r="A16" s="222" t="s">
        <v>627</v>
      </c>
      <c r="B16" s="335" t="s">
        <v>628</v>
      </c>
      <c r="C16" s="946">
        <f>C17</f>
        <v>7800</v>
      </c>
      <c r="D16" s="947"/>
      <c r="E16" s="59"/>
      <c r="F16" s="60"/>
    </row>
    <row r="17" spans="1:7" ht="84" customHeight="1" x14ac:dyDescent="0.3">
      <c r="A17" s="222" t="s">
        <v>629</v>
      </c>
      <c r="B17" s="335" t="s">
        <v>27</v>
      </c>
      <c r="C17" s="946">
        <f>6240+1560</f>
        <v>7800</v>
      </c>
      <c r="D17" s="946"/>
      <c r="E17" s="59"/>
      <c r="F17" s="60"/>
    </row>
    <row r="18" spans="1:7" s="61" customFormat="1" ht="37.5" x14ac:dyDescent="0.3">
      <c r="A18" s="221" t="s">
        <v>322</v>
      </c>
      <c r="B18" s="263" t="s">
        <v>323</v>
      </c>
      <c r="C18" s="948">
        <f>C23-C19</f>
        <v>0</v>
      </c>
      <c r="D18" s="944">
        <f>D23-D19</f>
        <v>0</v>
      </c>
      <c r="F18" s="62"/>
      <c r="G18" s="63"/>
    </row>
    <row r="19" spans="1:7" s="57" customFormat="1" ht="18.75" x14ac:dyDescent="0.3">
      <c r="A19" s="222" t="s">
        <v>324</v>
      </c>
      <c r="B19" s="264" t="s">
        <v>325</v>
      </c>
      <c r="C19" s="949">
        <f t="shared" ref="C19:D21" si="0">C20</f>
        <v>1235277.7999999998</v>
      </c>
      <c r="D19" s="950">
        <f t="shared" si="0"/>
        <v>1225136.6999999997</v>
      </c>
    </row>
    <row r="20" spans="1:7" s="57" customFormat="1" ht="37.5" x14ac:dyDescent="0.3">
      <c r="A20" s="222" t="s">
        <v>326</v>
      </c>
      <c r="B20" s="264" t="s">
        <v>327</v>
      </c>
      <c r="C20" s="949">
        <f t="shared" si="0"/>
        <v>1235277.7999999998</v>
      </c>
      <c r="D20" s="950">
        <f t="shared" si="0"/>
        <v>1225136.6999999997</v>
      </c>
    </row>
    <row r="21" spans="1:7" s="57" customFormat="1" ht="37.5" x14ac:dyDescent="0.3">
      <c r="A21" s="222" t="s">
        <v>467</v>
      </c>
      <c r="B21" s="264" t="s">
        <v>328</v>
      </c>
      <c r="C21" s="949">
        <f t="shared" si="0"/>
        <v>1235277.7999999998</v>
      </c>
      <c r="D21" s="950">
        <f t="shared" si="0"/>
        <v>1225136.6999999997</v>
      </c>
    </row>
    <row r="22" spans="1:7" s="57" customFormat="1" ht="40.5" customHeight="1" x14ac:dyDescent="0.25">
      <c r="A22" s="222" t="s">
        <v>329</v>
      </c>
      <c r="B22" s="335" t="s">
        <v>32</v>
      </c>
      <c r="C22" s="949">
        <f>'прил. 3 (поступл. 20-21)'!C37</f>
        <v>1235277.7999999998</v>
      </c>
      <c r="D22" s="950">
        <f>'прил. 3 (поступл. 20-21)'!D37</f>
        <v>1225136.6999999997</v>
      </c>
    </row>
    <row r="23" spans="1:7" s="57" customFormat="1" ht="18.75" x14ac:dyDescent="0.25">
      <c r="A23" s="222" t="s">
        <v>330</v>
      </c>
      <c r="B23" s="335" t="s">
        <v>331</v>
      </c>
      <c r="C23" s="949">
        <f t="shared" ref="C23:D25" si="1">C24</f>
        <v>1235277.7999999996</v>
      </c>
      <c r="D23" s="949">
        <f t="shared" si="1"/>
        <v>1225136.7</v>
      </c>
    </row>
    <row r="24" spans="1:7" s="57" customFormat="1" ht="37.5" x14ac:dyDescent="0.25">
      <c r="A24" s="222" t="s">
        <v>332</v>
      </c>
      <c r="B24" s="335" t="s">
        <v>333</v>
      </c>
      <c r="C24" s="949">
        <f t="shared" si="1"/>
        <v>1235277.7999999996</v>
      </c>
      <c r="D24" s="950">
        <f t="shared" si="1"/>
        <v>1225136.7</v>
      </c>
    </row>
    <row r="25" spans="1:7" s="57" customFormat="1" ht="37.5" x14ac:dyDescent="0.25">
      <c r="A25" s="222" t="s">
        <v>334</v>
      </c>
      <c r="B25" s="335" t="s">
        <v>335</v>
      </c>
      <c r="C25" s="949">
        <f t="shared" si="1"/>
        <v>1235277.7999999996</v>
      </c>
      <c r="D25" s="950">
        <f t="shared" si="1"/>
        <v>1225136.7</v>
      </c>
    </row>
    <row r="26" spans="1:7" s="57" customFormat="1" ht="43.5" customHeight="1" x14ac:dyDescent="0.25">
      <c r="A26" s="256" t="s">
        <v>336</v>
      </c>
      <c r="B26" s="942" t="s">
        <v>34</v>
      </c>
      <c r="C26" s="951">
        <f>'прил13(ведом 20-21)'!M15+C17</f>
        <v>1235277.7999999996</v>
      </c>
      <c r="D26" s="951">
        <f>'прил13(ведом 20-21)'!N15+D17</f>
        <v>1225136.7</v>
      </c>
    </row>
    <row r="27" spans="1:7" s="57" customFormat="1" ht="20.25" customHeight="1" x14ac:dyDescent="0.25">
      <c r="A27" s="257"/>
      <c r="B27" s="952"/>
      <c r="C27" s="953"/>
      <c r="D27" s="953"/>
    </row>
    <row r="28" spans="1:7" ht="18.75" x14ac:dyDescent="0.3">
      <c r="A28" s="20"/>
      <c r="B28" s="20"/>
      <c r="C28" s="20"/>
    </row>
    <row r="29" spans="1:7" s="199" customFormat="1" ht="18.75" x14ac:dyDescent="0.3">
      <c r="A29" s="265" t="s">
        <v>588</v>
      </c>
      <c r="B29" s="47"/>
      <c r="C29" s="48"/>
    </row>
    <row r="30" spans="1:7" s="199" customFormat="1" ht="18.75" x14ac:dyDescent="0.3">
      <c r="A30" s="265" t="s">
        <v>589</v>
      </c>
      <c r="B30" s="47"/>
      <c r="C30" s="48"/>
    </row>
    <row r="31" spans="1:7" s="199" customFormat="1" ht="18.75" x14ac:dyDescent="0.3">
      <c r="A31" s="266" t="s">
        <v>590</v>
      </c>
      <c r="B31" s="47"/>
      <c r="D31" s="38" t="s">
        <v>643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78740157480314965" header="0" footer="0"/>
  <pageSetup paperSize="9" scale="74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7"/>
  <sheetViews>
    <sheetView zoomScaleNormal="100" workbookViewId="0">
      <selection activeCell="B11" sqref="B11"/>
    </sheetView>
  </sheetViews>
  <sheetFormatPr defaultColWidth="8.85546875" defaultRowHeight="18.75" x14ac:dyDescent="0.3"/>
  <cols>
    <col min="1" max="1" width="73.7109375" style="173" customWidth="1"/>
    <col min="2" max="2" width="17.28515625" style="173" customWidth="1"/>
    <col min="3" max="16384" width="8.85546875" style="173"/>
  </cols>
  <sheetData>
    <row r="1" spans="1:8" x14ac:dyDescent="0.3">
      <c r="B1" s="1" t="s">
        <v>762</v>
      </c>
    </row>
    <row r="2" spans="1:8" x14ac:dyDescent="0.3">
      <c r="B2" s="1" t="s">
        <v>0</v>
      </c>
    </row>
    <row r="5" spans="1:8" ht="54.75" customHeight="1" x14ac:dyDescent="0.3">
      <c r="A5" s="1033" t="s">
        <v>763</v>
      </c>
      <c r="B5" s="1033"/>
      <c r="C5" s="279"/>
    </row>
    <row r="6" spans="1:8" ht="16.899999999999999" customHeight="1" x14ac:dyDescent="0.3">
      <c r="A6" s="267"/>
      <c r="B6" s="267"/>
      <c r="C6" s="279"/>
    </row>
    <row r="7" spans="1:8" x14ac:dyDescent="0.3">
      <c r="B7" s="1" t="s">
        <v>75</v>
      </c>
    </row>
    <row r="8" spans="1:8" ht="31.9" customHeight="1" x14ac:dyDescent="0.3">
      <c r="A8" s="268" t="s">
        <v>362</v>
      </c>
      <c r="B8" s="268" t="s">
        <v>66</v>
      </c>
    </row>
    <row r="9" spans="1:8" x14ac:dyDescent="0.3">
      <c r="A9" s="208">
        <v>1</v>
      </c>
      <c r="B9" s="208">
        <v>2</v>
      </c>
    </row>
    <row r="10" spans="1:8" ht="22.9" customHeight="1" x14ac:dyDescent="0.3">
      <c r="A10" s="280" t="s">
        <v>445</v>
      </c>
      <c r="B10" s="281">
        <f>SUM(B11:B12)</f>
        <v>3318.6</v>
      </c>
    </row>
    <row r="11" spans="1:8" x14ac:dyDescent="0.3">
      <c r="A11" s="87" t="s">
        <v>363</v>
      </c>
      <c r="B11" s="282">
        <f>'прил12(ведом 19)'!L213</f>
        <v>0</v>
      </c>
    </row>
    <row r="12" spans="1:8" x14ac:dyDescent="0.3">
      <c r="A12" s="174" t="s">
        <v>480</v>
      </c>
      <c r="B12" s="282">
        <f>'прил12(ведом 19)'!M87+'прил12(ведом 19)'!M89+'прил12(ведом 19)'!M97+'прил12(ведом 19)'!M148+'прил12(ведом 19)'!M161</f>
        <v>3318.6</v>
      </c>
    </row>
    <row r="15" spans="1:8" s="42" customFormat="1" x14ac:dyDescent="0.3">
      <c r="A15" s="265" t="s">
        <v>588</v>
      </c>
      <c r="B15" s="47"/>
      <c r="C15" s="48"/>
      <c r="D15" s="48"/>
      <c r="E15" s="48"/>
      <c r="F15" s="49"/>
      <c r="G15" s="55"/>
      <c r="H15" s="45"/>
    </row>
    <row r="16" spans="1:8" s="42" customFormat="1" x14ac:dyDescent="0.3">
      <c r="A16" s="265" t="s">
        <v>589</v>
      </c>
      <c r="B16" s="47"/>
      <c r="C16" s="48"/>
      <c r="D16" s="48"/>
      <c r="E16" s="48"/>
      <c r="F16" s="49"/>
      <c r="G16" s="55"/>
      <c r="H16" s="45"/>
    </row>
    <row r="17" spans="1:6" s="42" customFormat="1" x14ac:dyDescent="0.3">
      <c r="A17" s="266" t="s">
        <v>590</v>
      </c>
      <c r="B17" s="38" t="s">
        <v>643</v>
      </c>
      <c r="D17" s="48"/>
      <c r="E17" s="48"/>
      <c r="F17" s="49"/>
    </row>
  </sheetData>
  <mergeCells count="1">
    <mergeCell ref="A5:B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3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8"/>
  <sheetViews>
    <sheetView zoomScaleNormal="100" workbookViewId="0">
      <selection activeCell="M15" sqref="M15"/>
    </sheetView>
  </sheetViews>
  <sheetFormatPr defaultColWidth="8.85546875" defaultRowHeight="18.75" x14ac:dyDescent="0.3"/>
  <cols>
    <col min="1" max="1" width="73.7109375" style="173" customWidth="1"/>
    <col min="2" max="2" width="14.85546875" style="173" customWidth="1"/>
    <col min="3" max="3" width="14.28515625" style="173" customWidth="1"/>
    <col min="4" max="16384" width="8.85546875" style="173"/>
  </cols>
  <sheetData>
    <row r="1" spans="1:8" x14ac:dyDescent="0.3">
      <c r="C1" s="65" t="s">
        <v>519</v>
      </c>
    </row>
    <row r="2" spans="1:8" x14ac:dyDescent="0.3">
      <c r="C2" s="66" t="s">
        <v>0</v>
      </c>
    </row>
    <row r="5" spans="1:8" ht="42.6" customHeight="1" x14ac:dyDescent="0.3">
      <c r="A5" s="1033" t="s">
        <v>764</v>
      </c>
      <c r="B5" s="1033"/>
      <c r="C5" s="1033"/>
    </row>
    <row r="6" spans="1:8" ht="16.899999999999999" customHeight="1" x14ac:dyDescent="0.3">
      <c r="A6" s="267"/>
      <c r="B6" s="267"/>
      <c r="C6" s="279"/>
    </row>
    <row r="7" spans="1:8" x14ac:dyDescent="0.3">
      <c r="C7" s="1" t="s">
        <v>75</v>
      </c>
    </row>
    <row r="8" spans="1:8" x14ac:dyDescent="0.3">
      <c r="A8" s="1034" t="s">
        <v>362</v>
      </c>
      <c r="B8" s="997" t="s">
        <v>66</v>
      </c>
      <c r="C8" s="997"/>
    </row>
    <row r="9" spans="1:8" ht="23.45" customHeight="1" x14ac:dyDescent="0.3">
      <c r="A9" s="1035"/>
      <c r="B9" s="84" t="s">
        <v>591</v>
      </c>
      <c r="C9" s="84" t="s">
        <v>719</v>
      </c>
    </row>
    <row r="10" spans="1:8" x14ac:dyDescent="0.3">
      <c r="A10" s="208">
        <v>1</v>
      </c>
      <c r="B10" s="208">
        <v>2</v>
      </c>
      <c r="C10" s="208">
        <v>3</v>
      </c>
    </row>
    <row r="11" spans="1:8" ht="18" customHeight="1" x14ac:dyDescent="0.3">
      <c r="A11" s="280" t="s">
        <v>445</v>
      </c>
      <c r="B11" s="281">
        <f>SUM(B12:B13)</f>
        <v>7643.1</v>
      </c>
      <c r="C11" s="281">
        <f>SUM(C12:C13)</f>
        <v>7643.1</v>
      </c>
    </row>
    <row r="12" spans="1:8" x14ac:dyDescent="0.3">
      <c r="A12" s="87" t="s">
        <v>363</v>
      </c>
      <c r="B12" s="282">
        <f>'прил13(ведом 20-21)'!M110</f>
        <v>5000</v>
      </c>
      <c r="C12" s="282">
        <f>'прил13(ведом 20-21)'!N110</f>
        <v>5000</v>
      </c>
    </row>
    <row r="13" spans="1:8" x14ac:dyDescent="0.3">
      <c r="A13" s="174" t="s">
        <v>480</v>
      </c>
      <c r="B13" s="282">
        <f>'прил13(ведом 20-21)'!M60</f>
        <v>2643.1</v>
      </c>
      <c r="C13" s="282">
        <f>'прил13(ведом 20-21)'!N60</f>
        <v>2643.1</v>
      </c>
    </row>
    <row r="14" spans="1:8" x14ac:dyDescent="0.3">
      <c r="A14" s="11"/>
      <c r="B14" s="577"/>
    </row>
    <row r="16" spans="1:8" s="42" customFormat="1" x14ac:dyDescent="0.3">
      <c r="A16" s="265" t="s">
        <v>588</v>
      </c>
      <c r="B16" s="47"/>
      <c r="C16" s="48"/>
      <c r="D16" s="48"/>
      <c r="E16" s="48"/>
      <c r="F16" s="49"/>
      <c r="G16" s="55"/>
      <c r="H16" s="45"/>
    </row>
    <row r="17" spans="1:8" s="42" customFormat="1" x14ac:dyDescent="0.3">
      <c r="A17" s="265" t="s">
        <v>589</v>
      </c>
      <c r="B17" s="47"/>
      <c r="C17" s="48"/>
      <c r="D17" s="48"/>
      <c r="E17" s="48"/>
      <c r="F17" s="49"/>
      <c r="G17" s="55"/>
      <c r="H17" s="45"/>
    </row>
    <row r="18" spans="1:8" s="42" customFormat="1" x14ac:dyDescent="0.3">
      <c r="A18" s="266" t="s">
        <v>590</v>
      </c>
      <c r="C18" s="38" t="s">
        <v>643</v>
      </c>
      <c r="D18" s="48"/>
      <c r="E18" s="48"/>
      <c r="F18" s="49"/>
    </row>
  </sheetData>
  <mergeCells count="3">
    <mergeCell ref="A5:C5"/>
    <mergeCell ref="B8:C8"/>
    <mergeCell ref="A8:A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J33"/>
  <sheetViews>
    <sheetView zoomScaleNormal="100" workbookViewId="0">
      <selection activeCell="M15" sqref="M15"/>
    </sheetView>
  </sheetViews>
  <sheetFormatPr defaultColWidth="8.85546875" defaultRowHeight="12.75" x14ac:dyDescent="0.2"/>
  <cols>
    <col min="1" max="1" width="7.42578125" style="278" customWidth="1"/>
    <col min="2" max="3" width="8.85546875" style="278"/>
    <col min="4" max="4" width="6.5703125" style="278" customWidth="1"/>
    <col min="5" max="5" width="37.42578125" style="278" customWidth="1"/>
    <col min="6" max="6" width="15.28515625" style="278" customWidth="1"/>
    <col min="7" max="7" width="9.5703125" style="278" bestFit="1" customWidth="1"/>
    <col min="8" max="8" width="9.85546875" style="278" customWidth="1"/>
    <col min="9" max="9" width="8.85546875" style="278"/>
    <col min="10" max="10" width="11.85546875" style="278" bestFit="1" customWidth="1"/>
    <col min="11" max="16384" width="8.85546875" style="278"/>
  </cols>
  <sheetData>
    <row r="1" spans="1:10" ht="18" customHeight="1" x14ac:dyDescent="0.3">
      <c r="F1" s="12" t="s">
        <v>520</v>
      </c>
    </row>
    <row r="2" spans="1:10" ht="16.149999999999999" customHeight="1" x14ac:dyDescent="0.3">
      <c r="F2" s="12" t="s">
        <v>0</v>
      </c>
    </row>
    <row r="3" spans="1:10" ht="18" customHeight="1" x14ac:dyDescent="0.2"/>
    <row r="4" spans="1:10" s="15" customFormat="1" ht="18.75" x14ac:dyDescent="0.3">
      <c r="F4" s="16"/>
    </row>
    <row r="5" spans="1:10" s="15" customFormat="1" ht="55.9" customHeight="1" x14ac:dyDescent="0.3">
      <c r="A5" s="1036" t="s">
        <v>765</v>
      </c>
      <c r="B5" s="1036"/>
      <c r="C5" s="1036"/>
      <c r="D5" s="1036"/>
      <c r="E5" s="1036"/>
      <c r="F5" s="1036"/>
    </row>
    <row r="6" spans="1:10" s="15" customFormat="1" ht="18.75" x14ac:dyDescent="0.3"/>
    <row r="7" spans="1:10" s="15" customFormat="1" ht="18.75" x14ac:dyDescent="0.3">
      <c r="F7" s="64" t="s">
        <v>319</v>
      </c>
    </row>
    <row r="8" spans="1:10" s="15" customFormat="1" ht="43.5" customHeight="1" x14ac:dyDescent="0.3">
      <c r="A8" s="274" t="s">
        <v>234</v>
      </c>
      <c r="B8" s="1037" t="s">
        <v>192</v>
      </c>
      <c r="C8" s="1038"/>
      <c r="D8" s="1038"/>
      <c r="E8" s="1039"/>
      <c r="F8" s="185" t="s">
        <v>66</v>
      </c>
      <c r="G8" s="186"/>
      <c r="H8" s="186"/>
      <c r="I8" s="186"/>
      <c r="J8" s="187"/>
    </row>
    <row r="9" spans="1:10" s="15" customFormat="1" ht="16.899999999999999" customHeight="1" x14ac:dyDescent="0.3">
      <c r="A9" s="274">
        <v>1</v>
      </c>
      <c r="B9" s="1037">
        <v>2</v>
      </c>
      <c r="C9" s="1043"/>
      <c r="D9" s="1043"/>
      <c r="E9" s="1044"/>
      <c r="F9" s="185">
        <v>3</v>
      </c>
      <c r="G9" s="186"/>
      <c r="H9" s="186"/>
      <c r="I9" s="186"/>
      <c r="J9" s="187"/>
    </row>
    <row r="10" spans="1:10" s="15" customFormat="1" ht="18.75" x14ac:dyDescent="0.3">
      <c r="A10" s="18">
        <v>1</v>
      </c>
      <c r="B10" s="188" t="s">
        <v>340</v>
      </c>
      <c r="C10" s="188"/>
      <c r="D10" s="188"/>
      <c r="E10" s="188"/>
      <c r="F10" s="189">
        <v>975.1</v>
      </c>
      <c r="G10" s="186"/>
      <c r="H10" s="186"/>
      <c r="I10" s="186"/>
      <c r="J10" s="190"/>
    </row>
    <row r="11" spans="1:10" s="15" customFormat="1" ht="18.75" x14ac:dyDescent="0.3">
      <c r="A11" s="18">
        <v>2</v>
      </c>
      <c r="B11" s="188" t="s">
        <v>341</v>
      </c>
      <c r="C11" s="188"/>
      <c r="D11" s="188"/>
      <c r="E11" s="188"/>
      <c r="F11" s="189">
        <v>399.6</v>
      </c>
      <c r="G11" s="186"/>
      <c r="H11" s="186"/>
      <c r="I11" s="186"/>
      <c r="J11" s="190"/>
    </row>
    <row r="12" spans="1:10" s="15" customFormat="1" ht="18.75" x14ac:dyDescent="0.3">
      <c r="A12" s="18">
        <v>3</v>
      </c>
      <c r="B12" s="188" t="s">
        <v>342</v>
      </c>
      <c r="C12" s="188"/>
      <c r="D12" s="188"/>
      <c r="E12" s="188"/>
      <c r="F12" s="189">
        <v>578.29999999999995</v>
      </c>
      <c r="G12" s="186"/>
      <c r="H12" s="186"/>
      <c r="I12" s="186"/>
      <c r="J12" s="190"/>
    </row>
    <row r="13" spans="1:10" s="15" customFormat="1" ht="18.75" x14ac:dyDescent="0.3">
      <c r="A13" s="18">
        <v>4</v>
      </c>
      <c r="B13" s="188" t="s">
        <v>451</v>
      </c>
      <c r="C13" s="188"/>
      <c r="D13" s="188"/>
      <c r="E13" s="188"/>
      <c r="F13" s="189">
        <v>304.89999999999998</v>
      </c>
      <c r="G13" s="186"/>
      <c r="H13" s="186"/>
      <c r="I13" s="186"/>
      <c r="J13" s="190"/>
    </row>
    <row r="14" spans="1:10" s="15" customFormat="1" ht="18.75" x14ac:dyDescent="0.3">
      <c r="A14" s="18">
        <v>5</v>
      </c>
      <c r="B14" s="188" t="s">
        <v>343</v>
      </c>
      <c r="C14" s="188"/>
      <c r="D14" s="188"/>
      <c r="E14" s="188"/>
      <c r="F14" s="189">
        <v>239.9</v>
      </c>
      <c r="G14" s="186"/>
      <c r="H14" s="186"/>
      <c r="I14" s="186"/>
      <c r="J14" s="190"/>
    </row>
    <row r="15" spans="1:10" s="15" customFormat="1" ht="18.75" x14ac:dyDescent="0.3">
      <c r="A15" s="18">
        <v>6</v>
      </c>
      <c r="B15" s="188" t="s">
        <v>344</v>
      </c>
      <c r="C15" s="188"/>
      <c r="D15" s="188"/>
      <c r="E15" s="188"/>
      <c r="F15" s="189">
        <v>543.6</v>
      </c>
      <c r="G15" s="186"/>
      <c r="H15" s="186"/>
      <c r="I15" s="186"/>
      <c r="J15" s="190"/>
    </row>
    <row r="16" spans="1:10" s="15" customFormat="1" ht="18.75" x14ac:dyDescent="0.3">
      <c r="A16" s="18">
        <v>7</v>
      </c>
      <c r="B16" s="188" t="s">
        <v>345</v>
      </c>
      <c r="C16" s="188"/>
      <c r="D16" s="188"/>
      <c r="E16" s="188"/>
      <c r="F16" s="189">
        <v>265.8</v>
      </c>
      <c r="G16" s="186"/>
      <c r="H16" s="186"/>
      <c r="I16" s="186"/>
      <c r="J16" s="190"/>
    </row>
    <row r="17" spans="1:10" s="15" customFormat="1" ht="18.75" x14ac:dyDescent="0.3">
      <c r="A17" s="18">
        <v>8</v>
      </c>
      <c r="B17" s="188" t="s">
        <v>346</v>
      </c>
      <c r="C17" s="188"/>
      <c r="D17" s="188"/>
      <c r="E17" s="188"/>
      <c r="F17" s="189">
        <v>1178.0999999999999</v>
      </c>
      <c r="G17" s="186"/>
      <c r="H17" s="186"/>
      <c r="I17" s="186"/>
      <c r="J17" s="190"/>
    </row>
    <row r="18" spans="1:10" s="15" customFormat="1" ht="18.75" x14ac:dyDescent="0.3">
      <c r="A18" s="18">
        <v>9</v>
      </c>
      <c r="B18" s="188" t="s">
        <v>347</v>
      </c>
      <c r="C18" s="188"/>
      <c r="D18" s="188"/>
      <c r="E18" s="188"/>
      <c r="F18" s="189">
        <v>514.70000000000005</v>
      </c>
      <c r="G18" s="186"/>
      <c r="H18" s="186"/>
      <c r="I18" s="186"/>
      <c r="J18" s="190"/>
    </row>
    <row r="19" spans="1:10" s="15" customFormat="1" ht="26.45" customHeight="1" x14ac:dyDescent="0.3">
      <c r="A19" s="188"/>
      <c r="B19" s="1040" t="s">
        <v>445</v>
      </c>
      <c r="C19" s="1041"/>
      <c r="D19" s="1041"/>
      <c r="E19" s="1042"/>
      <c r="F19" s="191">
        <f>SUM(F10:F18)</f>
        <v>5000</v>
      </c>
      <c r="G19" s="186"/>
      <c r="H19" s="186"/>
      <c r="I19" s="186"/>
      <c r="J19" s="192"/>
    </row>
    <row r="20" spans="1:10" s="15" customFormat="1" ht="18.75" x14ac:dyDescent="0.3">
      <c r="F20" s="16"/>
    </row>
    <row r="21" spans="1:10" s="15" customFormat="1" ht="18.75" x14ac:dyDescent="0.3">
      <c r="F21" s="16"/>
    </row>
    <row r="22" spans="1:10" s="42" customFormat="1" ht="18.75" x14ac:dyDescent="0.3">
      <c r="A22" s="265" t="s">
        <v>588</v>
      </c>
      <c r="B22" s="47"/>
      <c r="C22" s="48"/>
      <c r="D22" s="48"/>
      <c r="E22" s="48"/>
      <c r="F22" s="49"/>
      <c r="G22" s="55"/>
      <c r="H22" s="45"/>
    </row>
    <row r="23" spans="1:10" s="42" customFormat="1" ht="18.75" x14ac:dyDescent="0.3">
      <c r="A23" s="265" t="s">
        <v>589</v>
      </c>
      <c r="B23" s="47"/>
      <c r="C23" s="48"/>
      <c r="D23" s="48"/>
      <c r="E23" s="48"/>
      <c r="F23" s="49"/>
      <c r="G23" s="55"/>
      <c r="H23" s="45"/>
    </row>
    <row r="24" spans="1:10" s="42" customFormat="1" ht="18.75" x14ac:dyDescent="0.3">
      <c r="A24" s="266" t="s">
        <v>590</v>
      </c>
      <c r="D24" s="48"/>
      <c r="E24" s="48"/>
      <c r="F24" s="38" t="s">
        <v>643</v>
      </c>
    </row>
    <row r="25" spans="1:10" s="15" customFormat="1" ht="18.75" x14ac:dyDescent="0.3">
      <c r="F25" s="16"/>
    </row>
    <row r="26" spans="1:10" s="15" customFormat="1" ht="18.75" x14ac:dyDescent="0.3">
      <c r="F26" s="16"/>
    </row>
    <row r="27" spans="1:10" s="15" customFormat="1" ht="18.75" x14ac:dyDescent="0.3">
      <c r="F27" s="16"/>
    </row>
    <row r="28" spans="1:10" s="15" customFormat="1" ht="18.75" x14ac:dyDescent="0.3">
      <c r="F28" s="16"/>
    </row>
    <row r="29" spans="1:10" s="15" customFormat="1" ht="18.75" x14ac:dyDescent="0.3">
      <c r="F29" s="193"/>
    </row>
    <row r="30" spans="1:10" s="15" customFormat="1" ht="18.75" x14ac:dyDescent="0.3">
      <c r="F30" s="16"/>
    </row>
    <row r="31" spans="1:10" s="15" customFormat="1" ht="18.75" x14ac:dyDescent="0.3">
      <c r="F31" s="16"/>
    </row>
    <row r="32" spans="1:10" s="15" customFormat="1" ht="18.75" x14ac:dyDescent="0.3">
      <c r="A32" s="14"/>
      <c r="B32" s="14"/>
      <c r="C32" s="14"/>
      <c r="D32" s="14"/>
      <c r="F32" s="16"/>
    </row>
    <row r="33" spans="1:6" s="15" customFormat="1" ht="18.75" x14ac:dyDescent="0.3">
      <c r="A33" s="14"/>
      <c r="B33" s="14"/>
      <c r="C33" s="14"/>
      <c r="D33" s="14"/>
      <c r="F33" s="64"/>
    </row>
  </sheetData>
  <mergeCells count="4">
    <mergeCell ref="A5:F5"/>
    <mergeCell ref="B8:E8"/>
    <mergeCell ref="B19:E19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J34"/>
  <sheetViews>
    <sheetView zoomScaleNormal="100" workbookViewId="0">
      <selection activeCell="M15" sqref="M15"/>
    </sheetView>
  </sheetViews>
  <sheetFormatPr defaultColWidth="8.85546875" defaultRowHeight="12.75" x14ac:dyDescent="0.2"/>
  <cols>
    <col min="1" max="1" width="7.42578125" style="278" customWidth="1"/>
    <col min="2" max="3" width="8.85546875" style="278"/>
    <col min="4" max="4" width="6.5703125" style="278" customWidth="1"/>
    <col min="5" max="5" width="24.7109375" style="278" customWidth="1"/>
    <col min="6" max="6" width="14.28515625" style="278" customWidth="1"/>
    <col min="7" max="7" width="13.5703125" style="278" customWidth="1"/>
    <col min="8" max="8" width="9.85546875" style="278" customWidth="1"/>
    <col min="9" max="9" width="8.85546875" style="278"/>
    <col min="10" max="10" width="11.85546875" style="278" bestFit="1" customWidth="1"/>
    <col min="11" max="16384" width="8.85546875" style="278"/>
  </cols>
  <sheetData>
    <row r="1" spans="1:10" ht="18" customHeight="1" x14ac:dyDescent="0.3">
      <c r="G1" s="12" t="s">
        <v>766</v>
      </c>
    </row>
    <row r="2" spans="1:10" ht="16.149999999999999" customHeight="1" x14ac:dyDescent="0.3">
      <c r="G2" s="12" t="s">
        <v>0</v>
      </c>
    </row>
    <row r="3" spans="1:10" ht="18" customHeight="1" x14ac:dyDescent="0.2"/>
    <row r="4" spans="1:10" s="15" customFormat="1" ht="18.75" x14ac:dyDescent="0.3">
      <c r="F4" s="16"/>
    </row>
    <row r="5" spans="1:10" s="15" customFormat="1" ht="54.6" customHeight="1" x14ac:dyDescent="0.3">
      <c r="A5" s="1036" t="s">
        <v>767</v>
      </c>
      <c r="B5" s="1036"/>
      <c r="C5" s="1036"/>
      <c r="D5" s="1036"/>
      <c r="E5" s="1036"/>
      <c r="F5" s="1036"/>
      <c r="G5" s="1036"/>
    </row>
    <row r="6" spans="1:10" s="15" customFormat="1" ht="18.75" x14ac:dyDescent="0.3"/>
    <row r="7" spans="1:10" s="15" customFormat="1" ht="18.75" x14ac:dyDescent="0.3">
      <c r="G7" s="64" t="s">
        <v>319</v>
      </c>
    </row>
    <row r="8" spans="1:10" s="15" customFormat="1" ht="18.75" x14ac:dyDescent="0.3">
      <c r="A8" s="1045" t="s">
        <v>234</v>
      </c>
      <c r="B8" s="1045" t="s">
        <v>192</v>
      </c>
      <c r="C8" s="1045"/>
      <c r="D8" s="1045"/>
      <c r="E8" s="1045"/>
      <c r="F8" s="997" t="s">
        <v>66</v>
      </c>
      <c r="G8" s="997"/>
    </row>
    <row r="9" spans="1:10" s="15" customFormat="1" ht="27.6" customHeight="1" x14ac:dyDescent="0.3">
      <c r="A9" s="1045"/>
      <c r="B9" s="1045"/>
      <c r="C9" s="1045"/>
      <c r="D9" s="1045"/>
      <c r="E9" s="1045"/>
      <c r="F9" s="84" t="s">
        <v>591</v>
      </c>
      <c r="G9" s="84" t="s">
        <v>719</v>
      </c>
      <c r="H9" s="186"/>
      <c r="I9" s="186"/>
      <c r="J9" s="187"/>
    </row>
    <row r="10" spans="1:10" s="15" customFormat="1" ht="16.899999999999999" customHeight="1" x14ac:dyDescent="0.3">
      <c r="A10" s="274">
        <v>1</v>
      </c>
      <c r="B10" s="1037">
        <v>2</v>
      </c>
      <c r="C10" s="1043"/>
      <c r="D10" s="1043"/>
      <c r="E10" s="1044"/>
      <c r="F10" s="185">
        <v>3</v>
      </c>
      <c r="G10" s="185">
        <v>4</v>
      </c>
      <c r="H10" s="186"/>
      <c r="I10" s="186"/>
      <c r="J10" s="187"/>
    </row>
    <row r="11" spans="1:10" s="15" customFormat="1" ht="18.75" x14ac:dyDescent="0.3">
      <c r="A11" s="18">
        <v>1</v>
      </c>
      <c r="B11" s="188" t="s">
        <v>340</v>
      </c>
      <c r="C11" s="188"/>
      <c r="D11" s="188"/>
      <c r="E11" s="188"/>
      <c r="F11" s="189">
        <v>981.5</v>
      </c>
      <c r="G11" s="189">
        <v>951.3</v>
      </c>
      <c r="H11" s="186"/>
      <c r="I11" s="186"/>
      <c r="J11" s="190"/>
    </row>
    <row r="12" spans="1:10" s="15" customFormat="1" ht="18.75" x14ac:dyDescent="0.3">
      <c r="A12" s="18">
        <v>2</v>
      </c>
      <c r="B12" s="188" t="s">
        <v>341</v>
      </c>
      <c r="C12" s="188"/>
      <c r="D12" s="188"/>
      <c r="E12" s="188"/>
      <c r="F12" s="189">
        <v>452.9</v>
      </c>
      <c r="G12" s="189">
        <v>419.1</v>
      </c>
      <c r="H12" s="186"/>
      <c r="I12" s="186"/>
      <c r="J12" s="190"/>
    </row>
    <row r="13" spans="1:10" s="15" customFormat="1" ht="18.75" x14ac:dyDescent="0.3">
      <c r="A13" s="18">
        <v>3</v>
      </c>
      <c r="B13" s="188" t="s">
        <v>342</v>
      </c>
      <c r="C13" s="188"/>
      <c r="D13" s="188"/>
      <c r="E13" s="188"/>
      <c r="F13" s="189">
        <v>621.9</v>
      </c>
      <c r="G13" s="189">
        <v>619.4</v>
      </c>
      <c r="H13" s="186"/>
      <c r="I13" s="186"/>
      <c r="J13" s="190"/>
    </row>
    <row r="14" spans="1:10" s="15" customFormat="1" ht="18.75" x14ac:dyDescent="0.3">
      <c r="A14" s="18">
        <v>4</v>
      </c>
      <c r="B14" s="188" t="s">
        <v>451</v>
      </c>
      <c r="C14" s="188"/>
      <c r="D14" s="188"/>
      <c r="E14" s="188"/>
      <c r="F14" s="189">
        <v>209</v>
      </c>
      <c r="G14" s="189">
        <v>257.10000000000002</v>
      </c>
      <c r="H14" s="186"/>
      <c r="I14" s="186"/>
      <c r="J14" s="190"/>
    </row>
    <row r="15" spans="1:10" s="15" customFormat="1" ht="18.75" x14ac:dyDescent="0.3">
      <c r="A15" s="18">
        <v>5</v>
      </c>
      <c r="B15" s="188" t="s">
        <v>343</v>
      </c>
      <c r="C15" s="188"/>
      <c r="D15" s="188"/>
      <c r="E15" s="188"/>
      <c r="F15" s="189">
        <v>218.6</v>
      </c>
      <c r="G15" s="189">
        <v>202.3</v>
      </c>
      <c r="H15" s="186"/>
      <c r="I15" s="186"/>
      <c r="J15" s="190"/>
    </row>
    <row r="16" spans="1:10" s="15" customFormat="1" ht="18.75" x14ac:dyDescent="0.3">
      <c r="A16" s="18">
        <v>6</v>
      </c>
      <c r="B16" s="188" t="s">
        <v>344</v>
      </c>
      <c r="C16" s="188"/>
      <c r="D16" s="188"/>
      <c r="E16" s="188"/>
      <c r="F16" s="189">
        <v>540</v>
      </c>
      <c r="G16" s="189">
        <v>541</v>
      </c>
      <c r="H16" s="186"/>
      <c r="I16" s="186"/>
      <c r="J16" s="190"/>
    </row>
    <row r="17" spans="1:10" s="15" customFormat="1" ht="18.75" x14ac:dyDescent="0.3">
      <c r="A17" s="18">
        <v>7</v>
      </c>
      <c r="B17" s="188" t="s">
        <v>345</v>
      </c>
      <c r="C17" s="188"/>
      <c r="D17" s="188"/>
      <c r="E17" s="188"/>
      <c r="F17" s="189">
        <v>274.2</v>
      </c>
      <c r="G17" s="189">
        <v>268.60000000000002</v>
      </c>
      <c r="H17" s="186"/>
      <c r="I17" s="186"/>
      <c r="J17" s="190"/>
    </row>
    <row r="18" spans="1:10" s="15" customFormat="1" ht="18.75" x14ac:dyDescent="0.3">
      <c r="A18" s="18">
        <v>8</v>
      </c>
      <c r="B18" s="188" t="s">
        <v>346</v>
      </c>
      <c r="C18" s="188"/>
      <c r="D18" s="188"/>
      <c r="E18" s="188"/>
      <c r="F18" s="189">
        <v>1140</v>
      </c>
      <c r="G18" s="189">
        <v>1178.4000000000001</v>
      </c>
      <c r="H18" s="186"/>
      <c r="I18" s="186"/>
      <c r="J18" s="190"/>
    </row>
    <row r="19" spans="1:10" s="15" customFormat="1" ht="18.75" x14ac:dyDescent="0.3">
      <c r="A19" s="18">
        <v>9</v>
      </c>
      <c r="B19" s="188" t="s">
        <v>347</v>
      </c>
      <c r="C19" s="188"/>
      <c r="D19" s="188"/>
      <c r="E19" s="188"/>
      <c r="F19" s="189">
        <v>561.9</v>
      </c>
      <c r="G19" s="189">
        <v>562.79999999999995</v>
      </c>
      <c r="H19" s="186"/>
      <c r="I19" s="186"/>
      <c r="J19" s="190"/>
    </row>
    <row r="20" spans="1:10" s="15" customFormat="1" ht="26.45" customHeight="1" x14ac:dyDescent="0.3">
      <c r="A20" s="188"/>
      <c r="B20" s="1040" t="s">
        <v>445</v>
      </c>
      <c r="C20" s="1041"/>
      <c r="D20" s="1041"/>
      <c r="E20" s="1042"/>
      <c r="F20" s="191">
        <f>SUM(F11:F19)</f>
        <v>5000</v>
      </c>
      <c r="G20" s="191">
        <f>SUM(G11:G19)</f>
        <v>5000.0000000000009</v>
      </c>
      <c r="H20" s="186"/>
      <c r="I20" s="186"/>
      <c r="J20" s="192"/>
    </row>
    <row r="21" spans="1:10" s="15" customFormat="1" ht="18.75" x14ac:dyDescent="0.3">
      <c r="F21" s="16"/>
    </row>
    <row r="22" spans="1:10" s="15" customFormat="1" ht="18.75" x14ac:dyDescent="0.3">
      <c r="F22" s="16"/>
    </row>
    <row r="23" spans="1:10" s="42" customFormat="1" ht="18.75" x14ac:dyDescent="0.3">
      <c r="A23" s="265" t="s">
        <v>588</v>
      </c>
      <c r="B23" s="47"/>
      <c r="C23" s="48"/>
      <c r="D23" s="48"/>
      <c r="E23" s="48"/>
      <c r="F23" s="49"/>
      <c r="G23" s="55"/>
      <c r="H23" s="45"/>
    </row>
    <row r="24" spans="1:10" s="42" customFormat="1" ht="18.75" x14ac:dyDescent="0.3">
      <c r="A24" s="265" t="s">
        <v>589</v>
      </c>
      <c r="B24" s="47"/>
      <c r="C24" s="48"/>
      <c r="D24" s="48"/>
      <c r="E24" s="48"/>
      <c r="F24" s="49"/>
      <c r="G24" s="55"/>
      <c r="H24" s="45"/>
    </row>
    <row r="25" spans="1:10" s="42" customFormat="1" ht="18.75" x14ac:dyDescent="0.3">
      <c r="A25" s="266" t="s">
        <v>590</v>
      </c>
      <c r="D25" s="48"/>
      <c r="E25" s="48"/>
      <c r="G25" s="38" t="s">
        <v>643</v>
      </c>
    </row>
    <row r="26" spans="1:10" s="15" customFormat="1" ht="18.75" x14ac:dyDescent="0.3">
      <c r="F26" s="16"/>
    </row>
    <row r="27" spans="1:10" s="15" customFormat="1" ht="18.75" x14ac:dyDescent="0.3">
      <c r="F27" s="16"/>
    </row>
    <row r="28" spans="1:10" s="15" customFormat="1" ht="18.75" x14ac:dyDescent="0.3">
      <c r="F28" s="16"/>
    </row>
    <row r="29" spans="1:10" s="15" customFormat="1" ht="18.75" x14ac:dyDescent="0.3">
      <c r="F29" s="16"/>
    </row>
    <row r="30" spans="1:10" s="15" customFormat="1" ht="18.75" x14ac:dyDescent="0.3">
      <c r="F30" s="193"/>
    </row>
    <row r="31" spans="1:10" s="15" customFormat="1" ht="18.75" x14ac:dyDescent="0.3">
      <c r="F31" s="16"/>
    </row>
    <row r="32" spans="1:10" s="15" customFormat="1" ht="18.75" x14ac:dyDescent="0.3">
      <c r="F32" s="16"/>
    </row>
    <row r="33" spans="1:6" s="15" customFormat="1" ht="18.75" x14ac:dyDescent="0.3">
      <c r="A33" s="14"/>
      <c r="B33" s="14"/>
      <c r="C33" s="14"/>
      <c r="D33" s="14"/>
      <c r="F33" s="16"/>
    </row>
    <row r="34" spans="1:6" s="15" customFormat="1" ht="18.75" x14ac:dyDescent="0.3">
      <c r="A34" s="14"/>
      <c r="B34" s="14"/>
      <c r="C34" s="14"/>
      <c r="D34" s="14"/>
      <c r="F34" s="64"/>
    </row>
  </sheetData>
  <mergeCells count="6">
    <mergeCell ref="B10:E10"/>
    <mergeCell ref="B20:E20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30"/>
  <sheetViews>
    <sheetView topLeftCell="A31" zoomScaleNormal="100" zoomScaleSheetLayoutView="75" workbookViewId="0">
      <selection activeCell="C24" sqref="C24"/>
    </sheetView>
  </sheetViews>
  <sheetFormatPr defaultColWidth="9.140625" defaultRowHeight="18.75" x14ac:dyDescent="0.3"/>
  <cols>
    <col min="1" max="1" width="27.140625" style="624" customWidth="1"/>
    <col min="2" max="2" width="60.140625" style="625" customWidth="1"/>
    <col min="3" max="3" width="15.5703125" style="655" customWidth="1"/>
    <col min="4" max="16384" width="9.140625" style="624"/>
  </cols>
  <sheetData>
    <row r="1" spans="1:5" s="219" customFormat="1" x14ac:dyDescent="0.3">
      <c r="C1" s="1" t="s">
        <v>496</v>
      </c>
    </row>
    <row r="2" spans="1:5" s="219" customFormat="1" x14ac:dyDescent="0.3">
      <c r="C2" s="1" t="s">
        <v>0</v>
      </c>
    </row>
    <row r="3" spans="1:5" s="219" customFormat="1" x14ac:dyDescent="0.3">
      <c r="C3" s="1"/>
    </row>
    <row r="4" spans="1:5" x14ac:dyDescent="0.3">
      <c r="C4" s="605" t="s">
        <v>452</v>
      </c>
    </row>
    <row r="5" spans="1:5" x14ac:dyDescent="0.3">
      <c r="C5" s="1" t="s">
        <v>821</v>
      </c>
    </row>
    <row r="8" spans="1:5" ht="36" customHeight="1" x14ac:dyDescent="0.3">
      <c r="A8" s="962" t="s">
        <v>717</v>
      </c>
      <c r="B8" s="962"/>
      <c r="C8" s="962"/>
    </row>
    <row r="10" spans="1:5" x14ac:dyDescent="0.3">
      <c r="C10" s="626" t="s">
        <v>75</v>
      </c>
    </row>
    <row r="11" spans="1:5" ht="20.45" customHeight="1" x14ac:dyDescent="0.3">
      <c r="A11" s="627" t="s">
        <v>64</v>
      </c>
      <c r="B11" s="628" t="s">
        <v>65</v>
      </c>
      <c r="C11" s="629" t="s">
        <v>66</v>
      </c>
    </row>
    <row r="12" spans="1:5" x14ac:dyDescent="0.3">
      <c r="A12" s="627">
        <v>1</v>
      </c>
      <c r="B12" s="628">
        <v>2</v>
      </c>
      <c r="C12" s="630">
        <v>3</v>
      </c>
    </row>
    <row r="13" spans="1:5" x14ac:dyDescent="0.3">
      <c r="A13" s="631" t="s">
        <v>205</v>
      </c>
      <c r="B13" s="632" t="s">
        <v>206</v>
      </c>
      <c r="C13" s="633">
        <f>SUM(C14:C30)</f>
        <v>382909.19999999995</v>
      </c>
      <c r="E13" s="634"/>
    </row>
    <row r="14" spans="1:5" x14ac:dyDescent="0.3">
      <c r="A14" s="358" t="s">
        <v>207</v>
      </c>
      <c r="B14" s="635" t="s">
        <v>208</v>
      </c>
      <c r="C14" s="636">
        <v>3100</v>
      </c>
      <c r="E14" s="637"/>
    </row>
    <row r="15" spans="1:5" x14ac:dyDescent="0.3">
      <c r="A15" s="355" t="s">
        <v>209</v>
      </c>
      <c r="B15" s="638" t="s">
        <v>210</v>
      </c>
      <c r="C15" s="636">
        <f>272614.7+2500</f>
        <v>275114.7</v>
      </c>
      <c r="E15" s="637"/>
    </row>
    <row r="16" spans="1:5" ht="132" customHeight="1" x14ac:dyDescent="0.3">
      <c r="A16" s="639" t="s">
        <v>211</v>
      </c>
      <c r="B16" s="640" t="s">
        <v>603</v>
      </c>
      <c r="C16" s="636">
        <v>4108.3</v>
      </c>
      <c r="E16" s="637"/>
    </row>
    <row r="17" spans="1:5" ht="37.5" x14ac:dyDescent="0.3">
      <c r="A17" s="358" t="s">
        <v>441</v>
      </c>
      <c r="B17" s="640" t="s">
        <v>442</v>
      </c>
      <c r="C17" s="636">
        <v>28564</v>
      </c>
      <c r="E17" s="637"/>
    </row>
    <row r="18" spans="1:5" ht="37.5" x14ac:dyDescent="0.3">
      <c r="A18" s="358" t="s">
        <v>212</v>
      </c>
      <c r="B18" s="640" t="s">
        <v>470</v>
      </c>
      <c r="C18" s="636">
        <v>20615</v>
      </c>
      <c r="E18" s="637"/>
    </row>
    <row r="19" spans="1:5" x14ac:dyDescent="0.3">
      <c r="A19" s="358" t="s">
        <v>213</v>
      </c>
      <c r="B19" s="638" t="s">
        <v>214</v>
      </c>
      <c r="C19" s="636">
        <v>100</v>
      </c>
      <c r="E19" s="637"/>
    </row>
    <row r="20" spans="1:5" ht="37.5" x14ac:dyDescent="0.3">
      <c r="A20" s="358" t="s">
        <v>215</v>
      </c>
      <c r="B20" s="640" t="s">
        <v>216</v>
      </c>
      <c r="C20" s="636">
        <v>715</v>
      </c>
      <c r="E20" s="637"/>
    </row>
    <row r="21" spans="1:5" x14ac:dyDescent="0.3">
      <c r="A21" s="358" t="s">
        <v>217</v>
      </c>
      <c r="B21" s="638" t="s">
        <v>218</v>
      </c>
      <c r="C21" s="636">
        <v>8230</v>
      </c>
      <c r="E21" s="637"/>
    </row>
    <row r="22" spans="1:5" ht="93.75" x14ac:dyDescent="0.3">
      <c r="A22" s="358" t="s">
        <v>219</v>
      </c>
      <c r="B22" s="641" t="s">
        <v>220</v>
      </c>
      <c r="C22" s="636">
        <v>152.6</v>
      </c>
      <c r="E22" s="637"/>
    </row>
    <row r="23" spans="1:5" ht="112.5" x14ac:dyDescent="0.3">
      <c r="A23" s="358" t="s">
        <v>221</v>
      </c>
      <c r="B23" s="640" t="s">
        <v>222</v>
      </c>
      <c r="C23" s="931">
        <f>19860</f>
        <v>19860</v>
      </c>
      <c r="E23" s="637"/>
    </row>
    <row r="24" spans="1:5" ht="56.25" x14ac:dyDescent="0.3">
      <c r="A24" s="358" t="s">
        <v>436</v>
      </c>
      <c r="B24" s="640" t="s">
        <v>39</v>
      </c>
      <c r="C24" s="636">
        <f>1090+796.8</f>
        <v>1886.8</v>
      </c>
      <c r="E24" s="637"/>
    </row>
    <row r="25" spans="1:5" ht="76.150000000000006" customHeight="1" x14ac:dyDescent="0.3">
      <c r="A25" s="358" t="s">
        <v>223</v>
      </c>
      <c r="B25" s="640" t="s">
        <v>224</v>
      </c>
      <c r="C25" s="636">
        <v>17</v>
      </c>
      <c r="E25" s="637"/>
    </row>
    <row r="26" spans="1:5" ht="131.25" x14ac:dyDescent="0.3">
      <c r="A26" s="358" t="s">
        <v>511</v>
      </c>
      <c r="B26" s="640" t="s">
        <v>512</v>
      </c>
      <c r="C26" s="636">
        <f>93+141.8</f>
        <v>234.8</v>
      </c>
      <c r="E26" s="637"/>
    </row>
    <row r="27" spans="1:5" ht="37.5" x14ac:dyDescent="0.3">
      <c r="A27" s="358" t="s">
        <v>225</v>
      </c>
      <c r="B27" s="640" t="s">
        <v>226</v>
      </c>
      <c r="C27" s="636">
        <v>1700</v>
      </c>
      <c r="E27" s="637"/>
    </row>
    <row r="28" spans="1:5" ht="37.5" x14ac:dyDescent="0.3">
      <c r="A28" s="358" t="s">
        <v>640</v>
      </c>
      <c r="B28" s="642" t="s">
        <v>740</v>
      </c>
      <c r="C28" s="636">
        <v>1200</v>
      </c>
      <c r="E28" s="637"/>
    </row>
    <row r="29" spans="1:5" ht="37.5" x14ac:dyDescent="0.3">
      <c r="A29" s="358" t="s">
        <v>227</v>
      </c>
      <c r="B29" s="640" t="s">
        <v>228</v>
      </c>
      <c r="C29" s="636">
        <f>341+5071+70+4729</f>
        <v>10211</v>
      </c>
      <c r="E29" s="637"/>
    </row>
    <row r="30" spans="1:5" ht="22.5" customHeight="1" x14ac:dyDescent="0.3">
      <c r="A30" s="639" t="s">
        <v>229</v>
      </c>
      <c r="B30" s="640" t="s">
        <v>230</v>
      </c>
      <c r="C30" s="636">
        <v>7100</v>
      </c>
      <c r="E30" s="637"/>
    </row>
    <row r="31" spans="1:5" x14ac:dyDescent="0.3">
      <c r="A31" s="643" t="s">
        <v>67</v>
      </c>
      <c r="B31" s="644" t="s">
        <v>443</v>
      </c>
      <c r="C31" s="645">
        <f>C32</f>
        <v>916172.6</v>
      </c>
    </row>
    <row r="32" spans="1:5" ht="56.25" x14ac:dyDescent="0.3">
      <c r="A32" s="646" t="s">
        <v>68</v>
      </c>
      <c r="B32" s="647" t="s">
        <v>69</v>
      </c>
      <c r="C32" s="648">
        <f>C33+C35+C36+C34</f>
        <v>916172.6</v>
      </c>
    </row>
    <row r="33" spans="1:8" s="650" customFormat="1" ht="37.5" x14ac:dyDescent="0.3">
      <c r="A33" s="646" t="s">
        <v>721</v>
      </c>
      <c r="B33" s="649" t="s">
        <v>501</v>
      </c>
      <c r="C33" s="648">
        <f>'прил.4 (пост.безв.19)'!C12</f>
        <v>167450.5</v>
      </c>
    </row>
    <row r="34" spans="1:8" s="650" customFormat="1" ht="36.6" customHeight="1" x14ac:dyDescent="0.3">
      <c r="A34" s="358" t="s">
        <v>723</v>
      </c>
      <c r="B34" s="640" t="s">
        <v>430</v>
      </c>
      <c r="C34" s="648">
        <f>'прил.4 (пост.безв.19)'!C15</f>
        <v>4543.3</v>
      </c>
    </row>
    <row r="35" spans="1:8" ht="37.5" x14ac:dyDescent="0.3">
      <c r="A35" s="651" t="s">
        <v>725</v>
      </c>
      <c r="B35" s="649" t="s">
        <v>500</v>
      </c>
      <c r="C35" s="648">
        <f>'прил.4 (пост.безв.19)'!C20</f>
        <v>742681.89999999991</v>
      </c>
    </row>
    <row r="36" spans="1:8" x14ac:dyDescent="0.3">
      <c r="A36" s="646" t="s">
        <v>814</v>
      </c>
      <c r="B36" s="647" t="s">
        <v>231</v>
      </c>
      <c r="C36" s="888">
        <f>'прил.6 (безв.от пос.19)'!F14</f>
        <v>1496.9</v>
      </c>
    </row>
    <row r="37" spans="1:8" x14ac:dyDescent="0.3">
      <c r="A37" s="652"/>
      <c r="B37" s="644" t="s">
        <v>232</v>
      </c>
      <c r="C37" s="653">
        <f>C31+C13</f>
        <v>1299081.7999999998</v>
      </c>
    </row>
    <row r="38" spans="1:8" ht="60.6" customHeight="1" x14ac:dyDescent="0.3">
      <c r="A38" s="963" t="s">
        <v>444</v>
      </c>
      <c r="B38" s="963"/>
      <c r="C38" s="963"/>
    </row>
    <row r="39" spans="1:8" x14ac:dyDescent="0.3">
      <c r="A39" s="654"/>
    </row>
    <row r="40" spans="1:8" x14ac:dyDescent="0.3">
      <c r="A40" s="654"/>
    </row>
    <row r="41" spans="1:8" s="480" customFormat="1" x14ac:dyDescent="0.3">
      <c r="A41" s="474" t="s">
        <v>588</v>
      </c>
      <c r="B41" s="475"/>
      <c r="C41" s="476"/>
      <c r="D41" s="476"/>
      <c r="E41" s="476"/>
      <c r="F41" s="477"/>
      <c r="G41" s="478"/>
      <c r="H41" s="479"/>
    </row>
    <row r="42" spans="1:8" s="480" customFormat="1" x14ac:dyDescent="0.3">
      <c r="A42" s="474" t="s">
        <v>589</v>
      </c>
      <c r="B42" s="475"/>
      <c r="C42" s="476"/>
      <c r="D42" s="476"/>
      <c r="E42" s="476"/>
      <c r="F42" s="477"/>
      <c r="G42" s="478"/>
      <c r="H42" s="479"/>
    </row>
    <row r="43" spans="1:8" s="480" customFormat="1" x14ac:dyDescent="0.3">
      <c r="A43" s="481" t="s">
        <v>590</v>
      </c>
      <c r="B43" s="475"/>
      <c r="C43" s="623" t="s">
        <v>643</v>
      </c>
      <c r="D43" s="476"/>
      <c r="E43" s="476"/>
      <c r="F43" s="477"/>
    </row>
    <row r="45" spans="1:8" x14ac:dyDescent="0.3">
      <c r="B45" s="656"/>
      <c r="C45" s="657"/>
    </row>
    <row r="46" spans="1:8" x14ac:dyDescent="0.3">
      <c r="B46" s="656"/>
      <c r="C46" s="657"/>
    </row>
    <row r="53" spans="2:3" x14ac:dyDescent="0.3">
      <c r="B53" s="624"/>
      <c r="C53" s="624"/>
    </row>
    <row r="54" spans="2:3" x14ac:dyDescent="0.3">
      <c r="B54" s="624"/>
      <c r="C54" s="624"/>
    </row>
    <row r="55" spans="2:3" x14ac:dyDescent="0.3">
      <c r="B55" s="624"/>
      <c r="C55" s="624"/>
    </row>
    <row r="56" spans="2:3" x14ac:dyDescent="0.3">
      <c r="B56" s="624"/>
      <c r="C56" s="624"/>
    </row>
    <row r="57" spans="2:3" x14ac:dyDescent="0.3">
      <c r="B57" s="624"/>
      <c r="C57" s="624"/>
    </row>
    <row r="58" spans="2:3" x14ac:dyDescent="0.3">
      <c r="B58" s="624"/>
      <c r="C58" s="624"/>
    </row>
    <row r="59" spans="2:3" x14ac:dyDescent="0.3">
      <c r="B59" s="624"/>
      <c r="C59" s="624"/>
    </row>
    <row r="60" spans="2:3" x14ac:dyDescent="0.3">
      <c r="B60" s="624"/>
      <c r="C60" s="624"/>
    </row>
    <row r="61" spans="2:3" x14ac:dyDescent="0.3">
      <c r="B61" s="624"/>
      <c r="C61" s="624"/>
    </row>
    <row r="62" spans="2:3" x14ac:dyDescent="0.3">
      <c r="B62" s="624"/>
      <c r="C62" s="624"/>
    </row>
    <row r="63" spans="2:3" x14ac:dyDescent="0.3">
      <c r="B63" s="624"/>
      <c r="C63" s="624"/>
    </row>
    <row r="64" spans="2:3" x14ac:dyDescent="0.3">
      <c r="B64" s="624"/>
      <c r="C64" s="624"/>
    </row>
    <row r="65" spans="2:3" x14ac:dyDescent="0.3">
      <c r="B65" s="624"/>
      <c r="C65" s="624"/>
    </row>
    <row r="66" spans="2:3" x14ac:dyDescent="0.3">
      <c r="B66" s="624"/>
      <c r="C66" s="624"/>
    </row>
    <row r="67" spans="2:3" x14ac:dyDescent="0.3">
      <c r="B67" s="624"/>
      <c r="C67" s="624"/>
    </row>
    <row r="68" spans="2:3" x14ac:dyDescent="0.3">
      <c r="B68" s="624"/>
      <c r="C68" s="624"/>
    </row>
    <row r="69" spans="2:3" x14ac:dyDescent="0.3">
      <c r="B69" s="624"/>
      <c r="C69" s="624"/>
    </row>
    <row r="70" spans="2:3" x14ac:dyDescent="0.3">
      <c r="B70" s="624"/>
      <c r="C70" s="624"/>
    </row>
    <row r="71" spans="2:3" x14ac:dyDescent="0.3">
      <c r="B71" s="624"/>
      <c r="C71" s="624"/>
    </row>
    <row r="72" spans="2:3" x14ac:dyDescent="0.3">
      <c r="B72" s="624"/>
      <c r="C72" s="624"/>
    </row>
    <row r="73" spans="2:3" x14ac:dyDescent="0.3">
      <c r="B73" s="624"/>
      <c r="C73" s="624"/>
    </row>
    <row r="74" spans="2:3" x14ac:dyDescent="0.3">
      <c r="B74" s="624"/>
      <c r="C74" s="624"/>
    </row>
    <row r="75" spans="2:3" x14ac:dyDescent="0.3">
      <c r="B75" s="624"/>
      <c r="C75" s="624"/>
    </row>
    <row r="76" spans="2:3" x14ac:dyDescent="0.3">
      <c r="B76" s="624"/>
      <c r="C76" s="624"/>
    </row>
    <row r="77" spans="2:3" x14ac:dyDescent="0.3">
      <c r="B77" s="624"/>
      <c r="C77" s="624"/>
    </row>
    <row r="78" spans="2:3" x14ac:dyDescent="0.3">
      <c r="B78" s="624"/>
      <c r="C78" s="624"/>
    </row>
    <row r="79" spans="2:3" x14ac:dyDescent="0.3">
      <c r="B79" s="624"/>
      <c r="C79" s="624"/>
    </row>
    <row r="80" spans="2:3" x14ac:dyDescent="0.3">
      <c r="B80" s="624"/>
      <c r="C80" s="624"/>
    </row>
    <row r="81" spans="2:3" x14ac:dyDescent="0.3">
      <c r="B81" s="624"/>
      <c r="C81" s="624"/>
    </row>
    <row r="82" spans="2:3" x14ac:dyDescent="0.3">
      <c r="B82" s="624"/>
      <c r="C82" s="624"/>
    </row>
    <row r="83" spans="2:3" x14ac:dyDescent="0.3">
      <c r="B83" s="624"/>
      <c r="C83" s="624"/>
    </row>
    <row r="84" spans="2:3" x14ac:dyDescent="0.3">
      <c r="B84" s="624"/>
      <c r="C84" s="624"/>
    </row>
    <row r="85" spans="2:3" x14ac:dyDescent="0.3">
      <c r="B85" s="624"/>
      <c r="C85" s="624"/>
    </row>
    <row r="86" spans="2:3" x14ac:dyDescent="0.3">
      <c r="B86" s="624"/>
      <c r="C86" s="624"/>
    </row>
    <row r="87" spans="2:3" x14ac:dyDescent="0.3">
      <c r="B87" s="624"/>
      <c r="C87" s="624"/>
    </row>
    <row r="88" spans="2:3" x14ac:dyDescent="0.3">
      <c r="B88" s="624"/>
      <c r="C88" s="624"/>
    </row>
    <row r="89" spans="2:3" x14ac:dyDescent="0.3">
      <c r="B89" s="624"/>
      <c r="C89" s="624"/>
    </row>
    <row r="90" spans="2:3" x14ac:dyDescent="0.3">
      <c r="B90" s="624"/>
      <c r="C90" s="624"/>
    </row>
    <row r="91" spans="2:3" x14ac:dyDescent="0.3">
      <c r="B91" s="624"/>
      <c r="C91" s="624"/>
    </row>
    <row r="92" spans="2:3" x14ac:dyDescent="0.3">
      <c r="B92" s="624"/>
      <c r="C92" s="624"/>
    </row>
    <row r="93" spans="2:3" x14ac:dyDescent="0.3">
      <c r="B93" s="624"/>
      <c r="C93" s="624"/>
    </row>
    <row r="94" spans="2:3" x14ac:dyDescent="0.3">
      <c r="B94" s="624"/>
      <c r="C94" s="624"/>
    </row>
    <row r="95" spans="2:3" x14ac:dyDescent="0.3">
      <c r="B95" s="624"/>
      <c r="C95" s="624"/>
    </row>
    <row r="96" spans="2:3" x14ac:dyDescent="0.3">
      <c r="B96" s="624"/>
      <c r="C96" s="624"/>
    </row>
    <row r="97" spans="2:3" x14ac:dyDescent="0.3">
      <c r="B97" s="624"/>
      <c r="C97" s="624"/>
    </row>
    <row r="98" spans="2:3" x14ac:dyDescent="0.3">
      <c r="B98" s="624"/>
      <c r="C98" s="624"/>
    </row>
    <row r="99" spans="2:3" x14ac:dyDescent="0.3">
      <c r="B99" s="624"/>
      <c r="C99" s="624"/>
    </row>
    <row r="100" spans="2:3" x14ac:dyDescent="0.3">
      <c r="B100" s="624"/>
      <c r="C100" s="624"/>
    </row>
    <row r="101" spans="2:3" x14ac:dyDescent="0.3">
      <c r="B101" s="624"/>
      <c r="C101" s="624"/>
    </row>
    <row r="102" spans="2:3" x14ac:dyDescent="0.3">
      <c r="B102" s="624"/>
      <c r="C102" s="624"/>
    </row>
    <row r="103" spans="2:3" x14ac:dyDescent="0.3">
      <c r="B103" s="624"/>
      <c r="C103" s="624"/>
    </row>
    <row r="104" spans="2:3" x14ac:dyDescent="0.3">
      <c r="B104" s="624"/>
      <c r="C104" s="624"/>
    </row>
    <row r="105" spans="2:3" x14ac:dyDescent="0.3">
      <c r="B105" s="624"/>
      <c r="C105" s="624"/>
    </row>
    <row r="106" spans="2:3" x14ac:dyDescent="0.3">
      <c r="B106" s="624"/>
      <c r="C106" s="624"/>
    </row>
    <row r="107" spans="2:3" x14ac:dyDescent="0.3">
      <c r="B107" s="624"/>
      <c r="C107" s="624"/>
    </row>
    <row r="108" spans="2:3" x14ac:dyDescent="0.3">
      <c r="B108" s="624"/>
      <c r="C108" s="624"/>
    </row>
    <row r="109" spans="2:3" x14ac:dyDescent="0.3">
      <c r="B109" s="624"/>
      <c r="C109" s="624"/>
    </row>
    <row r="110" spans="2:3" x14ac:dyDescent="0.3">
      <c r="B110" s="624"/>
      <c r="C110" s="624"/>
    </row>
    <row r="111" spans="2:3" x14ac:dyDescent="0.3">
      <c r="B111" s="624"/>
      <c r="C111" s="624"/>
    </row>
    <row r="112" spans="2:3" x14ac:dyDescent="0.3">
      <c r="B112" s="624"/>
      <c r="C112" s="624"/>
    </row>
    <row r="113" spans="2:3" x14ac:dyDescent="0.3">
      <c r="B113" s="624"/>
      <c r="C113" s="624"/>
    </row>
    <row r="114" spans="2:3" x14ac:dyDescent="0.3">
      <c r="B114" s="624"/>
      <c r="C114" s="624"/>
    </row>
    <row r="115" spans="2:3" x14ac:dyDescent="0.3">
      <c r="B115" s="624"/>
      <c r="C115" s="624"/>
    </row>
    <row r="116" spans="2:3" x14ac:dyDescent="0.3">
      <c r="B116" s="624"/>
      <c r="C116" s="624"/>
    </row>
    <row r="117" spans="2:3" x14ac:dyDescent="0.3">
      <c r="B117" s="624"/>
      <c r="C117" s="624"/>
    </row>
    <row r="118" spans="2:3" x14ac:dyDescent="0.3">
      <c r="B118" s="624"/>
      <c r="C118" s="624"/>
    </row>
    <row r="119" spans="2:3" x14ac:dyDescent="0.3">
      <c r="B119" s="624"/>
      <c r="C119" s="624"/>
    </row>
    <row r="120" spans="2:3" x14ac:dyDescent="0.3">
      <c r="B120" s="624"/>
      <c r="C120" s="624"/>
    </row>
    <row r="121" spans="2:3" x14ac:dyDescent="0.3">
      <c r="B121" s="624"/>
      <c r="C121" s="624"/>
    </row>
    <row r="122" spans="2:3" x14ac:dyDescent="0.3">
      <c r="B122" s="624"/>
      <c r="C122" s="624"/>
    </row>
    <row r="123" spans="2:3" x14ac:dyDescent="0.3">
      <c r="B123" s="624"/>
      <c r="C123" s="624"/>
    </row>
    <row r="124" spans="2:3" x14ac:dyDescent="0.3">
      <c r="B124" s="624"/>
      <c r="C124" s="624"/>
    </row>
    <row r="125" spans="2:3" x14ac:dyDescent="0.3">
      <c r="B125" s="624"/>
      <c r="C125" s="624"/>
    </row>
    <row r="126" spans="2:3" x14ac:dyDescent="0.3">
      <c r="B126" s="624"/>
      <c r="C126" s="624"/>
    </row>
    <row r="127" spans="2:3" x14ac:dyDescent="0.3">
      <c r="B127" s="624"/>
      <c r="C127" s="624"/>
    </row>
    <row r="128" spans="2:3" x14ac:dyDescent="0.3">
      <c r="B128" s="624"/>
      <c r="C128" s="624"/>
    </row>
    <row r="129" spans="2:3" x14ac:dyDescent="0.3">
      <c r="B129" s="624"/>
      <c r="C129" s="624"/>
    </row>
    <row r="130" spans="2:3" x14ac:dyDescent="0.3">
      <c r="B130" s="624"/>
      <c r="C130" s="624"/>
    </row>
  </sheetData>
  <mergeCells count="2">
    <mergeCell ref="A8:C8"/>
    <mergeCell ref="A38:C3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2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5"/>
  <sheetViews>
    <sheetView zoomScale="90" zoomScaleNormal="90" zoomScaleSheetLayoutView="75" workbookViewId="0">
      <selection activeCell="C31" sqref="C31"/>
    </sheetView>
  </sheetViews>
  <sheetFormatPr defaultColWidth="9.140625" defaultRowHeight="18.75" x14ac:dyDescent="0.3"/>
  <cols>
    <col min="1" max="1" width="4.85546875" style="20" customWidth="1"/>
    <col min="2" max="2" width="76" style="184" customWidth="1"/>
    <col min="3" max="3" width="12" style="184" customWidth="1"/>
    <col min="4" max="4" width="12.5703125" style="20" customWidth="1"/>
    <col min="5" max="16384" width="9.140625" style="20"/>
  </cols>
  <sheetData>
    <row r="1" spans="1:8" s="56" customFormat="1" x14ac:dyDescent="0.3">
      <c r="D1" s="1" t="s">
        <v>753</v>
      </c>
    </row>
    <row r="2" spans="1:8" s="56" customFormat="1" x14ac:dyDescent="0.3">
      <c r="D2" s="1" t="s">
        <v>0</v>
      </c>
    </row>
    <row r="3" spans="1:8" s="56" customFormat="1" x14ac:dyDescent="0.3">
      <c r="D3" s="1"/>
    </row>
    <row r="4" spans="1:8" x14ac:dyDescent="0.3">
      <c r="D4" s="1" t="s">
        <v>768</v>
      </c>
    </row>
    <row r="5" spans="1:8" x14ac:dyDescent="0.3">
      <c r="D5" s="1" t="s">
        <v>821</v>
      </c>
    </row>
    <row r="6" spans="1:8" s="56" customFormat="1" ht="17.45" customHeight="1" x14ac:dyDescent="0.3">
      <c r="A6" s="20"/>
      <c r="B6" s="20"/>
      <c r="C6" s="20"/>
    </row>
    <row r="8" spans="1:8" s="299" customFormat="1" x14ac:dyDescent="0.3">
      <c r="A8" s="1048" t="s">
        <v>557</v>
      </c>
      <c r="B8" s="1049"/>
      <c r="C8" s="1049"/>
      <c r="D8" s="1049"/>
    </row>
    <row r="9" spans="1:8" s="299" customFormat="1" ht="20.45" customHeight="1" x14ac:dyDescent="0.3">
      <c r="A9" s="1050" t="s">
        <v>769</v>
      </c>
      <c r="B9" s="1051"/>
      <c r="C9" s="1051"/>
      <c r="D9" s="1051"/>
    </row>
    <row r="10" spans="1:8" s="299" customFormat="1" x14ac:dyDescent="0.3">
      <c r="A10" s="300"/>
      <c r="B10" s="301"/>
      <c r="C10" s="301"/>
    </row>
    <row r="11" spans="1:8" s="299" customFormat="1" ht="36" customHeight="1" x14ac:dyDescent="0.3">
      <c r="A11" s="1052" t="s">
        <v>770</v>
      </c>
      <c r="B11" s="1053"/>
      <c r="C11" s="1053"/>
      <c r="D11" s="1053"/>
    </row>
    <row r="12" spans="1:8" s="299" customFormat="1" x14ac:dyDescent="0.3">
      <c r="A12" s="300"/>
      <c r="B12" s="301"/>
      <c r="C12" s="301"/>
    </row>
    <row r="13" spans="1:8" s="299" customFormat="1" x14ac:dyDescent="0.3">
      <c r="A13" s="300"/>
      <c r="B13" s="301"/>
      <c r="C13" s="301"/>
      <c r="D13" s="302" t="s">
        <v>337</v>
      </c>
    </row>
    <row r="14" spans="1:8" s="299" customFormat="1" ht="37.5" x14ac:dyDescent="0.3">
      <c r="A14" s="303" t="s">
        <v>338</v>
      </c>
      <c r="B14" s="304" t="s">
        <v>558</v>
      </c>
      <c r="C14" s="305"/>
      <c r="D14" s="305" t="s">
        <v>348</v>
      </c>
    </row>
    <row r="15" spans="1:8" s="299" customFormat="1" x14ac:dyDescent="0.3">
      <c r="A15" s="303">
        <v>1</v>
      </c>
      <c r="B15" s="303">
        <v>2</v>
      </c>
      <c r="C15" s="306"/>
      <c r="D15" s="305">
        <v>3</v>
      </c>
    </row>
    <row r="16" spans="1:8" s="299" customFormat="1" ht="56.25" x14ac:dyDescent="0.3">
      <c r="A16" s="1054" t="s">
        <v>339</v>
      </c>
      <c r="B16" s="307" t="s">
        <v>351</v>
      </c>
      <c r="C16" s="308"/>
      <c r="D16" s="337">
        <f>D18-D19</f>
        <v>0</v>
      </c>
      <c r="F16" s="309"/>
      <c r="G16" s="309"/>
      <c r="H16" s="309"/>
    </row>
    <row r="17" spans="1:8" s="299" customFormat="1" x14ac:dyDescent="0.3">
      <c r="A17" s="1055"/>
      <c r="B17" s="310" t="s">
        <v>236</v>
      </c>
      <c r="C17" s="311"/>
      <c r="D17" s="338"/>
      <c r="F17" s="309"/>
      <c r="G17" s="309"/>
      <c r="H17" s="309"/>
    </row>
    <row r="18" spans="1:8" s="299" customFormat="1" x14ac:dyDescent="0.3">
      <c r="A18" s="1055"/>
      <c r="B18" s="310" t="s">
        <v>349</v>
      </c>
      <c r="C18" s="311"/>
      <c r="D18" s="338">
        <f>6240+1560</f>
        <v>7800</v>
      </c>
      <c r="F18" s="312"/>
      <c r="G18" s="312"/>
      <c r="H18" s="309"/>
    </row>
    <row r="19" spans="1:8" s="299" customFormat="1" x14ac:dyDescent="0.3">
      <c r="A19" s="1055"/>
      <c r="B19" s="313" t="s">
        <v>350</v>
      </c>
      <c r="C19" s="314"/>
      <c r="D19" s="603">
        <v>7800</v>
      </c>
    </row>
    <row r="20" spans="1:8" s="299" customFormat="1" x14ac:dyDescent="0.3">
      <c r="B20" s="528"/>
      <c r="C20" s="528"/>
      <c r="D20" s="318"/>
    </row>
    <row r="21" spans="1:8" s="299" customFormat="1" ht="42" customHeight="1" x14ac:dyDescent="0.3">
      <c r="A21" s="1056" t="s">
        <v>771</v>
      </c>
      <c r="B21" s="1057"/>
      <c r="C21" s="1057"/>
      <c r="D21" s="1057"/>
    </row>
    <row r="22" spans="1:8" s="299" customFormat="1" x14ac:dyDescent="0.3">
      <c r="A22" s="300"/>
      <c r="B22" s="301"/>
      <c r="C22" s="301"/>
    </row>
    <row r="23" spans="1:8" s="299" customFormat="1" x14ac:dyDescent="0.3">
      <c r="A23" s="300"/>
      <c r="B23" s="301"/>
      <c r="C23" s="301"/>
      <c r="D23" s="302" t="s">
        <v>337</v>
      </c>
    </row>
    <row r="24" spans="1:8" s="299" customFormat="1" ht="21.6" customHeight="1" x14ac:dyDescent="0.3">
      <c r="A24" s="1058" t="s">
        <v>338</v>
      </c>
      <c r="B24" s="1058" t="s">
        <v>558</v>
      </c>
      <c r="C24" s="1046" t="s">
        <v>348</v>
      </c>
      <c r="D24" s="1046"/>
    </row>
    <row r="25" spans="1:8" s="299" customFormat="1" ht="25.15" customHeight="1" x14ac:dyDescent="0.3">
      <c r="A25" s="1058"/>
      <c r="B25" s="1058"/>
      <c r="C25" s="529" t="s">
        <v>591</v>
      </c>
      <c r="D25" s="529" t="s">
        <v>719</v>
      </c>
    </row>
    <row r="26" spans="1:8" s="299" customFormat="1" x14ac:dyDescent="0.3">
      <c r="A26" s="529">
        <v>1</v>
      </c>
      <c r="B26" s="529">
        <v>2</v>
      </c>
      <c r="C26" s="529">
        <v>3</v>
      </c>
      <c r="D26" s="529">
        <v>4</v>
      </c>
    </row>
    <row r="27" spans="1:8" s="299" customFormat="1" ht="56.25" customHeight="1" x14ac:dyDescent="0.3">
      <c r="A27" s="1047" t="s">
        <v>339</v>
      </c>
      <c r="B27" s="319" t="s">
        <v>351</v>
      </c>
      <c r="C27" s="337">
        <f>C29-C30</f>
        <v>-7800</v>
      </c>
      <c r="D27" s="315">
        <f>D29-D30</f>
        <v>0</v>
      </c>
    </row>
    <row r="28" spans="1:8" s="299" customFormat="1" ht="17.100000000000001" customHeight="1" x14ac:dyDescent="0.3">
      <c r="A28" s="1047"/>
      <c r="B28" s="320" t="s">
        <v>236</v>
      </c>
      <c r="C28" s="339"/>
      <c r="D28" s="316"/>
    </row>
    <row r="29" spans="1:8" s="299" customFormat="1" ht="17.100000000000001" customHeight="1" x14ac:dyDescent="0.3">
      <c r="A29" s="1047"/>
      <c r="B29" s="320" t="s">
        <v>349</v>
      </c>
      <c r="C29" s="339">
        <v>0</v>
      </c>
      <c r="D29" s="316">
        <v>0</v>
      </c>
    </row>
    <row r="30" spans="1:8" s="299" customFormat="1" ht="18" customHeight="1" x14ac:dyDescent="0.3">
      <c r="A30" s="1047"/>
      <c r="B30" s="321" t="s">
        <v>350</v>
      </c>
      <c r="C30" s="340">
        <f>6240+1560</f>
        <v>7800</v>
      </c>
      <c r="D30" s="317">
        <v>0</v>
      </c>
    </row>
    <row r="31" spans="1:8" ht="16.5" customHeight="1" x14ac:dyDescent="0.3">
      <c r="A31" s="275"/>
      <c r="B31" s="276"/>
      <c r="C31" s="276"/>
      <c r="D31" s="277"/>
    </row>
    <row r="33" spans="1:8" s="42" customFormat="1" x14ac:dyDescent="0.3">
      <c r="A33" s="265" t="s">
        <v>588</v>
      </c>
      <c r="B33" s="47"/>
      <c r="C33" s="48"/>
      <c r="D33" s="48"/>
      <c r="E33" s="48"/>
      <c r="F33" s="49"/>
      <c r="G33" s="55"/>
      <c r="H33" s="45"/>
    </row>
    <row r="34" spans="1:8" s="42" customFormat="1" x14ac:dyDescent="0.3">
      <c r="A34" s="265" t="s">
        <v>589</v>
      </c>
      <c r="B34" s="47"/>
      <c r="C34" s="48"/>
      <c r="E34" s="48"/>
      <c r="F34" s="49"/>
      <c r="G34" s="55"/>
      <c r="H34" s="45"/>
    </row>
    <row r="35" spans="1:8" s="42" customFormat="1" x14ac:dyDescent="0.3">
      <c r="A35" s="266" t="s">
        <v>590</v>
      </c>
      <c r="D35" s="38" t="s">
        <v>643</v>
      </c>
      <c r="E35" s="48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8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O25"/>
  <sheetViews>
    <sheetView zoomScale="80" zoomScaleNormal="80" zoomScaleSheetLayoutView="75" workbookViewId="0">
      <selection activeCell="M15" sqref="M15"/>
    </sheetView>
  </sheetViews>
  <sheetFormatPr defaultColWidth="9.140625" defaultRowHeight="18.75" x14ac:dyDescent="0.3"/>
  <cols>
    <col min="1" max="1" width="5.28515625" style="173" customWidth="1"/>
    <col min="2" max="2" width="7" style="173" customWidth="1"/>
    <col min="3" max="3" width="11.28515625" style="173" customWidth="1"/>
    <col min="4" max="4" width="16.28515625" style="173" customWidth="1"/>
    <col min="5" max="5" width="7" style="173" customWidth="1"/>
    <col min="6" max="6" width="6.7109375" style="173" customWidth="1"/>
    <col min="7" max="7" width="7.7109375" style="173" customWidth="1"/>
    <col min="8" max="8" width="16.28515625" style="173" customWidth="1"/>
    <col min="9" max="9" width="16.7109375" style="173" customWidth="1"/>
    <col min="10" max="10" width="15.85546875" style="173" customWidth="1"/>
    <col min="11" max="11" width="11.28515625" style="173" customWidth="1"/>
    <col min="12" max="16384" width="9.140625" style="173"/>
  </cols>
  <sheetData>
    <row r="1" spans="1:15" x14ac:dyDescent="0.3">
      <c r="F1" s="11"/>
      <c r="G1" s="11"/>
      <c r="K1" s="82" t="s">
        <v>772</v>
      </c>
    </row>
    <row r="2" spans="1:15" x14ac:dyDescent="0.3">
      <c r="F2" s="11"/>
      <c r="G2" s="11"/>
      <c r="K2" s="13" t="s">
        <v>0</v>
      </c>
    </row>
    <row r="5" spans="1:15" s="322" customFormat="1" x14ac:dyDescent="0.3">
      <c r="A5" s="1064" t="s">
        <v>352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</row>
    <row r="6" spans="1:15" s="322" customFormat="1" x14ac:dyDescent="0.3">
      <c r="A6" s="1064" t="s">
        <v>773</v>
      </c>
      <c r="B6" s="1065"/>
      <c r="C6" s="1065"/>
      <c r="D6" s="1065"/>
      <c r="E6" s="1065"/>
      <c r="F6" s="1065"/>
      <c r="G6" s="1065"/>
      <c r="H6" s="1065"/>
      <c r="I6" s="1065"/>
      <c r="J6" s="1065"/>
      <c r="K6" s="1065"/>
    </row>
    <row r="7" spans="1:15" s="322" customFormat="1" x14ac:dyDescent="0.3">
      <c r="C7" s="323"/>
      <c r="D7" s="323"/>
      <c r="E7" s="323"/>
      <c r="F7" s="323"/>
      <c r="G7" s="323"/>
      <c r="H7" s="323"/>
      <c r="I7" s="323"/>
      <c r="J7" s="323"/>
      <c r="K7" s="323"/>
    </row>
    <row r="8" spans="1:15" s="322" customFormat="1" ht="39.6" customHeight="1" x14ac:dyDescent="0.3">
      <c r="A8" s="1066" t="s">
        <v>774</v>
      </c>
      <c r="B8" s="1067"/>
      <c r="C8" s="1067"/>
      <c r="D8" s="1067"/>
      <c r="E8" s="1067"/>
      <c r="F8" s="1067"/>
      <c r="G8" s="1067"/>
      <c r="H8" s="1067"/>
      <c r="I8" s="1067"/>
      <c r="J8" s="1067"/>
      <c r="K8" s="1067"/>
    </row>
    <row r="9" spans="1:15" s="322" customFormat="1" x14ac:dyDescent="0.3"/>
    <row r="10" spans="1:15" s="322" customFormat="1" ht="38.25" customHeight="1" x14ac:dyDescent="0.3">
      <c r="A10" s="1068" t="s">
        <v>234</v>
      </c>
      <c r="B10" s="1070" t="s">
        <v>559</v>
      </c>
      <c r="C10" s="1071"/>
      <c r="D10" s="1074" t="s">
        <v>353</v>
      </c>
      <c r="E10" s="1076" t="s">
        <v>354</v>
      </c>
      <c r="F10" s="1077"/>
      <c r="G10" s="1078"/>
      <c r="H10" s="1062" t="s">
        <v>355</v>
      </c>
      <c r="I10" s="1079"/>
      <c r="J10" s="1079"/>
      <c r="K10" s="1063"/>
    </row>
    <row r="11" spans="1:15" s="322" customFormat="1" ht="110.45" customHeight="1" x14ac:dyDescent="0.3">
      <c r="A11" s="1069"/>
      <c r="B11" s="1072"/>
      <c r="C11" s="1073"/>
      <c r="D11" s="1075"/>
      <c r="E11" s="530" t="s">
        <v>515</v>
      </c>
      <c r="F11" s="530" t="s">
        <v>591</v>
      </c>
      <c r="G11" s="530" t="s">
        <v>719</v>
      </c>
      <c r="H11" s="530" t="s">
        <v>356</v>
      </c>
      <c r="I11" s="530" t="s">
        <v>357</v>
      </c>
      <c r="J11" s="324" t="s">
        <v>560</v>
      </c>
      <c r="K11" s="530" t="s">
        <v>358</v>
      </c>
      <c r="O11" s="325"/>
    </row>
    <row r="12" spans="1:15" s="322" customFormat="1" x14ac:dyDescent="0.3">
      <c r="A12" s="531">
        <v>1</v>
      </c>
      <c r="B12" s="1062">
        <v>2</v>
      </c>
      <c r="C12" s="1063"/>
      <c r="D12" s="531">
        <v>3</v>
      </c>
      <c r="E12" s="531">
        <v>4</v>
      </c>
      <c r="F12" s="531">
        <v>5</v>
      </c>
      <c r="G12" s="531">
        <v>6</v>
      </c>
      <c r="H12" s="531">
        <v>7</v>
      </c>
      <c r="I12" s="531">
        <v>8</v>
      </c>
      <c r="J12" s="531">
        <v>9</v>
      </c>
      <c r="K12" s="531">
        <v>10</v>
      </c>
    </row>
    <row r="13" spans="1:15" s="322" customFormat="1" x14ac:dyDescent="0.3">
      <c r="A13" s="326"/>
      <c r="B13" s="1062" t="s">
        <v>359</v>
      </c>
      <c r="C13" s="1063"/>
      <c r="D13" s="531" t="s">
        <v>359</v>
      </c>
      <c r="E13" s="531" t="s">
        <v>359</v>
      </c>
      <c r="F13" s="531" t="s">
        <v>359</v>
      </c>
      <c r="G13" s="531" t="s">
        <v>359</v>
      </c>
      <c r="H13" s="531" t="s">
        <v>359</v>
      </c>
      <c r="I13" s="531" t="s">
        <v>359</v>
      </c>
      <c r="J13" s="531" t="s">
        <v>359</v>
      </c>
      <c r="K13" s="531" t="s">
        <v>359</v>
      </c>
    </row>
    <row r="14" spans="1:15" s="322" customFormat="1" x14ac:dyDescent="0.3"/>
    <row r="15" spans="1:15" s="322" customFormat="1" ht="58.9" customHeight="1" x14ac:dyDescent="0.3">
      <c r="A15" s="1066" t="s">
        <v>775</v>
      </c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</row>
    <row r="16" spans="1:15" s="322" customFormat="1" x14ac:dyDescent="0.3"/>
    <row r="17" spans="1:11" s="322" customFormat="1" ht="18.75" customHeight="1" x14ac:dyDescent="0.3">
      <c r="A17" s="1070" t="s">
        <v>360</v>
      </c>
      <c r="B17" s="1080"/>
      <c r="C17" s="1080"/>
      <c r="D17" s="1080"/>
      <c r="E17" s="1080"/>
      <c r="F17" s="1080"/>
      <c r="G17" s="1080"/>
      <c r="H17" s="1081"/>
      <c r="I17" s="1085" t="s">
        <v>361</v>
      </c>
      <c r="J17" s="1086"/>
      <c r="K17" s="1087"/>
    </row>
    <row r="18" spans="1:11" s="322" customFormat="1" ht="42.6" customHeight="1" x14ac:dyDescent="0.3">
      <c r="A18" s="1082"/>
      <c r="B18" s="1083"/>
      <c r="C18" s="1083"/>
      <c r="D18" s="1083"/>
      <c r="E18" s="1083"/>
      <c r="F18" s="1083"/>
      <c r="G18" s="1083"/>
      <c r="H18" s="1084"/>
      <c r="I18" s="530" t="s">
        <v>515</v>
      </c>
      <c r="J18" s="530" t="s">
        <v>591</v>
      </c>
      <c r="K18" s="530" t="s">
        <v>719</v>
      </c>
    </row>
    <row r="19" spans="1:11" s="322" customFormat="1" x14ac:dyDescent="0.3">
      <c r="A19" s="1088">
        <v>1</v>
      </c>
      <c r="B19" s="1089"/>
      <c r="C19" s="1089"/>
      <c r="D19" s="1089"/>
      <c r="E19" s="1089"/>
      <c r="F19" s="1089"/>
      <c r="G19" s="1089"/>
      <c r="H19" s="1090"/>
      <c r="I19" s="327">
        <v>2</v>
      </c>
      <c r="J19" s="327">
        <v>3</v>
      </c>
      <c r="K19" s="327">
        <v>4</v>
      </c>
    </row>
    <row r="20" spans="1:11" s="322" customFormat="1" ht="37.15" customHeight="1" x14ac:dyDescent="0.3">
      <c r="A20" s="1059" t="s">
        <v>809</v>
      </c>
      <c r="B20" s="1060"/>
      <c r="C20" s="1060"/>
      <c r="D20" s="1060"/>
      <c r="E20" s="1060"/>
      <c r="F20" s="1060"/>
      <c r="G20" s="1060"/>
      <c r="H20" s="1061"/>
      <c r="I20" s="328" t="s">
        <v>359</v>
      </c>
      <c r="J20" s="531" t="s">
        <v>359</v>
      </c>
      <c r="K20" s="531" t="s">
        <v>359</v>
      </c>
    </row>
    <row r="23" spans="1:11" s="42" customFormat="1" x14ac:dyDescent="0.3">
      <c r="A23" s="265" t="s">
        <v>588</v>
      </c>
      <c r="B23" s="47"/>
      <c r="C23" s="48"/>
      <c r="D23" s="48"/>
      <c r="E23" s="48"/>
      <c r="F23" s="49"/>
      <c r="G23" s="55"/>
      <c r="H23" s="45"/>
    </row>
    <row r="24" spans="1:11" s="42" customFormat="1" x14ac:dyDescent="0.3">
      <c r="A24" s="265" t="s">
        <v>589</v>
      </c>
      <c r="B24" s="47"/>
      <c r="C24" s="48"/>
      <c r="E24" s="48"/>
      <c r="F24" s="49"/>
      <c r="G24" s="55"/>
      <c r="H24" s="45"/>
    </row>
    <row r="25" spans="1:11" s="42" customFormat="1" x14ac:dyDescent="0.3">
      <c r="A25" s="266" t="s">
        <v>590</v>
      </c>
      <c r="E25" s="48"/>
      <c r="K25" s="38" t="s">
        <v>643</v>
      </c>
    </row>
  </sheetData>
  <mergeCells count="15">
    <mergeCell ref="A20:H20"/>
    <mergeCell ref="B12:C12"/>
    <mergeCell ref="A5:K5"/>
    <mergeCell ref="A6:K6"/>
    <mergeCell ref="A8:K8"/>
    <mergeCell ref="A10:A11"/>
    <mergeCell ref="B10:C11"/>
    <mergeCell ref="D10:D11"/>
    <mergeCell ref="E10:G10"/>
    <mergeCell ref="H10:K10"/>
    <mergeCell ref="B13:C13"/>
    <mergeCell ref="A15:K15"/>
    <mergeCell ref="A17:H18"/>
    <mergeCell ref="I17:K17"/>
    <mergeCell ref="A19:H19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30"/>
  <sheetViews>
    <sheetView topLeftCell="A31" zoomScaleNormal="100" zoomScaleSheetLayoutView="75" workbookViewId="0">
      <selection activeCell="C16" sqref="C16"/>
    </sheetView>
  </sheetViews>
  <sheetFormatPr defaultColWidth="9.140625" defaultRowHeight="18.75" x14ac:dyDescent="0.3"/>
  <cols>
    <col min="1" max="1" width="28.5703125" style="624" customWidth="1"/>
    <col min="2" max="2" width="55.28515625" style="625" customWidth="1"/>
    <col min="3" max="3" width="15.42578125" style="655" customWidth="1"/>
    <col min="4" max="4" width="16" style="624" customWidth="1"/>
    <col min="5" max="16384" width="9.140625" style="624"/>
  </cols>
  <sheetData>
    <row r="1" spans="1:8" s="219" customFormat="1" x14ac:dyDescent="0.3">
      <c r="D1" s="1" t="s">
        <v>452</v>
      </c>
    </row>
    <row r="2" spans="1:8" s="219" customFormat="1" x14ac:dyDescent="0.3">
      <c r="D2" s="1" t="s">
        <v>0</v>
      </c>
    </row>
    <row r="3" spans="1:8" s="219" customFormat="1" x14ac:dyDescent="0.3">
      <c r="D3" s="1"/>
    </row>
    <row r="4" spans="1:8" x14ac:dyDescent="0.3">
      <c r="D4" s="605" t="s">
        <v>497</v>
      </c>
    </row>
    <row r="5" spans="1:8" x14ac:dyDescent="0.3">
      <c r="D5" s="1" t="s">
        <v>821</v>
      </c>
    </row>
    <row r="8" spans="1:8" ht="36" customHeight="1" x14ac:dyDescent="0.3">
      <c r="A8" s="962" t="s">
        <v>718</v>
      </c>
      <c r="B8" s="962"/>
      <c r="C8" s="962"/>
      <c r="D8" s="962"/>
    </row>
    <row r="10" spans="1:8" x14ac:dyDescent="0.3">
      <c r="D10" s="626" t="s">
        <v>75</v>
      </c>
    </row>
    <row r="11" spans="1:8" x14ac:dyDescent="0.3">
      <c r="A11" s="965" t="s">
        <v>64</v>
      </c>
      <c r="B11" s="966" t="s">
        <v>65</v>
      </c>
      <c r="C11" s="964" t="s">
        <v>66</v>
      </c>
      <c r="D11" s="964"/>
    </row>
    <row r="12" spans="1:8" ht="20.45" customHeight="1" x14ac:dyDescent="0.3">
      <c r="A12" s="965"/>
      <c r="B12" s="966"/>
      <c r="C12" s="629" t="s">
        <v>591</v>
      </c>
      <c r="D12" s="629" t="s">
        <v>719</v>
      </c>
    </row>
    <row r="13" spans="1:8" x14ac:dyDescent="0.3">
      <c r="A13" s="627">
        <v>1</v>
      </c>
      <c r="B13" s="628">
        <v>2</v>
      </c>
      <c r="C13" s="630">
        <v>3</v>
      </c>
      <c r="D13" s="630">
        <v>4</v>
      </c>
    </row>
    <row r="14" spans="1:8" x14ac:dyDescent="0.3">
      <c r="A14" s="631" t="s">
        <v>205</v>
      </c>
      <c r="B14" s="658" t="s">
        <v>206</v>
      </c>
      <c r="C14" s="633">
        <f>SUM(C15:C31)</f>
        <v>385727.49999999994</v>
      </c>
      <c r="D14" s="633">
        <f>SUM(D15:D31)</f>
        <v>353930.39999999991</v>
      </c>
      <c r="F14" s="637"/>
      <c r="G14" s="634"/>
      <c r="H14" s="637"/>
    </row>
    <row r="15" spans="1:8" x14ac:dyDescent="0.3">
      <c r="A15" s="358" t="s">
        <v>207</v>
      </c>
      <c r="B15" s="635" t="s">
        <v>208</v>
      </c>
      <c r="C15" s="636">
        <v>3737.7</v>
      </c>
      <c r="D15" s="659">
        <v>4098.3999999999996</v>
      </c>
    </row>
    <row r="16" spans="1:8" x14ac:dyDescent="0.3">
      <c r="A16" s="358" t="s">
        <v>209</v>
      </c>
      <c r="B16" s="638" t="s">
        <v>210</v>
      </c>
      <c r="C16" s="931">
        <f>283856.8-6240+1560</f>
        <v>279176.8</v>
      </c>
      <c r="D16" s="659">
        <v>252083.3</v>
      </c>
    </row>
    <row r="17" spans="1:4" ht="127.15" customHeight="1" x14ac:dyDescent="0.3">
      <c r="A17" s="639" t="s">
        <v>211</v>
      </c>
      <c r="B17" s="640" t="s">
        <v>603</v>
      </c>
      <c r="C17" s="636">
        <v>4174.1000000000004</v>
      </c>
      <c r="D17" s="659">
        <v>4240.8</v>
      </c>
    </row>
    <row r="18" spans="1:4" ht="37.5" x14ac:dyDescent="0.3">
      <c r="A18" s="358" t="s">
        <v>441</v>
      </c>
      <c r="B18" s="640" t="s">
        <v>442</v>
      </c>
      <c r="C18" s="636">
        <v>31706</v>
      </c>
      <c r="D18" s="659">
        <v>35193.699999999997</v>
      </c>
    </row>
    <row r="19" spans="1:4" ht="37.5" x14ac:dyDescent="0.3">
      <c r="A19" s="358" t="s">
        <v>212</v>
      </c>
      <c r="B19" s="640" t="s">
        <v>470</v>
      </c>
      <c r="C19" s="636">
        <v>19376</v>
      </c>
      <c r="D19" s="659">
        <v>10000</v>
      </c>
    </row>
    <row r="20" spans="1:4" x14ac:dyDescent="0.3">
      <c r="A20" s="358" t="s">
        <v>213</v>
      </c>
      <c r="B20" s="638" t="s">
        <v>214</v>
      </c>
      <c r="C20" s="636">
        <v>100</v>
      </c>
      <c r="D20" s="659">
        <v>100</v>
      </c>
    </row>
    <row r="21" spans="1:4" ht="37.5" x14ac:dyDescent="0.3">
      <c r="A21" s="358" t="s">
        <v>215</v>
      </c>
      <c r="B21" s="640" t="s">
        <v>216</v>
      </c>
      <c r="C21" s="636">
        <v>793.7</v>
      </c>
      <c r="D21" s="659">
        <v>873</v>
      </c>
    </row>
    <row r="22" spans="1:4" x14ac:dyDescent="0.3">
      <c r="A22" s="358" t="s">
        <v>217</v>
      </c>
      <c r="B22" s="638" t="s">
        <v>218</v>
      </c>
      <c r="C22" s="636">
        <v>8320</v>
      </c>
      <c r="D22" s="659">
        <v>8400</v>
      </c>
    </row>
    <row r="23" spans="1:4" ht="93.75" x14ac:dyDescent="0.3">
      <c r="A23" s="358" t="s">
        <v>219</v>
      </c>
      <c r="B23" s="660" t="s">
        <v>220</v>
      </c>
      <c r="C23" s="636">
        <v>152.6</v>
      </c>
      <c r="D23" s="661">
        <v>152.6</v>
      </c>
    </row>
    <row r="24" spans="1:4" ht="112.5" x14ac:dyDescent="0.3">
      <c r="A24" s="358" t="s">
        <v>221</v>
      </c>
      <c r="B24" s="640" t="s">
        <v>222</v>
      </c>
      <c r="C24" s="636">
        <v>20560</v>
      </c>
      <c r="D24" s="659">
        <v>21260</v>
      </c>
    </row>
    <row r="25" spans="1:4" ht="56.25" customHeight="1" x14ac:dyDescent="0.3">
      <c r="A25" s="358" t="s">
        <v>436</v>
      </c>
      <c r="B25" s="640" t="s">
        <v>39</v>
      </c>
      <c r="C25" s="636">
        <v>1886.8</v>
      </c>
      <c r="D25" s="659">
        <v>1886.8</v>
      </c>
    </row>
    <row r="26" spans="1:4" ht="95.25" customHeight="1" x14ac:dyDescent="0.3">
      <c r="A26" s="358" t="s">
        <v>223</v>
      </c>
      <c r="B26" s="640" t="s">
        <v>224</v>
      </c>
      <c r="C26" s="636">
        <v>17</v>
      </c>
      <c r="D26" s="659">
        <v>17</v>
      </c>
    </row>
    <row r="27" spans="1:4" ht="131.25" x14ac:dyDescent="0.3">
      <c r="A27" s="358" t="s">
        <v>511</v>
      </c>
      <c r="B27" s="640" t="s">
        <v>512</v>
      </c>
      <c r="C27" s="636">
        <v>234.8</v>
      </c>
      <c r="D27" s="659">
        <v>234.8</v>
      </c>
    </row>
    <row r="28" spans="1:4" ht="37.5" x14ac:dyDescent="0.3">
      <c r="A28" s="358" t="s">
        <v>225</v>
      </c>
      <c r="B28" s="640" t="s">
        <v>226</v>
      </c>
      <c r="C28" s="636">
        <v>1700</v>
      </c>
      <c r="D28" s="659">
        <v>1700</v>
      </c>
    </row>
    <row r="29" spans="1:4" ht="37.5" x14ac:dyDescent="0.3">
      <c r="A29" s="358" t="s">
        <v>640</v>
      </c>
      <c r="B29" s="642" t="s">
        <v>740</v>
      </c>
      <c r="C29" s="636">
        <v>1200</v>
      </c>
      <c r="D29" s="659">
        <v>1200</v>
      </c>
    </row>
    <row r="30" spans="1:4" ht="37.5" x14ac:dyDescent="0.3">
      <c r="A30" s="358" t="s">
        <v>227</v>
      </c>
      <c r="B30" s="640" t="s">
        <v>228</v>
      </c>
      <c r="C30" s="636">
        <v>5492</v>
      </c>
      <c r="D30" s="659">
        <v>5390</v>
      </c>
    </row>
    <row r="31" spans="1:4" x14ac:dyDescent="0.3">
      <c r="A31" s="639" t="s">
        <v>229</v>
      </c>
      <c r="B31" s="640" t="s">
        <v>230</v>
      </c>
      <c r="C31" s="636">
        <v>7100</v>
      </c>
      <c r="D31" s="659">
        <v>7100</v>
      </c>
    </row>
    <row r="32" spans="1:4" ht="29.45" customHeight="1" x14ac:dyDescent="0.3">
      <c r="A32" s="643" t="s">
        <v>67</v>
      </c>
      <c r="B32" s="644" t="s">
        <v>443</v>
      </c>
      <c r="C32" s="645">
        <f>C33</f>
        <v>849550.29999999981</v>
      </c>
      <c r="D32" s="645">
        <f>D33</f>
        <v>871206.2999999997</v>
      </c>
    </row>
    <row r="33" spans="1:8" ht="42.6" customHeight="1" x14ac:dyDescent="0.3">
      <c r="A33" s="646" t="s">
        <v>68</v>
      </c>
      <c r="B33" s="647" t="s">
        <v>69</v>
      </c>
      <c r="C33" s="648">
        <f>C34+C36+C35</f>
        <v>849550.29999999981</v>
      </c>
      <c r="D33" s="648">
        <f>D34+D36+D35</f>
        <v>871206.2999999997</v>
      </c>
    </row>
    <row r="34" spans="1:8" s="650" customFormat="1" ht="37.5" x14ac:dyDescent="0.3">
      <c r="A34" s="646" t="s">
        <v>721</v>
      </c>
      <c r="B34" s="649" t="s">
        <v>501</v>
      </c>
      <c r="C34" s="648">
        <f>'прил.5 (пост.безв.20-21)'!C13</f>
        <v>120674.6</v>
      </c>
      <c r="D34" s="648">
        <f>'прил.5 (пост.безв.20-21)'!D13</f>
        <v>138375.5</v>
      </c>
    </row>
    <row r="35" spans="1:8" s="650" customFormat="1" ht="56.25" x14ac:dyDescent="0.3">
      <c r="A35" s="358" t="s">
        <v>723</v>
      </c>
      <c r="B35" s="640" t="s">
        <v>430</v>
      </c>
      <c r="C35" s="648">
        <f>'прил.5 (пост.безв.20-21)'!C16</f>
        <v>3759.6</v>
      </c>
      <c r="D35" s="648">
        <f>'прил.5 (пост.безв.20-21)'!D16</f>
        <v>3750.2</v>
      </c>
    </row>
    <row r="36" spans="1:8" ht="37.5" x14ac:dyDescent="0.3">
      <c r="A36" s="651" t="s">
        <v>725</v>
      </c>
      <c r="B36" s="649" t="s">
        <v>500</v>
      </c>
      <c r="C36" s="648">
        <f>'прил.5 (пост.безв.20-21)'!C20</f>
        <v>725116.09999999986</v>
      </c>
      <c r="D36" s="648">
        <f>'прил.5 (пост.безв.20-21)'!D20</f>
        <v>729080.59999999974</v>
      </c>
    </row>
    <row r="37" spans="1:8" x14ac:dyDescent="0.3">
      <c r="A37" s="652"/>
      <c r="B37" s="644" t="s">
        <v>232</v>
      </c>
      <c r="C37" s="653">
        <f>C32+C14</f>
        <v>1235277.7999999998</v>
      </c>
      <c r="D37" s="653">
        <f>D32+D14</f>
        <v>1225136.6999999997</v>
      </c>
    </row>
    <row r="38" spans="1:8" ht="60.6" customHeight="1" x14ac:dyDescent="0.3">
      <c r="A38" s="967" t="s">
        <v>444</v>
      </c>
      <c r="B38" s="967"/>
      <c r="C38" s="967"/>
      <c r="D38" s="967"/>
    </row>
    <row r="39" spans="1:8" x14ac:dyDescent="0.3">
      <c r="A39" s="654"/>
    </row>
    <row r="40" spans="1:8" x14ac:dyDescent="0.3">
      <c r="A40" s="654"/>
    </row>
    <row r="41" spans="1:8" s="480" customFormat="1" x14ac:dyDescent="0.3">
      <c r="A41" s="474" t="s">
        <v>588</v>
      </c>
      <c r="B41" s="475"/>
      <c r="C41" s="476"/>
      <c r="D41" s="476"/>
      <c r="E41" s="476"/>
      <c r="F41" s="477"/>
      <c r="G41" s="478"/>
      <c r="H41" s="479"/>
    </row>
    <row r="42" spans="1:8" s="480" customFormat="1" x14ac:dyDescent="0.3">
      <c r="A42" s="474" t="s">
        <v>589</v>
      </c>
      <c r="B42" s="475"/>
      <c r="C42" s="476"/>
      <c r="D42" s="476"/>
      <c r="E42" s="476"/>
      <c r="F42" s="477"/>
      <c r="G42" s="478"/>
      <c r="H42" s="479"/>
    </row>
    <row r="43" spans="1:8" s="480" customFormat="1" x14ac:dyDescent="0.3">
      <c r="A43" s="481" t="s">
        <v>590</v>
      </c>
      <c r="B43" s="475"/>
      <c r="D43" s="623" t="s">
        <v>643</v>
      </c>
      <c r="E43" s="476"/>
      <c r="F43" s="477"/>
    </row>
    <row r="45" spans="1:8" x14ac:dyDescent="0.3">
      <c r="B45" s="656"/>
      <c r="C45" s="657"/>
    </row>
    <row r="46" spans="1:8" x14ac:dyDescent="0.3">
      <c r="B46" s="656"/>
      <c r="C46" s="657"/>
    </row>
    <row r="53" spans="2:3" x14ac:dyDescent="0.3">
      <c r="B53" s="624"/>
      <c r="C53" s="624"/>
    </row>
    <row r="54" spans="2:3" x14ac:dyDescent="0.3">
      <c r="B54" s="624"/>
      <c r="C54" s="624"/>
    </row>
    <row r="55" spans="2:3" x14ac:dyDescent="0.3">
      <c r="B55" s="624"/>
      <c r="C55" s="624"/>
    </row>
    <row r="56" spans="2:3" x14ac:dyDescent="0.3">
      <c r="B56" s="624"/>
      <c r="C56" s="624"/>
    </row>
    <row r="57" spans="2:3" x14ac:dyDescent="0.3">
      <c r="B57" s="624"/>
      <c r="C57" s="624"/>
    </row>
    <row r="58" spans="2:3" x14ac:dyDescent="0.3">
      <c r="B58" s="624"/>
      <c r="C58" s="624"/>
    </row>
    <row r="59" spans="2:3" x14ac:dyDescent="0.3">
      <c r="B59" s="624"/>
      <c r="C59" s="624"/>
    </row>
    <row r="60" spans="2:3" x14ac:dyDescent="0.3">
      <c r="B60" s="624"/>
      <c r="C60" s="624"/>
    </row>
    <row r="61" spans="2:3" x14ac:dyDescent="0.3">
      <c r="B61" s="624"/>
      <c r="C61" s="624"/>
    </row>
    <row r="62" spans="2:3" x14ac:dyDescent="0.3">
      <c r="B62" s="624"/>
      <c r="C62" s="624"/>
    </row>
    <row r="63" spans="2:3" x14ac:dyDescent="0.3">
      <c r="B63" s="624"/>
      <c r="C63" s="624"/>
    </row>
    <row r="64" spans="2:3" x14ac:dyDescent="0.3">
      <c r="B64" s="624"/>
      <c r="C64" s="624"/>
    </row>
    <row r="65" spans="2:3" x14ac:dyDescent="0.3">
      <c r="B65" s="624"/>
      <c r="C65" s="624"/>
    </row>
    <row r="66" spans="2:3" x14ac:dyDescent="0.3">
      <c r="B66" s="624"/>
      <c r="C66" s="624"/>
    </row>
    <row r="67" spans="2:3" x14ac:dyDescent="0.3">
      <c r="B67" s="624"/>
      <c r="C67" s="624"/>
    </row>
    <row r="68" spans="2:3" x14ac:dyDescent="0.3">
      <c r="B68" s="624"/>
      <c r="C68" s="624"/>
    </row>
    <row r="69" spans="2:3" x14ac:dyDescent="0.3">
      <c r="B69" s="624"/>
      <c r="C69" s="624"/>
    </row>
    <row r="70" spans="2:3" x14ac:dyDescent="0.3">
      <c r="B70" s="624"/>
      <c r="C70" s="624"/>
    </row>
    <row r="71" spans="2:3" x14ac:dyDescent="0.3">
      <c r="B71" s="624"/>
      <c r="C71" s="624"/>
    </row>
    <row r="72" spans="2:3" x14ac:dyDescent="0.3">
      <c r="B72" s="624"/>
      <c r="C72" s="624"/>
    </row>
    <row r="73" spans="2:3" x14ac:dyDescent="0.3">
      <c r="B73" s="624"/>
      <c r="C73" s="624"/>
    </row>
    <row r="74" spans="2:3" x14ac:dyDescent="0.3">
      <c r="B74" s="624"/>
      <c r="C74" s="624"/>
    </row>
    <row r="75" spans="2:3" x14ac:dyDescent="0.3">
      <c r="B75" s="624"/>
      <c r="C75" s="624"/>
    </row>
    <row r="76" spans="2:3" x14ac:dyDescent="0.3">
      <c r="B76" s="624"/>
      <c r="C76" s="624"/>
    </row>
    <row r="77" spans="2:3" x14ac:dyDescent="0.3">
      <c r="B77" s="624"/>
      <c r="C77" s="624"/>
    </row>
    <row r="78" spans="2:3" x14ac:dyDescent="0.3">
      <c r="B78" s="624"/>
      <c r="C78" s="624"/>
    </row>
    <row r="79" spans="2:3" x14ac:dyDescent="0.3">
      <c r="B79" s="624"/>
      <c r="C79" s="624"/>
    </row>
    <row r="80" spans="2:3" x14ac:dyDescent="0.3">
      <c r="B80" s="624"/>
      <c r="C80" s="624"/>
    </row>
    <row r="81" spans="2:3" x14ac:dyDescent="0.3">
      <c r="B81" s="624"/>
      <c r="C81" s="624"/>
    </row>
    <row r="82" spans="2:3" x14ac:dyDescent="0.3">
      <c r="B82" s="624"/>
      <c r="C82" s="624"/>
    </row>
    <row r="83" spans="2:3" x14ac:dyDescent="0.3">
      <c r="B83" s="624"/>
      <c r="C83" s="624"/>
    </row>
    <row r="84" spans="2:3" x14ac:dyDescent="0.3">
      <c r="B84" s="624"/>
      <c r="C84" s="624"/>
    </row>
    <row r="85" spans="2:3" x14ac:dyDescent="0.3">
      <c r="B85" s="624"/>
      <c r="C85" s="624"/>
    </row>
    <row r="86" spans="2:3" x14ac:dyDescent="0.3">
      <c r="B86" s="624"/>
      <c r="C86" s="624"/>
    </row>
    <row r="87" spans="2:3" x14ac:dyDescent="0.3">
      <c r="B87" s="624"/>
      <c r="C87" s="624"/>
    </row>
    <row r="88" spans="2:3" x14ac:dyDescent="0.3">
      <c r="B88" s="624"/>
      <c r="C88" s="624"/>
    </row>
    <row r="89" spans="2:3" x14ac:dyDescent="0.3">
      <c r="B89" s="624"/>
      <c r="C89" s="624"/>
    </row>
    <row r="90" spans="2:3" x14ac:dyDescent="0.3">
      <c r="B90" s="624"/>
      <c r="C90" s="624"/>
    </row>
    <row r="91" spans="2:3" x14ac:dyDescent="0.3">
      <c r="B91" s="624"/>
      <c r="C91" s="624"/>
    </row>
    <row r="92" spans="2:3" x14ac:dyDescent="0.3">
      <c r="B92" s="624"/>
      <c r="C92" s="624"/>
    </row>
    <row r="93" spans="2:3" x14ac:dyDescent="0.3">
      <c r="B93" s="624"/>
      <c r="C93" s="624"/>
    </row>
    <row r="94" spans="2:3" x14ac:dyDescent="0.3">
      <c r="B94" s="624"/>
      <c r="C94" s="624"/>
    </row>
    <row r="95" spans="2:3" x14ac:dyDescent="0.3">
      <c r="B95" s="624"/>
      <c r="C95" s="624"/>
    </row>
    <row r="96" spans="2:3" x14ac:dyDescent="0.3">
      <c r="B96" s="624"/>
      <c r="C96" s="624"/>
    </row>
    <row r="97" spans="2:3" x14ac:dyDescent="0.3">
      <c r="B97" s="624"/>
      <c r="C97" s="624"/>
    </row>
    <row r="98" spans="2:3" x14ac:dyDescent="0.3">
      <c r="B98" s="624"/>
      <c r="C98" s="624"/>
    </row>
    <row r="99" spans="2:3" x14ac:dyDescent="0.3">
      <c r="B99" s="624"/>
      <c r="C99" s="624"/>
    </row>
    <row r="100" spans="2:3" x14ac:dyDescent="0.3">
      <c r="B100" s="624"/>
      <c r="C100" s="624"/>
    </row>
    <row r="101" spans="2:3" x14ac:dyDescent="0.3">
      <c r="B101" s="624"/>
      <c r="C101" s="624"/>
    </row>
    <row r="102" spans="2:3" x14ac:dyDescent="0.3">
      <c r="B102" s="624"/>
      <c r="C102" s="624"/>
    </row>
    <row r="103" spans="2:3" x14ac:dyDescent="0.3">
      <c r="B103" s="624"/>
      <c r="C103" s="624"/>
    </row>
    <row r="104" spans="2:3" x14ac:dyDescent="0.3">
      <c r="B104" s="624"/>
      <c r="C104" s="624"/>
    </row>
    <row r="105" spans="2:3" x14ac:dyDescent="0.3">
      <c r="B105" s="624"/>
      <c r="C105" s="624"/>
    </row>
    <row r="106" spans="2:3" x14ac:dyDescent="0.3">
      <c r="B106" s="624"/>
      <c r="C106" s="624"/>
    </row>
    <row r="107" spans="2:3" x14ac:dyDescent="0.3">
      <c r="B107" s="624"/>
      <c r="C107" s="624"/>
    </row>
    <row r="108" spans="2:3" x14ac:dyDescent="0.3">
      <c r="B108" s="624"/>
      <c r="C108" s="624"/>
    </row>
    <row r="109" spans="2:3" x14ac:dyDescent="0.3">
      <c r="B109" s="624"/>
      <c r="C109" s="624"/>
    </row>
    <row r="110" spans="2:3" x14ac:dyDescent="0.3">
      <c r="B110" s="624"/>
      <c r="C110" s="624"/>
    </row>
    <row r="111" spans="2:3" x14ac:dyDescent="0.3">
      <c r="B111" s="624"/>
      <c r="C111" s="624"/>
    </row>
    <row r="112" spans="2:3" x14ac:dyDescent="0.3">
      <c r="B112" s="624"/>
      <c r="C112" s="624"/>
    </row>
    <row r="113" spans="2:3" x14ac:dyDescent="0.3">
      <c r="B113" s="624"/>
      <c r="C113" s="624"/>
    </row>
    <row r="114" spans="2:3" x14ac:dyDescent="0.3">
      <c r="B114" s="624"/>
      <c r="C114" s="624"/>
    </row>
    <row r="115" spans="2:3" x14ac:dyDescent="0.3">
      <c r="B115" s="624"/>
      <c r="C115" s="624"/>
    </row>
    <row r="116" spans="2:3" x14ac:dyDescent="0.3">
      <c r="B116" s="624"/>
      <c r="C116" s="624"/>
    </row>
    <row r="117" spans="2:3" x14ac:dyDescent="0.3">
      <c r="B117" s="624"/>
      <c r="C117" s="624"/>
    </row>
    <row r="118" spans="2:3" x14ac:dyDescent="0.3">
      <c r="B118" s="624"/>
      <c r="C118" s="624"/>
    </row>
    <row r="119" spans="2:3" x14ac:dyDescent="0.3">
      <c r="B119" s="624"/>
      <c r="C119" s="624"/>
    </row>
    <row r="120" spans="2:3" x14ac:dyDescent="0.3">
      <c r="B120" s="624"/>
      <c r="C120" s="624"/>
    </row>
    <row r="121" spans="2:3" x14ac:dyDescent="0.3">
      <c r="B121" s="624"/>
      <c r="C121" s="624"/>
    </row>
    <row r="122" spans="2:3" x14ac:dyDescent="0.3">
      <c r="B122" s="624"/>
      <c r="C122" s="624"/>
    </row>
    <row r="123" spans="2:3" x14ac:dyDescent="0.3">
      <c r="B123" s="624"/>
      <c r="C123" s="624"/>
    </row>
    <row r="124" spans="2:3" x14ac:dyDescent="0.3">
      <c r="B124" s="624"/>
      <c r="C124" s="624"/>
    </row>
    <row r="125" spans="2:3" x14ac:dyDescent="0.3">
      <c r="B125" s="624"/>
      <c r="C125" s="624"/>
    </row>
    <row r="126" spans="2:3" x14ac:dyDescent="0.3">
      <c r="B126" s="624"/>
      <c r="C126" s="624"/>
    </row>
    <row r="127" spans="2:3" x14ac:dyDescent="0.3">
      <c r="B127" s="624"/>
      <c r="C127" s="624"/>
    </row>
    <row r="128" spans="2:3" x14ac:dyDescent="0.3">
      <c r="B128" s="624"/>
      <c r="C128" s="624"/>
    </row>
    <row r="129" spans="2:3" x14ac:dyDescent="0.3">
      <c r="B129" s="624"/>
      <c r="C129" s="624"/>
    </row>
    <row r="130" spans="2:3" x14ac:dyDescent="0.3">
      <c r="B130" s="624"/>
      <c r="C130" s="624"/>
    </row>
  </sheetData>
  <mergeCells count="5">
    <mergeCell ref="C11:D11"/>
    <mergeCell ref="A11:A12"/>
    <mergeCell ref="B11:B12"/>
    <mergeCell ref="A38:D38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4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M400"/>
  <sheetViews>
    <sheetView zoomScale="90" zoomScaleNormal="90" workbookViewId="0">
      <selection activeCell="A37" sqref="A1:XFD1048576"/>
    </sheetView>
  </sheetViews>
  <sheetFormatPr defaultColWidth="8.85546875" defaultRowHeight="18.75" x14ac:dyDescent="0.3"/>
  <cols>
    <col min="1" max="1" width="27" style="534" customWidth="1"/>
    <col min="2" max="2" width="71.7109375" style="534" customWidth="1"/>
    <col min="3" max="3" width="13" style="695" customWidth="1"/>
    <col min="4" max="4" width="11.28515625" style="534" customWidth="1"/>
    <col min="5" max="5" width="8.85546875" style="534" customWidth="1"/>
    <col min="6" max="16384" width="8.85546875" style="534"/>
  </cols>
  <sheetData>
    <row r="1" spans="1:3" x14ac:dyDescent="0.3">
      <c r="C1" s="605" t="s">
        <v>697</v>
      </c>
    </row>
    <row r="2" spans="1:3" x14ac:dyDescent="0.3">
      <c r="C2" s="605" t="s">
        <v>0</v>
      </c>
    </row>
    <row r="5" spans="1:3" x14ac:dyDescent="0.3">
      <c r="A5" s="968" t="s">
        <v>720</v>
      </c>
      <c r="B5" s="968"/>
      <c r="C5" s="968"/>
    </row>
    <row r="6" spans="1:3" x14ac:dyDescent="0.3">
      <c r="A6" s="662"/>
      <c r="B6" s="662"/>
      <c r="C6" s="663"/>
    </row>
    <row r="7" spans="1:3" x14ac:dyDescent="0.3">
      <c r="C7" s="664" t="s">
        <v>75</v>
      </c>
    </row>
    <row r="8" spans="1:3" ht="25.15" customHeight="1" x14ac:dyDescent="0.3">
      <c r="A8" s="665" t="s">
        <v>64</v>
      </c>
      <c r="B8" s="665" t="s">
        <v>65</v>
      </c>
      <c r="C8" s="666" t="s">
        <v>66</v>
      </c>
    </row>
    <row r="9" spans="1:3" x14ac:dyDescent="0.3">
      <c r="A9" s="667">
        <v>1</v>
      </c>
      <c r="B9" s="667">
        <v>2</v>
      </c>
      <c r="C9" s="668">
        <v>3</v>
      </c>
    </row>
    <row r="10" spans="1:3" ht="19.899999999999999" customHeight="1" x14ac:dyDescent="0.3">
      <c r="A10" s="612" t="s">
        <v>67</v>
      </c>
      <c r="B10" s="669" t="s">
        <v>443</v>
      </c>
      <c r="C10" s="670">
        <f>C11</f>
        <v>914675.7</v>
      </c>
    </row>
    <row r="11" spans="1:3" ht="37.5" x14ac:dyDescent="0.3">
      <c r="A11" s="613" t="s">
        <v>68</v>
      </c>
      <c r="B11" s="671" t="s">
        <v>69</v>
      </c>
      <c r="C11" s="672">
        <f>C12+C20+C15</f>
        <v>914675.7</v>
      </c>
    </row>
    <row r="12" spans="1:3" ht="23.45" customHeight="1" x14ac:dyDescent="0.3">
      <c r="A12" s="613" t="s">
        <v>721</v>
      </c>
      <c r="B12" s="671" t="s">
        <v>498</v>
      </c>
      <c r="C12" s="672">
        <f>C13</f>
        <v>167450.5</v>
      </c>
    </row>
    <row r="13" spans="1:3" x14ac:dyDescent="0.3">
      <c r="A13" s="613" t="s">
        <v>722</v>
      </c>
      <c r="B13" s="671" t="s">
        <v>70</v>
      </c>
      <c r="C13" s="672">
        <f>C14</f>
        <v>167450.5</v>
      </c>
    </row>
    <row r="14" spans="1:3" ht="37.5" x14ac:dyDescent="0.3">
      <c r="A14" s="613" t="s">
        <v>707</v>
      </c>
      <c r="B14" s="671" t="s">
        <v>29</v>
      </c>
      <c r="C14" s="672">
        <v>167450.5</v>
      </c>
    </row>
    <row r="15" spans="1:3" ht="37.5" x14ac:dyDescent="0.3">
      <c r="A15" s="613" t="s">
        <v>723</v>
      </c>
      <c r="B15" s="673" t="s">
        <v>564</v>
      </c>
      <c r="C15" s="672">
        <f>C16</f>
        <v>4543.3</v>
      </c>
    </row>
    <row r="16" spans="1:3" x14ac:dyDescent="0.3">
      <c r="A16" s="618" t="s">
        <v>724</v>
      </c>
      <c r="B16" s="673" t="s">
        <v>428</v>
      </c>
      <c r="C16" s="672">
        <f>C17</f>
        <v>4543.3</v>
      </c>
    </row>
    <row r="17" spans="1:4" ht="37.5" x14ac:dyDescent="0.3">
      <c r="A17" s="618" t="s">
        <v>704</v>
      </c>
      <c r="B17" s="673" t="s">
        <v>429</v>
      </c>
      <c r="C17" s="672">
        <f>SUM(C18:C19)</f>
        <v>4543.3</v>
      </c>
    </row>
    <row r="18" spans="1:4" ht="56.25" x14ac:dyDescent="0.3">
      <c r="A18" s="674"/>
      <c r="B18" s="675" t="s">
        <v>648</v>
      </c>
      <c r="C18" s="672">
        <v>740</v>
      </c>
      <c r="D18" s="676" t="s">
        <v>596</v>
      </c>
    </row>
    <row r="19" spans="1:4" ht="92.45" customHeight="1" x14ac:dyDescent="0.3">
      <c r="A19" s="674"/>
      <c r="B19" s="675" t="s">
        <v>739</v>
      </c>
      <c r="C19" s="672">
        <v>3803.3</v>
      </c>
      <c r="D19" s="676" t="s">
        <v>599</v>
      </c>
    </row>
    <row r="20" spans="1:4" ht="37.5" x14ac:dyDescent="0.3">
      <c r="A20" s="613" t="s">
        <v>725</v>
      </c>
      <c r="B20" s="671" t="s">
        <v>499</v>
      </c>
      <c r="C20" s="672">
        <f>C21+C48+C52+C54</f>
        <v>742681.89999999991</v>
      </c>
    </row>
    <row r="21" spans="1:4" ht="56.25" x14ac:dyDescent="0.3">
      <c r="A21" s="613" t="s">
        <v>726</v>
      </c>
      <c r="B21" s="671" t="s">
        <v>71</v>
      </c>
      <c r="C21" s="672">
        <f>C22</f>
        <v>674409.49999999988</v>
      </c>
    </row>
    <row r="22" spans="1:4" ht="56.25" x14ac:dyDescent="0.3">
      <c r="A22" s="613" t="s">
        <v>705</v>
      </c>
      <c r="B22" s="671" t="s">
        <v>72</v>
      </c>
      <c r="C22" s="672">
        <f>SUM(C23:C32,C35:C38,C40:C47)</f>
        <v>674409.49999999988</v>
      </c>
    </row>
    <row r="23" spans="1:4" ht="56.25" x14ac:dyDescent="0.3">
      <c r="A23" s="667"/>
      <c r="B23" s="675" t="s">
        <v>73</v>
      </c>
      <c r="C23" s="677">
        <f>2489.7+9</f>
        <v>2498.6999999999998</v>
      </c>
      <c r="D23" s="676" t="s">
        <v>596</v>
      </c>
    </row>
    <row r="24" spans="1:4" ht="168.75" x14ac:dyDescent="0.3">
      <c r="A24" s="667"/>
      <c r="B24" s="675" t="s">
        <v>734</v>
      </c>
      <c r="C24" s="677">
        <v>617.1</v>
      </c>
      <c r="D24" s="676" t="s">
        <v>596</v>
      </c>
    </row>
    <row r="25" spans="1:4" ht="93.75" x14ac:dyDescent="0.3">
      <c r="A25" s="667"/>
      <c r="B25" s="675" t="s">
        <v>733</v>
      </c>
      <c r="C25" s="677">
        <v>617.29999999999995</v>
      </c>
      <c r="D25" s="676" t="s">
        <v>596</v>
      </c>
    </row>
    <row r="26" spans="1:4" ht="75" x14ac:dyDescent="0.3">
      <c r="A26" s="667"/>
      <c r="B26" s="675" t="s">
        <v>74</v>
      </c>
      <c r="C26" s="677">
        <v>66</v>
      </c>
      <c r="D26" s="676" t="s">
        <v>596</v>
      </c>
    </row>
    <row r="27" spans="1:4" ht="150" x14ac:dyDescent="0.3">
      <c r="A27" s="667"/>
      <c r="B27" s="675" t="s">
        <v>585</v>
      </c>
      <c r="C27" s="677">
        <v>66</v>
      </c>
      <c r="D27" s="676" t="s">
        <v>596</v>
      </c>
    </row>
    <row r="28" spans="1:4" ht="123.6" customHeight="1" x14ac:dyDescent="0.3">
      <c r="A28" s="667"/>
      <c r="B28" s="675" t="s">
        <v>586</v>
      </c>
      <c r="C28" s="677">
        <v>11860</v>
      </c>
      <c r="D28" s="676" t="s">
        <v>596</v>
      </c>
    </row>
    <row r="29" spans="1:4" ht="131.25" x14ac:dyDescent="0.3">
      <c r="A29" s="667"/>
      <c r="B29" s="675" t="s">
        <v>595</v>
      </c>
      <c r="C29" s="677">
        <v>98.5</v>
      </c>
      <c r="D29" s="676" t="s">
        <v>596</v>
      </c>
    </row>
    <row r="30" spans="1:4" s="682" customFormat="1" ht="322.89999999999998" customHeight="1" x14ac:dyDescent="0.3">
      <c r="A30" s="678"/>
      <c r="B30" s="679" t="s">
        <v>597</v>
      </c>
      <c r="C30" s="680">
        <v>8508.1</v>
      </c>
      <c r="D30" s="681" t="s">
        <v>598</v>
      </c>
    </row>
    <row r="31" spans="1:4" s="682" customFormat="1" ht="144" customHeight="1" x14ac:dyDescent="0.3">
      <c r="A31" s="683"/>
      <c r="B31" s="684" t="s">
        <v>633</v>
      </c>
      <c r="C31" s="677">
        <f>29771.7+12944.3</f>
        <v>42716</v>
      </c>
      <c r="D31" s="681" t="s">
        <v>598</v>
      </c>
    </row>
    <row r="32" spans="1:4" ht="93.75" x14ac:dyDescent="0.3">
      <c r="A32" s="683"/>
      <c r="B32" s="675" t="s">
        <v>502</v>
      </c>
      <c r="C32" s="677">
        <f>SUM(C33:C34)</f>
        <v>591065.19999999995</v>
      </c>
      <c r="D32" s="676" t="s">
        <v>599</v>
      </c>
    </row>
    <row r="33" spans="1:4" ht="37.5" x14ac:dyDescent="0.3">
      <c r="A33" s="674" t="s">
        <v>365</v>
      </c>
      <c r="B33" s="675" t="s">
        <v>367</v>
      </c>
      <c r="C33" s="685">
        <v>201087.9</v>
      </c>
      <c r="D33" s="676" t="s">
        <v>599</v>
      </c>
    </row>
    <row r="34" spans="1:4" x14ac:dyDescent="0.3">
      <c r="A34" s="683"/>
      <c r="B34" s="686" t="s">
        <v>368</v>
      </c>
      <c r="C34" s="685">
        <f>382696.5+7280.8</f>
        <v>389977.3</v>
      </c>
      <c r="D34" s="676" t="s">
        <v>599</v>
      </c>
    </row>
    <row r="35" spans="1:4" ht="75" x14ac:dyDescent="0.3">
      <c r="A35" s="683"/>
      <c r="B35" s="675" t="s">
        <v>366</v>
      </c>
      <c r="C35" s="677">
        <v>4235.7</v>
      </c>
      <c r="D35" s="676" t="s">
        <v>599</v>
      </c>
    </row>
    <row r="36" spans="1:4" ht="177.6" customHeight="1" x14ac:dyDescent="0.3">
      <c r="A36" s="683"/>
      <c r="B36" s="684" t="s">
        <v>819</v>
      </c>
      <c r="C36" s="677">
        <v>2072.1</v>
      </c>
      <c r="D36" s="676" t="s">
        <v>599</v>
      </c>
    </row>
    <row r="37" spans="1:4" ht="147.6" customHeight="1" x14ac:dyDescent="0.3">
      <c r="A37" s="683"/>
      <c r="B37" s="684" t="s">
        <v>698</v>
      </c>
      <c r="C37" s="677">
        <v>125</v>
      </c>
      <c r="D37" s="676" t="s">
        <v>599</v>
      </c>
    </row>
    <row r="38" spans="1:4" ht="168.75" x14ac:dyDescent="0.3">
      <c r="A38" s="683"/>
      <c r="B38" s="675" t="s">
        <v>369</v>
      </c>
      <c r="C38" s="677">
        <f>C39</f>
        <v>2420.8000000000002</v>
      </c>
      <c r="D38" s="676" t="s">
        <v>599</v>
      </c>
    </row>
    <row r="39" spans="1:4" ht="75" x14ac:dyDescent="0.3">
      <c r="A39" s="674" t="s">
        <v>365</v>
      </c>
      <c r="B39" s="675" t="s">
        <v>736</v>
      </c>
      <c r="C39" s="677">
        <v>2420.8000000000002</v>
      </c>
      <c r="D39" s="676" t="s">
        <v>599</v>
      </c>
    </row>
    <row r="40" spans="1:4" s="682" customFormat="1" ht="52.15" customHeight="1" x14ac:dyDescent="0.3">
      <c r="A40" s="683"/>
      <c r="B40" s="675" t="s">
        <v>402</v>
      </c>
      <c r="C40" s="677">
        <f>4763.5+21</f>
        <v>4784.5</v>
      </c>
      <c r="D40" s="676" t="s">
        <v>600</v>
      </c>
    </row>
    <row r="41" spans="1:4" s="682" customFormat="1" ht="214.9" customHeight="1" x14ac:dyDescent="0.3">
      <c r="A41" s="683"/>
      <c r="B41" s="675" t="s">
        <v>403</v>
      </c>
      <c r="C41" s="677">
        <f>841+6</f>
        <v>847</v>
      </c>
      <c r="D41" s="676" t="s">
        <v>600</v>
      </c>
    </row>
    <row r="42" spans="1:4" s="682" customFormat="1" ht="213.6" customHeight="1" x14ac:dyDescent="0.3">
      <c r="A42" s="683"/>
      <c r="B42" s="675" t="s">
        <v>735</v>
      </c>
      <c r="C42" s="677">
        <v>231</v>
      </c>
      <c r="D42" s="676" t="s">
        <v>600</v>
      </c>
    </row>
    <row r="43" spans="1:4" s="682" customFormat="1" ht="150" x14ac:dyDescent="0.3">
      <c r="A43" s="683"/>
      <c r="B43" s="687" t="s">
        <v>533</v>
      </c>
      <c r="C43" s="677">
        <v>5.2</v>
      </c>
      <c r="D43" s="676" t="s">
        <v>600</v>
      </c>
    </row>
    <row r="44" spans="1:4" s="682" customFormat="1" ht="93.75" x14ac:dyDescent="0.3">
      <c r="A44" s="683"/>
      <c r="B44" s="675" t="s">
        <v>528</v>
      </c>
      <c r="C44" s="677">
        <v>493</v>
      </c>
      <c r="D44" s="676" t="s">
        <v>600</v>
      </c>
    </row>
    <row r="45" spans="1:4" s="682" customFormat="1" ht="74.45" customHeight="1" x14ac:dyDescent="0.3">
      <c r="A45" s="683"/>
      <c r="B45" s="675" t="s">
        <v>532</v>
      </c>
      <c r="C45" s="677">
        <v>449.4</v>
      </c>
      <c r="D45" s="676" t="s">
        <v>600</v>
      </c>
    </row>
    <row r="46" spans="1:4" s="682" customFormat="1" ht="128.44999999999999" customHeight="1" x14ac:dyDescent="0.3">
      <c r="A46" s="683"/>
      <c r="B46" s="675" t="s">
        <v>529</v>
      </c>
      <c r="C46" s="677">
        <v>15.6</v>
      </c>
      <c r="D46" s="676" t="s">
        <v>600</v>
      </c>
    </row>
    <row r="47" spans="1:4" s="682" customFormat="1" ht="56.25" x14ac:dyDescent="0.3">
      <c r="A47" s="683"/>
      <c r="B47" s="675" t="s">
        <v>594</v>
      </c>
      <c r="C47" s="677">
        <f>614.3+3</f>
        <v>617.29999999999995</v>
      </c>
      <c r="D47" s="676" t="s">
        <v>600</v>
      </c>
    </row>
    <row r="48" spans="1:4" ht="56.25" x14ac:dyDescent="0.3">
      <c r="A48" s="618" t="s">
        <v>727</v>
      </c>
      <c r="B48" s="673" t="s">
        <v>404</v>
      </c>
      <c r="C48" s="688">
        <f>C49</f>
        <v>59192.800000000003</v>
      </c>
      <c r="D48" s="676" t="s">
        <v>600</v>
      </c>
    </row>
    <row r="49" spans="1:8" ht="75" x14ac:dyDescent="0.3">
      <c r="A49" s="618" t="s">
        <v>716</v>
      </c>
      <c r="B49" s="673" t="s">
        <v>405</v>
      </c>
      <c r="C49" s="688">
        <f>SUM(C50:C51)</f>
        <v>59192.800000000003</v>
      </c>
      <c r="D49" s="676" t="s">
        <v>600</v>
      </c>
    </row>
    <row r="50" spans="1:8" ht="110.45" customHeight="1" x14ac:dyDescent="0.3">
      <c r="A50" s="683"/>
      <c r="B50" s="675" t="s">
        <v>530</v>
      </c>
      <c r="C50" s="677">
        <v>33015.800000000003</v>
      </c>
      <c r="D50" s="676" t="s">
        <v>600</v>
      </c>
    </row>
    <row r="51" spans="1:8" ht="75" x14ac:dyDescent="0.3">
      <c r="A51" s="683"/>
      <c r="B51" s="689" t="s">
        <v>531</v>
      </c>
      <c r="C51" s="677">
        <v>26177</v>
      </c>
      <c r="D51" s="676" t="s">
        <v>600</v>
      </c>
    </row>
    <row r="52" spans="1:8" ht="93.75" x14ac:dyDescent="0.3">
      <c r="A52" s="618" t="s">
        <v>728</v>
      </c>
      <c r="B52" s="671" t="s">
        <v>364</v>
      </c>
      <c r="C52" s="688">
        <f>C53</f>
        <v>9069.2000000000007</v>
      </c>
      <c r="D52" s="676" t="s">
        <v>599</v>
      </c>
    </row>
    <row r="53" spans="1:8" ht="112.5" x14ac:dyDescent="0.3">
      <c r="A53" s="618" t="s">
        <v>714</v>
      </c>
      <c r="B53" s="671" t="s">
        <v>56</v>
      </c>
      <c r="C53" s="688">
        <v>9069.2000000000007</v>
      </c>
      <c r="D53" s="676" t="s">
        <v>599</v>
      </c>
    </row>
    <row r="54" spans="1:8" ht="75" x14ac:dyDescent="0.3">
      <c r="A54" s="613" t="s">
        <v>729</v>
      </c>
      <c r="B54" s="690" t="s">
        <v>632</v>
      </c>
      <c r="C54" s="672">
        <f>C55</f>
        <v>10.4</v>
      </c>
      <c r="D54" s="676" t="s">
        <v>596</v>
      </c>
    </row>
    <row r="55" spans="1:8" ht="75" x14ac:dyDescent="0.3">
      <c r="A55" s="613" t="s">
        <v>706</v>
      </c>
      <c r="B55" s="690" t="s">
        <v>566</v>
      </c>
      <c r="C55" s="672">
        <f>5.9+4.5</f>
        <v>10.4</v>
      </c>
      <c r="D55" s="676" t="s">
        <v>596</v>
      </c>
    </row>
    <row r="56" spans="1:8" x14ac:dyDescent="0.3">
      <c r="A56" s="691"/>
      <c r="B56" s="692"/>
      <c r="C56" s="693"/>
    </row>
    <row r="57" spans="1:8" x14ac:dyDescent="0.3">
      <c r="A57" s="691"/>
      <c r="B57" s="692"/>
      <c r="C57" s="693"/>
    </row>
    <row r="58" spans="1:8" s="699" customFormat="1" x14ac:dyDescent="0.3">
      <c r="A58" s="696" t="s">
        <v>588</v>
      </c>
      <c r="B58" s="694"/>
      <c r="C58" s="477"/>
      <c r="D58" s="477"/>
      <c r="E58" s="477"/>
      <c r="F58" s="477"/>
      <c r="G58" s="697"/>
      <c r="H58" s="698"/>
    </row>
    <row r="59" spans="1:8" s="699" customFormat="1" x14ac:dyDescent="0.3">
      <c r="A59" s="696" t="s">
        <v>589</v>
      </c>
      <c r="B59" s="694"/>
      <c r="C59" s="477"/>
      <c r="D59" s="477"/>
      <c r="E59" s="477"/>
      <c r="F59" s="477"/>
      <c r="G59" s="697"/>
      <c r="H59" s="698"/>
    </row>
    <row r="60" spans="1:8" s="699" customFormat="1" x14ac:dyDescent="0.3">
      <c r="A60" s="700" t="s">
        <v>590</v>
      </c>
      <c r="B60" s="694"/>
      <c r="C60" s="701" t="s">
        <v>643</v>
      </c>
      <c r="D60" s="477"/>
      <c r="E60" s="477"/>
      <c r="F60" s="477"/>
    </row>
    <row r="399" spans="12:13" x14ac:dyDescent="0.3">
      <c r="L399" s="534">
        <v>135.4</v>
      </c>
      <c r="M399" s="534">
        <v>140.9</v>
      </c>
    </row>
    <row r="400" spans="12:13" x14ac:dyDescent="0.3">
      <c r="L400" s="534">
        <v>27088.9</v>
      </c>
      <c r="M400" s="534">
        <v>28171.4</v>
      </c>
    </row>
  </sheetData>
  <autoFilter ref="A1:E60"/>
  <mergeCells count="1">
    <mergeCell ref="A5:C5"/>
  </mergeCells>
  <printOptions horizontalCentered="1"/>
  <pageMargins left="1.1811023622047245" right="0.39370078740157483" top="0.6692913385826772" bottom="0.39370078740157483" header="0.31496062992125984" footer="0.31496062992125984"/>
  <pageSetup paperSize="9" scale="76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M404"/>
  <sheetViews>
    <sheetView topLeftCell="A4" zoomScale="90" zoomScaleNormal="90" workbookViewId="0">
      <selection activeCell="A37" sqref="A1:XFD1048576"/>
    </sheetView>
  </sheetViews>
  <sheetFormatPr defaultColWidth="8.85546875" defaultRowHeight="18.75" x14ac:dyDescent="0.3"/>
  <cols>
    <col min="1" max="1" width="27" style="534" customWidth="1"/>
    <col min="2" max="2" width="70.85546875" style="534" customWidth="1"/>
    <col min="3" max="3" width="13.28515625" style="695" customWidth="1"/>
    <col min="4" max="4" width="12.28515625" style="534" customWidth="1"/>
    <col min="5" max="5" width="11.28515625" style="534" customWidth="1"/>
    <col min="6" max="6" width="12.85546875" style="534" customWidth="1"/>
    <col min="7" max="16384" width="8.85546875" style="534"/>
  </cols>
  <sheetData>
    <row r="1" spans="1:6" x14ac:dyDescent="0.3">
      <c r="D1" s="605" t="s">
        <v>573</v>
      </c>
    </row>
    <row r="2" spans="1:6" x14ac:dyDescent="0.3">
      <c r="D2" s="605" t="s">
        <v>0</v>
      </c>
    </row>
    <row r="5" spans="1:6" x14ac:dyDescent="0.3">
      <c r="A5" s="968" t="s">
        <v>738</v>
      </c>
      <c r="B5" s="968"/>
      <c r="C5" s="968"/>
      <c r="D5" s="968"/>
    </row>
    <row r="6" spans="1:6" x14ac:dyDescent="0.3">
      <c r="A6" s="662"/>
      <c r="B6" s="662"/>
      <c r="C6" s="663"/>
    </row>
    <row r="7" spans="1:6" x14ac:dyDescent="0.3">
      <c r="D7" s="664" t="s">
        <v>75</v>
      </c>
    </row>
    <row r="8" spans="1:6" x14ac:dyDescent="0.3">
      <c r="A8" s="971" t="s">
        <v>64</v>
      </c>
      <c r="B8" s="971" t="s">
        <v>65</v>
      </c>
      <c r="C8" s="969" t="s">
        <v>66</v>
      </c>
      <c r="D8" s="970"/>
    </row>
    <row r="9" spans="1:6" ht="37.9" customHeight="1" x14ac:dyDescent="0.3">
      <c r="A9" s="972"/>
      <c r="B9" s="972"/>
      <c r="C9" s="666" t="s">
        <v>591</v>
      </c>
      <c r="D9" s="666" t="s">
        <v>719</v>
      </c>
    </row>
    <row r="10" spans="1:6" x14ac:dyDescent="0.3">
      <c r="A10" s="667">
        <v>1</v>
      </c>
      <c r="B10" s="667">
        <v>2</v>
      </c>
      <c r="C10" s="668">
        <v>3</v>
      </c>
      <c r="D10" s="668">
        <v>4</v>
      </c>
    </row>
    <row r="11" spans="1:6" ht="19.899999999999999" customHeight="1" x14ac:dyDescent="0.3">
      <c r="A11" s="612" t="s">
        <v>67</v>
      </c>
      <c r="B11" s="669" t="s">
        <v>443</v>
      </c>
      <c r="C11" s="670">
        <f>C12</f>
        <v>849550.29999999981</v>
      </c>
      <c r="D11" s="670">
        <f>D12</f>
        <v>871206.2999999997</v>
      </c>
      <c r="E11" s="695"/>
      <c r="F11" s="695"/>
    </row>
    <row r="12" spans="1:6" ht="37.5" x14ac:dyDescent="0.3">
      <c r="A12" s="613" t="s">
        <v>68</v>
      </c>
      <c r="B12" s="671" t="s">
        <v>69</v>
      </c>
      <c r="C12" s="672">
        <f>C13+C20+C16</f>
        <v>849550.29999999981</v>
      </c>
      <c r="D12" s="672">
        <f>D13+D20+D16</f>
        <v>871206.2999999997</v>
      </c>
    </row>
    <row r="13" spans="1:6" ht="33.6" customHeight="1" x14ac:dyDescent="0.3">
      <c r="A13" s="613" t="s">
        <v>721</v>
      </c>
      <c r="B13" s="671" t="s">
        <v>498</v>
      </c>
      <c r="C13" s="672">
        <f>C14</f>
        <v>120674.6</v>
      </c>
      <c r="D13" s="672">
        <f>D14</f>
        <v>138375.5</v>
      </c>
    </row>
    <row r="14" spans="1:6" x14ac:dyDescent="0.3">
      <c r="A14" s="613" t="s">
        <v>722</v>
      </c>
      <c r="B14" s="671" t="s">
        <v>70</v>
      </c>
      <c r="C14" s="672">
        <f>C15</f>
        <v>120674.6</v>
      </c>
      <c r="D14" s="672">
        <f>D15</f>
        <v>138375.5</v>
      </c>
    </row>
    <row r="15" spans="1:6" ht="37.5" x14ac:dyDescent="0.3">
      <c r="A15" s="613" t="s">
        <v>707</v>
      </c>
      <c r="B15" s="671" t="s">
        <v>29</v>
      </c>
      <c r="C15" s="672">
        <v>120674.6</v>
      </c>
      <c r="D15" s="672">
        <v>138375.5</v>
      </c>
    </row>
    <row r="16" spans="1:6" ht="37.5" x14ac:dyDescent="0.3">
      <c r="A16" s="613" t="s">
        <v>723</v>
      </c>
      <c r="B16" s="673" t="s">
        <v>564</v>
      </c>
      <c r="C16" s="672">
        <f>C17</f>
        <v>3759.6</v>
      </c>
      <c r="D16" s="672">
        <f>D17</f>
        <v>3750.2</v>
      </c>
    </row>
    <row r="17" spans="1:5" x14ac:dyDescent="0.3">
      <c r="A17" s="618" t="s">
        <v>724</v>
      </c>
      <c r="B17" s="673" t="s">
        <v>428</v>
      </c>
      <c r="C17" s="672">
        <f>C18</f>
        <v>3759.6</v>
      </c>
      <c r="D17" s="672">
        <f>D18</f>
        <v>3750.2</v>
      </c>
    </row>
    <row r="18" spans="1:5" ht="37.5" x14ac:dyDescent="0.3">
      <c r="A18" s="618" t="s">
        <v>704</v>
      </c>
      <c r="B18" s="673" t="s">
        <v>429</v>
      </c>
      <c r="C18" s="672">
        <f>SUM(C19:C19)</f>
        <v>3759.6</v>
      </c>
      <c r="D18" s="672">
        <f>SUM(D19:D19)</f>
        <v>3750.2</v>
      </c>
    </row>
    <row r="19" spans="1:5" ht="92.45" customHeight="1" x14ac:dyDescent="0.3">
      <c r="A19" s="674"/>
      <c r="B19" s="675" t="s">
        <v>739</v>
      </c>
      <c r="C19" s="672">
        <v>3759.6</v>
      </c>
      <c r="D19" s="672">
        <v>3750.2</v>
      </c>
      <c r="E19" s="676" t="s">
        <v>599</v>
      </c>
    </row>
    <row r="20" spans="1:5" ht="37.5" x14ac:dyDescent="0.3">
      <c r="A20" s="613" t="s">
        <v>725</v>
      </c>
      <c r="B20" s="671" t="s">
        <v>499</v>
      </c>
      <c r="C20" s="672">
        <f>C21+C47+C51+C53</f>
        <v>725116.09999999986</v>
      </c>
      <c r="D20" s="672">
        <f>D21+D47+D51+D53</f>
        <v>729080.59999999974</v>
      </c>
    </row>
    <row r="21" spans="1:5" ht="56.25" x14ac:dyDescent="0.3">
      <c r="A21" s="613" t="s">
        <v>726</v>
      </c>
      <c r="B21" s="671" t="s">
        <v>71</v>
      </c>
      <c r="C21" s="672">
        <f>C22</f>
        <v>654474.99999999988</v>
      </c>
      <c r="D21" s="672">
        <f>D22</f>
        <v>655984.79999999981</v>
      </c>
    </row>
    <row r="22" spans="1:5" ht="56.25" x14ac:dyDescent="0.3">
      <c r="A22" s="613" t="s">
        <v>705</v>
      </c>
      <c r="B22" s="671" t="s">
        <v>72</v>
      </c>
      <c r="C22" s="672">
        <f>SUM(C23:C31,C34:C37,C39:C46)</f>
        <v>654474.99999999988</v>
      </c>
      <c r="D22" s="672">
        <f>SUM(D23:D31,D34:D37,D39:D46)</f>
        <v>655984.79999999981</v>
      </c>
    </row>
    <row r="23" spans="1:5" ht="75" x14ac:dyDescent="0.3">
      <c r="A23" s="667"/>
      <c r="B23" s="675" t="s">
        <v>73</v>
      </c>
      <c r="C23" s="677">
        <f>2489.7+9</f>
        <v>2498.6999999999998</v>
      </c>
      <c r="D23" s="677">
        <f>2489.7+9</f>
        <v>2498.6999999999998</v>
      </c>
      <c r="E23" s="676" t="s">
        <v>596</v>
      </c>
    </row>
    <row r="24" spans="1:5" ht="187.5" x14ac:dyDescent="0.3">
      <c r="A24" s="667"/>
      <c r="B24" s="675" t="s">
        <v>734</v>
      </c>
      <c r="C24" s="677">
        <v>617.1</v>
      </c>
      <c r="D24" s="677">
        <v>617.1</v>
      </c>
      <c r="E24" s="676" t="s">
        <v>596</v>
      </c>
    </row>
    <row r="25" spans="1:5" ht="93.75" x14ac:dyDescent="0.3">
      <c r="A25" s="667"/>
      <c r="B25" s="675" t="s">
        <v>733</v>
      </c>
      <c r="C25" s="677">
        <v>617.29999999999995</v>
      </c>
      <c r="D25" s="677">
        <v>617.29999999999995</v>
      </c>
      <c r="E25" s="676" t="s">
        <v>596</v>
      </c>
    </row>
    <row r="26" spans="1:5" ht="75" x14ac:dyDescent="0.3">
      <c r="A26" s="667"/>
      <c r="B26" s="675" t="s">
        <v>74</v>
      </c>
      <c r="C26" s="677">
        <v>66</v>
      </c>
      <c r="D26" s="677">
        <v>66</v>
      </c>
      <c r="E26" s="676" t="s">
        <v>596</v>
      </c>
    </row>
    <row r="27" spans="1:5" ht="150" x14ac:dyDescent="0.3">
      <c r="A27" s="667"/>
      <c r="B27" s="675" t="s">
        <v>585</v>
      </c>
      <c r="C27" s="677">
        <v>66</v>
      </c>
      <c r="D27" s="677">
        <v>66</v>
      </c>
      <c r="E27" s="676" t="s">
        <v>596</v>
      </c>
    </row>
    <row r="28" spans="1:5" ht="150" x14ac:dyDescent="0.3">
      <c r="A28" s="667"/>
      <c r="B28" s="675" t="s">
        <v>586</v>
      </c>
      <c r="C28" s="677">
        <v>11860</v>
      </c>
      <c r="D28" s="677">
        <v>11860</v>
      </c>
      <c r="E28" s="676" t="s">
        <v>596</v>
      </c>
    </row>
    <row r="29" spans="1:5" ht="150" x14ac:dyDescent="0.3">
      <c r="A29" s="667"/>
      <c r="B29" s="675" t="s">
        <v>595</v>
      </c>
      <c r="C29" s="677">
        <v>98.5</v>
      </c>
      <c r="D29" s="677">
        <v>98.5</v>
      </c>
      <c r="E29" s="676" t="s">
        <v>596</v>
      </c>
    </row>
    <row r="30" spans="1:5" s="682" customFormat="1" ht="168.75" x14ac:dyDescent="0.3">
      <c r="A30" s="683"/>
      <c r="B30" s="684" t="s">
        <v>633</v>
      </c>
      <c r="C30" s="677">
        <v>31066.2</v>
      </c>
      <c r="D30" s="677">
        <v>32360.6</v>
      </c>
      <c r="E30" s="681" t="s">
        <v>598</v>
      </c>
    </row>
    <row r="31" spans="1:5" ht="112.5" x14ac:dyDescent="0.3">
      <c r="A31" s="683"/>
      <c r="B31" s="675" t="s">
        <v>502</v>
      </c>
      <c r="C31" s="677">
        <f>SUM(C32:C33)</f>
        <v>591065.19999999995</v>
      </c>
      <c r="D31" s="677">
        <f>SUM(D32:D33)</f>
        <v>591065.19999999995</v>
      </c>
      <c r="E31" s="676" t="s">
        <v>599</v>
      </c>
    </row>
    <row r="32" spans="1:5" ht="37.5" x14ac:dyDescent="0.3">
      <c r="A32" s="674" t="s">
        <v>365</v>
      </c>
      <c r="B32" s="675" t="s">
        <v>367</v>
      </c>
      <c r="C32" s="685">
        <v>201087.9</v>
      </c>
      <c r="D32" s="685">
        <v>201087.9</v>
      </c>
      <c r="E32" s="676" t="s">
        <v>599</v>
      </c>
    </row>
    <row r="33" spans="1:5" x14ac:dyDescent="0.3">
      <c r="A33" s="683"/>
      <c r="B33" s="686" t="s">
        <v>368</v>
      </c>
      <c r="C33" s="685">
        <f>382696.5+7280.8</f>
        <v>389977.3</v>
      </c>
      <c r="D33" s="685">
        <f>382696.5+7280.8</f>
        <v>389977.3</v>
      </c>
      <c r="E33" s="676" t="s">
        <v>599</v>
      </c>
    </row>
    <row r="34" spans="1:5" ht="75" x14ac:dyDescent="0.3">
      <c r="A34" s="683"/>
      <c r="B34" s="675" t="s">
        <v>366</v>
      </c>
      <c r="C34" s="677">
        <v>4326.2</v>
      </c>
      <c r="D34" s="677">
        <v>4401.8</v>
      </c>
      <c r="E34" s="676" t="s">
        <v>599</v>
      </c>
    </row>
    <row r="35" spans="1:5" ht="206.25" x14ac:dyDescent="0.3">
      <c r="A35" s="683"/>
      <c r="B35" s="684" t="s">
        <v>819</v>
      </c>
      <c r="C35" s="677">
        <v>2072.1</v>
      </c>
      <c r="D35" s="677">
        <v>2072.1</v>
      </c>
      <c r="E35" s="676" t="s">
        <v>599</v>
      </c>
    </row>
    <row r="36" spans="1:5" ht="147.6" customHeight="1" x14ac:dyDescent="0.3">
      <c r="A36" s="683"/>
      <c r="B36" s="684" t="s">
        <v>698</v>
      </c>
      <c r="C36" s="677">
        <v>125</v>
      </c>
      <c r="D36" s="677">
        <v>125</v>
      </c>
      <c r="E36" s="676" t="s">
        <v>599</v>
      </c>
    </row>
    <row r="37" spans="1:5" ht="168.75" x14ac:dyDescent="0.3">
      <c r="A37" s="683"/>
      <c r="B37" s="675" t="s">
        <v>369</v>
      </c>
      <c r="C37" s="677">
        <f>C38</f>
        <v>2516</v>
      </c>
      <c r="D37" s="677">
        <f>D38</f>
        <v>2616.6</v>
      </c>
      <c r="E37" s="676" t="s">
        <v>599</v>
      </c>
    </row>
    <row r="38" spans="1:5" ht="75" x14ac:dyDescent="0.3">
      <c r="A38" s="674" t="s">
        <v>365</v>
      </c>
      <c r="B38" s="675" t="s">
        <v>736</v>
      </c>
      <c r="C38" s="677">
        <v>2516</v>
      </c>
      <c r="D38" s="677">
        <v>2616.6</v>
      </c>
      <c r="E38" s="676" t="s">
        <v>599</v>
      </c>
    </row>
    <row r="39" spans="1:5" s="682" customFormat="1" ht="54" customHeight="1" x14ac:dyDescent="0.3">
      <c r="A39" s="683"/>
      <c r="B39" s="675" t="s">
        <v>402</v>
      </c>
      <c r="C39" s="677">
        <f>4763.5+21</f>
        <v>4784.5</v>
      </c>
      <c r="D39" s="677">
        <f>4763.5+21</f>
        <v>4784.5</v>
      </c>
      <c r="E39" s="676" t="s">
        <v>600</v>
      </c>
    </row>
    <row r="40" spans="1:5" s="682" customFormat="1" ht="243.75" x14ac:dyDescent="0.3">
      <c r="A40" s="683"/>
      <c r="B40" s="675" t="s">
        <v>403</v>
      </c>
      <c r="C40" s="677">
        <f>841+6</f>
        <v>847</v>
      </c>
      <c r="D40" s="677">
        <f>841+6</f>
        <v>847</v>
      </c>
      <c r="E40" s="676" t="s">
        <v>600</v>
      </c>
    </row>
    <row r="41" spans="1:5" s="682" customFormat="1" ht="262.5" x14ac:dyDescent="0.3">
      <c r="A41" s="683"/>
      <c r="B41" s="675" t="s">
        <v>735</v>
      </c>
      <c r="C41" s="677">
        <v>231</v>
      </c>
      <c r="D41" s="677">
        <v>231</v>
      </c>
      <c r="E41" s="676" t="s">
        <v>600</v>
      </c>
    </row>
    <row r="42" spans="1:5" s="682" customFormat="1" ht="168.75" x14ac:dyDescent="0.3">
      <c r="A42" s="683"/>
      <c r="B42" s="687" t="s">
        <v>533</v>
      </c>
      <c r="C42" s="677">
        <v>5.2</v>
      </c>
      <c r="D42" s="677">
        <v>5.2</v>
      </c>
      <c r="E42" s="676" t="s">
        <v>600</v>
      </c>
    </row>
    <row r="43" spans="1:5" s="682" customFormat="1" ht="93.75" x14ac:dyDescent="0.3">
      <c r="A43" s="683"/>
      <c r="B43" s="675" t="s">
        <v>528</v>
      </c>
      <c r="C43" s="677">
        <v>512.70000000000005</v>
      </c>
      <c r="D43" s="677">
        <v>533.20000000000005</v>
      </c>
      <c r="E43" s="676" t="s">
        <v>600</v>
      </c>
    </row>
    <row r="44" spans="1:5" s="682" customFormat="1" ht="75" x14ac:dyDescent="0.3">
      <c r="A44" s="683"/>
      <c r="B44" s="675" t="s">
        <v>532</v>
      </c>
      <c r="C44" s="677">
        <v>467.4</v>
      </c>
      <c r="D44" s="677">
        <v>486.1</v>
      </c>
      <c r="E44" s="676" t="s">
        <v>600</v>
      </c>
    </row>
    <row r="45" spans="1:5" s="682" customFormat="1" ht="131.25" x14ac:dyDescent="0.3">
      <c r="A45" s="683"/>
      <c r="B45" s="675" t="s">
        <v>529</v>
      </c>
      <c r="C45" s="677">
        <v>15.6</v>
      </c>
      <c r="D45" s="677">
        <v>15.6</v>
      </c>
      <c r="E45" s="676" t="s">
        <v>600</v>
      </c>
    </row>
    <row r="46" spans="1:5" s="682" customFormat="1" ht="56.25" x14ac:dyDescent="0.3">
      <c r="A46" s="683"/>
      <c r="B46" s="675" t="s">
        <v>594</v>
      </c>
      <c r="C46" s="677">
        <f>614.3+3</f>
        <v>617.29999999999995</v>
      </c>
      <c r="D46" s="677">
        <f>614.3+3</f>
        <v>617.29999999999995</v>
      </c>
      <c r="E46" s="676" t="s">
        <v>600</v>
      </c>
    </row>
    <row r="47" spans="1:5" ht="56.25" x14ac:dyDescent="0.3">
      <c r="A47" s="618" t="s">
        <v>727</v>
      </c>
      <c r="B47" s="673" t="s">
        <v>404</v>
      </c>
      <c r="C47" s="688">
        <f>C48</f>
        <v>61561.100000000006</v>
      </c>
      <c r="D47" s="688">
        <f>D48</f>
        <v>64021.899999999994</v>
      </c>
      <c r="E47" s="676" t="s">
        <v>600</v>
      </c>
    </row>
    <row r="48" spans="1:5" ht="75" x14ac:dyDescent="0.3">
      <c r="A48" s="618" t="s">
        <v>716</v>
      </c>
      <c r="B48" s="673" t="s">
        <v>405</v>
      </c>
      <c r="C48" s="688">
        <f>SUM(C49:C50)</f>
        <v>61561.100000000006</v>
      </c>
      <c r="D48" s="688">
        <f>SUM(D49:D50)</f>
        <v>64021.899999999994</v>
      </c>
      <c r="E48" s="676" t="s">
        <v>600</v>
      </c>
    </row>
    <row r="49" spans="1:8" ht="103.9" customHeight="1" x14ac:dyDescent="0.3">
      <c r="A49" s="683"/>
      <c r="B49" s="689" t="s">
        <v>530</v>
      </c>
      <c r="C49" s="677">
        <v>34336.800000000003</v>
      </c>
      <c r="D49" s="677">
        <v>35709.599999999999</v>
      </c>
      <c r="E49" s="676" t="s">
        <v>600</v>
      </c>
    </row>
    <row r="50" spans="1:8" ht="75" x14ac:dyDescent="0.3">
      <c r="A50" s="683"/>
      <c r="B50" s="689" t="s">
        <v>531</v>
      </c>
      <c r="C50" s="677">
        <v>27224.3</v>
      </c>
      <c r="D50" s="677">
        <v>28312.3</v>
      </c>
      <c r="E50" s="676" t="s">
        <v>600</v>
      </c>
    </row>
    <row r="51" spans="1:8" ht="93.75" x14ac:dyDescent="0.3">
      <c r="A51" s="618" t="s">
        <v>728</v>
      </c>
      <c r="B51" s="671" t="s">
        <v>364</v>
      </c>
      <c r="C51" s="688">
        <f>C52</f>
        <v>9069.2000000000007</v>
      </c>
      <c r="D51" s="688">
        <f>D52</f>
        <v>9069.2000000000007</v>
      </c>
      <c r="E51" s="676" t="s">
        <v>599</v>
      </c>
    </row>
    <row r="52" spans="1:8" ht="112.5" x14ac:dyDescent="0.3">
      <c r="A52" s="618" t="s">
        <v>714</v>
      </c>
      <c r="B52" s="671" t="s">
        <v>56</v>
      </c>
      <c r="C52" s="688">
        <v>9069.2000000000007</v>
      </c>
      <c r="D52" s="688">
        <v>9069.2000000000007</v>
      </c>
      <c r="E52" s="676" t="s">
        <v>599</v>
      </c>
    </row>
    <row r="53" spans="1:8" ht="75" x14ac:dyDescent="0.3">
      <c r="A53" s="613" t="s">
        <v>729</v>
      </c>
      <c r="B53" s="690" t="s">
        <v>632</v>
      </c>
      <c r="C53" s="672">
        <f>C54</f>
        <v>10.8</v>
      </c>
      <c r="D53" s="672">
        <f>D54</f>
        <v>4.7</v>
      </c>
      <c r="E53" s="676" t="s">
        <v>596</v>
      </c>
    </row>
    <row r="54" spans="1:8" ht="93.75" x14ac:dyDescent="0.3">
      <c r="A54" s="613" t="s">
        <v>706</v>
      </c>
      <c r="B54" s="690" t="s">
        <v>566</v>
      </c>
      <c r="C54" s="672">
        <f>9.5+1.3</f>
        <v>10.8</v>
      </c>
      <c r="D54" s="672">
        <f>9.5-4.8</f>
        <v>4.7</v>
      </c>
      <c r="E54" s="676" t="s">
        <v>596</v>
      </c>
    </row>
    <row r="55" spans="1:8" x14ac:dyDescent="0.3">
      <c r="A55" s="691"/>
      <c r="B55" s="692"/>
      <c r="C55" s="693"/>
    </row>
    <row r="56" spans="1:8" x14ac:dyDescent="0.3">
      <c r="A56" s="691"/>
      <c r="B56" s="692"/>
      <c r="C56" s="693"/>
    </row>
    <row r="57" spans="1:8" s="699" customFormat="1" x14ac:dyDescent="0.3">
      <c r="A57" s="696" t="s">
        <v>588</v>
      </c>
      <c r="B57" s="694"/>
      <c r="C57" s="477"/>
      <c r="D57" s="477"/>
      <c r="E57" s="477"/>
      <c r="F57" s="477"/>
      <c r="G57" s="697"/>
      <c r="H57" s="698"/>
    </row>
    <row r="58" spans="1:8" s="699" customFormat="1" x14ac:dyDescent="0.3">
      <c r="A58" s="696" t="s">
        <v>589</v>
      </c>
      <c r="B58" s="694"/>
      <c r="C58" s="477"/>
      <c r="D58" s="477"/>
      <c r="E58" s="477"/>
      <c r="F58" s="477"/>
      <c r="G58" s="697"/>
      <c r="H58" s="698"/>
    </row>
    <row r="59" spans="1:8" s="699" customFormat="1" x14ac:dyDescent="0.3">
      <c r="A59" s="700" t="s">
        <v>590</v>
      </c>
      <c r="B59" s="694"/>
      <c r="D59" s="701" t="s">
        <v>643</v>
      </c>
      <c r="E59" s="477"/>
      <c r="F59" s="477"/>
    </row>
    <row r="403" spans="12:13" x14ac:dyDescent="0.3">
      <c r="L403" s="534">
        <v>135.4</v>
      </c>
      <c r="M403" s="534">
        <v>140.9</v>
      </c>
    </row>
    <row r="404" spans="12:13" x14ac:dyDescent="0.3">
      <c r="L404" s="534">
        <v>27088.9</v>
      </c>
      <c r="M404" s="534">
        <v>28171.4</v>
      </c>
    </row>
  </sheetData>
  <autoFilter ref="A10:F54"/>
  <mergeCells count="4">
    <mergeCell ref="C8:D8"/>
    <mergeCell ref="A8:A9"/>
    <mergeCell ref="B8:B9"/>
    <mergeCell ref="A5:D5"/>
  </mergeCells>
  <printOptions horizontalCentered="1"/>
  <pageMargins left="1.1811023622047245" right="0.39370078740157483" top="0.78740157480314965" bottom="0.39370078740157483" header="0.31496062992125984" footer="0.31496062992125984"/>
  <pageSetup paperSize="9" scale="69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4"/>
  <sheetViews>
    <sheetView zoomScaleNormal="100" zoomScaleSheetLayoutView="85" workbookViewId="0">
      <selection activeCell="H12" sqref="H12"/>
    </sheetView>
  </sheetViews>
  <sheetFormatPr defaultColWidth="9.140625" defaultRowHeight="18.75" x14ac:dyDescent="0.3"/>
  <cols>
    <col min="1" max="1" width="9.140625" style="624"/>
    <col min="2" max="2" width="40" style="624" customWidth="1"/>
    <col min="3" max="3" width="16" style="625" customWidth="1"/>
    <col min="4" max="4" width="17.42578125" style="625" customWidth="1"/>
    <col min="5" max="5" width="15.140625" style="625" customWidth="1"/>
    <col min="6" max="6" width="14.28515625" style="710" customWidth="1"/>
    <col min="7" max="7" width="14.5703125" style="624" customWidth="1"/>
    <col min="8" max="8" width="20.7109375" style="624" customWidth="1"/>
    <col min="9" max="9" width="30.7109375" style="624" customWidth="1"/>
    <col min="10" max="16384" width="9.140625" style="624"/>
  </cols>
  <sheetData>
    <row r="1" spans="1:8" s="219" customFormat="1" x14ac:dyDescent="0.3">
      <c r="F1" s="1" t="s">
        <v>497</v>
      </c>
    </row>
    <row r="2" spans="1:8" s="219" customFormat="1" x14ac:dyDescent="0.3">
      <c r="F2" s="1" t="s">
        <v>0</v>
      </c>
    </row>
    <row r="3" spans="1:8" s="219" customFormat="1" x14ac:dyDescent="0.3">
      <c r="F3" s="1"/>
    </row>
    <row r="4" spans="1:8" x14ac:dyDescent="0.3">
      <c r="F4" s="714" t="s">
        <v>592</v>
      </c>
    </row>
    <row r="5" spans="1:8" x14ac:dyDescent="0.3">
      <c r="F5" s="1" t="s">
        <v>821</v>
      </c>
    </row>
    <row r="7" spans="1:8" x14ac:dyDescent="0.3">
      <c r="F7" s="702"/>
    </row>
    <row r="8" spans="1:8" ht="65.45" customHeight="1" x14ac:dyDescent="0.3">
      <c r="A8" s="974" t="s">
        <v>737</v>
      </c>
      <c r="B8" s="974"/>
      <c r="C8" s="974"/>
      <c r="D8" s="974"/>
      <c r="E8" s="974"/>
      <c r="F8" s="974"/>
      <c r="G8" s="703"/>
      <c r="H8" s="703"/>
    </row>
    <row r="10" spans="1:8" x14ac:dyDescent="0.3">
      <c r="F10" s="626" t="s">
        <v>75</v>
      </c>
    </row>
    <row r="11" spans="1:8" ht="40.9" customHeight="1" x14ac:dyDescent="0.3">
      <c r="A11" s="965" t="s">
        <v>191</v>
      </c>
      <c r="B11" s="965" t="s">
        <v>192</v>
      </c>
      <c r="C11" s="975" t="s">
        <v>193</v>
      </c>
      <c r="D11" s="976"/>
      <c r="E11" s="977"/>
      <c r="F11" s="973" t="s">
        <v>445</v>
      </c>
    </row>
    <row r="12" spans="1:8" ht="116.45" customHeight="1" x14ac:dyDescent="0.3">
      <c r="A12" s="965"/>
      <c r="B12" s="965"/>
      <c r="C12" s="704" t="s">
        <v>194</v>
      </c>
      <c r="D12" s="704" t="s">
        <v>195</v>
      </c>
      <c r="E12" s="704" t="s">
        <v>593</v>
      </c>
      <c r="F12" s="973"/>
    </row>
    <row r="13" spans="1:8" ht="20.45" customHeight="1" x14ac:dyDescent="0.3">
      <c r="A13" s="705">
        <v>1</v>
      </c>
      <c r="B13" s="705">
        <v>2</v>
      </c>
      <c r="C13" s="706">
        <v>3</v>
      </c>
      <c r="D13" s="706">
        <v>4</v>
      </c>
      <c r="E13" s="706">
        <v>5</v>
      </c>
      <c r="F13" s="707">
        <v>6</v>
      </c>
    </row>
    <row r="14" spans="1:8" ht="21" customHeight="1" x14ac:dyDescent="0.3">
      <c r="A14" s="652"/>
      <c r="B14" s="708" t="s">
        <v>445</v>
      </c>
      <c r="C14" s="709">
        <f>SUM(C16:C26)</f>
        <v>440</v>
      </c>
      <c r="D14" s="709">
        <f>SUM(D15:D26)</f>
        <v>863.5999999999998</v>
      </c>
      <c r="E14" s="709">
        <f>SUM(E15:E26)</f>
        <v>193.3</v>
      </c>
      <c r="F14" s="709">
        <f>SUM(F15:F26)</f>
        <v>1496.9</v>
      </c>
    </row>
    <row r="15" spans="1:8" ht="18" customHeight="1" x14ac:dyDescent="0.3">
      <c r="A15" s="705">
        <v>1</v>
      </c>
      <c r="B15" s="715" t="s">
        <v>446</v>
      </c>
      <c r="C15" s="716">
        <v>0</v>
      </c>
      <c r="D15" s="716">
        <v>486.4</v>
      </c>
      <c r="E15" s="716">
        <v>115.4</v>
      </c>
      <c r="F15" s="717">
        <f>C15+D15+E15</f>
        <v>601.79999999999995</v>
      </c>
    </row>
    <row r="16" spans="1:8" ht="18" customHeight="1" x14ac:dyDescent="0.3">
      <c r="A16" s="705">
        <v>2</v>
      </c>
      <c r="B16" s="715" t="s">
        <v>447</v>
      </c>
      <c r="C16" s="716">
        <v>65</v>
      </c>
      <c r="D16" s="716">
        <v>57.1</v>
      </c>
      <c r="E16" s="716">
        <v>0</v>
      </c>
      <c r="F16" s="717">
        <f t="shared" ref="F16:F25" si="0">C16+D16+E16</f>
        <v>122.1</v>
      </c>
    </row>
    <row r="17" spans="1:9" ht="18" customHeight="1" x14ac:dyDescent="0.3">
      <c r="A17" s="705">
        <v>3</v>
      </c>
      <c r="B17" s="715" t="s">
        <v>448</v>
      </c>
      <c r="C17" s="716">
        <v>0</v>
      </c>
      <c r="D17" s="716">
        <v>168</v>
      </c>
      <c r="E17" s="716">
        <v>39.5</v>
      </c>
      <c r="F17" s="717">
        <f t="shared" si="0"/>
        <v>207.5</v>
      </c>
    </row>
    <row r="18" spans="1:9" ht="18" customHeight="1" x14ac:dyDescent="0.3">
      <c r="A18" s="705">
        <v>4</v>
      </c>
      <c r="B18" s="715" t="s">
        <v>449</v>
      </c>
      <c r="C18" s="716">
        <v>60</v>
      </c>
      <c r="D18" s="716">
        <v>13.4</v>
      </c>
      <c r="E18" s="716">
        <v>5.3</v>
      </c>
      <c r="F18" s="717">
        <f t="shared" si="0"/>
        <v>78.7</v>
      </c>
    </row>
    <row r="19" spans="1:9" ht="18" customHeight="1" x14ac:dyDescent="0.3">
      <c r="A19" s="705">
        <v>5</v>
      </c>
      <c r="B19" s="715" t="s">
        <v>341</v>
      </c>
      <c r="C19" s="868">
        <f>75+25</f>
        <v>100</v>
      </c>
      <c r="D19" s="716">
        <v>27.4</v>
      </c>
      <c r="E19" s="716">
        <v>9.9</v>
      </c>
      <c r="F19" s="717">
        <f t="shared" si="0"/>
        <v>137.30000000000001</v>
      </c>
    </row>
    <row r="20" spans="1:9" ht="18" customHeight="1" x14ac:dyDescent="0.3">
      <c r="A20" s="705">
        <v>6</v>
      </c>
      <c r="B20" s="715" t="s">
        <v>450</v>
      </c>
      <c r="C20" s="716">
        <v>60</v>
      </c>
      <c r="D20" s="716">
        <v>16</v>
      </c>
      <c r="E20" s="716">
        <v>5.6</v>
      </c>
      <c r="F20" s="717">
        <f t="shared" si="0"/>
        <v>81.599999999999994</v>
      </c>
    </row>
    <row r="21" spans="1:9" ht="18" customHeight="1" x14ac:dyDescent="0.3">
      <c r="A21" s="705">
        <v>7</v>
      </c>
      <c r="B21" s="715" t="s">
        <v>451</v>
      </c>
      <c r="C21" s="716">
        <v>10</v>
      </c>
      <c r="D21" s="716">
        <v>25.3</v>
      </c>
      <c r="E21" s="716">
        <v>4.7</v>
      </c>
      <c r="F21" s="717">
        <f t="shared" si="0"/>
        <v>40</v>
      </c>
    </row>
    <row r="22" spans="1:9" ht="18" customHeight="1" x14ac:dyDescent="0.3">
      <c r="A22" s="705">
        <v>8</v>
      </c>
      <c r="B22" s="715" t="s">
        <v>343</v>
      </c>
      <c r="C22" s="716">
        <v>15</v>
      </c>
      <c r="D22" s="716">
        <v>19.899999999999999</v>
      </c>
      <c r="E22" s="716">
        <v>0</v>
      </c>
      <c r="F22" s="717">
        <f t="shared" si="0"/>
        <v>34.9</v>
      </c>
      <c r="G22" s="624" t="s">
        <v>196</v>
      </c>
    </row>
    <row r="23" spans="1:9" ht="18" customHeight="1" x14ac:dyDescent="0.3">
      <c r="A23" s="705">
        <v>9</v>
      </c>
      <c r="B23" s="715" t="s">
        <v>344</v>
      </c>
      <c r="C23" s="716">
        <v>50</v>
      </c>
      <c r="D23" s="716">
        <v>11.4</v>
      </c>
      <c r="E23" s="716">
        <v>5.6</v>
      </c>
      <c r="F23" s="717">
        <f t="shared" si="0"/>
        <v>67</v>
      </c>
    </row>
    <row r="24" spans="1:9" ht="18" customHeight="1" x14ac:dyDescent="0.3">
      <c r="A24" s="705">
        <v>10</v>
      </c>
      <c r="B24" s="715" t="s">
        <v>345</v>
      </c>
      <c r="C24" s="716">
        <v>5</v>
      </c>
      <c r="D24" s="716">
        <v>6.8</v>
      </c>
      <c r="E24" s="716">
        <v>1.9</v>
      </c>
      <c r="F24" s="717">
        <f t="shared" si="0"/>
        <v>13.700000000000001</v>
      </c>
    </row>
    <row r="25" spans="1:9" ht="18" customHeight="1" x14ac:dyDescent="0.3">
      <c r="A25" s="705">
        <v>11</v>
      </c>
      <c r="B25" s="715" t="s">
        <v>346</v>
      </c>
      <c r="C25" s="716">
        <v>55</v>
      </c>
      <c r="D25" s="716">
        <v>19.5</v>
      </c>
      <c r="E25" s="716">
        <v>0</v>
      </c>
      <c r="F25" s="717">
        <f t="shared" si="0"/>
        <v>74.5</v>
      </c>
    </row>
    <row r="26" spans="1:9" ht="18" customHeight="1" x14ac:dyDescent="0.3">
      <c r="A26" s="705">
        <v>12</v>
      </c>
      <c r="B26" s="715" t="s">
        <v>347</v>
      </c>
      <c r="C26" s="716">
        <v>20</v>
      </c>
      <c r="D26" s="716">
        <v>12.4</v>
      </c>
      <c r="E26" s="716">
        <v>5.4</v>
      </c>
      <c r="F26" s="717">
        <f>C26+D26+E26</f>
        <v>37.799999999999997</v>
      </c>
    </row>
    <row r="29" spans="1:9" s="480" customFormat="1" x14ac:dyDescent="0.3">
      <c r="A29" s="474" t="s">
        <v>588</v>
      </c>
      <c r="B29" s="475"/>
      <c r="C29" s="476"/>
      <c r="D29" s="476"/>
      <c r="E29" s="476"/>
      <c r="F29" s="476"/>
      <c r="G29" s="476"/>
      <c r="H29" s="478"/>
      <c r="I29" s="479"/>
    </row>
    <row r="30" spans="1:9" s="480" customFormat="1" x14ac:dyDescent="0.3">
      <c r="A30" s="474" t="s">
        <v>589</v>
      </c>
      <c r="B30" s="475"/>
      <c r="C30" s="476"/>
      <c r="D30" s="476"/>
      <c r="E30" s="476"/>
      <c r="F30" s="476"/>
      <c r="G30" s="476"/>
      <c r="H30" s="478"/>
      <c r="I30" s="479"/>
    </row>
    <row r="31" spans="1:9" s="480" customFormat="1" x14ac:dyDescent="0.3">
      <c r="A31" s="481" t="s">
        <v>590</v>
      </c>
      <c r="B31" s="475"/>
      <c r="D31" s="476"/>
      <c r="E31" s="476"/>
      <c r="F31" s="623" t="s">
        <v>643</v>
      </c>
      <c r="G31" s="476"/>
    </row>
    <row r="33" spans="3:14" x14ac:dyDescent="0.3">
      <c r="G33" s="654"/>
      <c r="H33" s="654"/>
      <c r="I33" s="654"/>
      <c r="J33" s="711"/>
      <c r="K33" s="711"/>
      <c r="L33" s="711"/>
      <c r="M33" s="712"/>
      <c r="N33" s="711"/>
    </row>
    <row r="34" spans="3:14" x14ac:dyDescent="0.3">
      <c r="C34" s="656"/>
      <c r="D34" s="656"/>
      <c r="E34" s="656"/>
      <c r="F34" s="713"/>
    </row>
  </sheetData>
  <mergeCells count="5">
    <mergeCell ref="A11:A12"/>
    <mergeCell ref="B11:B12"/>
    <mergeCell ref="F11:F12"/>
    <mergeCell ref="A8:F8"/>
    <mergeCell ref="C11:E11"/>
  </mergeCells>
  <printOptions horizontalCentered="1"/>
  <pageMargins left="1.1811023622047245" right="0.39370078740157483" top="0.78740157480314965" bottom="0.78740157480314965" header="0" footer="0"/>
  <pageSetup paperSize="9" scale="76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61"/>
  <sheetViews>
    <sheetView zoomScaleNormal="100" zoomScaleSheetLayoutView="80" workbookViewId="0">
      <selection sqref="A1:XFD1048576"/>
    </sheetView>
  </sheetViews>
  <sheetFormatPr defaultColWidth="9.140625" defaultRowHeight="18" x14ac:dyDescent="0.25"/>
  <cols>
    <col min="1" max="1" width="60.7109375" style="718" customWidth="1"/>
    <col min="2" max="2" width="13.42578125" style="718" customWidth="1"/>
    <col min="3" max="3" width="16.28515625" style="718" customWidth="1"/>
    <col min="4" max="4" width="15.7109375" style="720" customWidth="1"/>
    <col min="5" max="5" width="8.140625" style="718" customWidth="1"/>
    <col min="6" max="6" width="22.85546875" style="718" customWidth="1"/>
    <col min="7" max="16384" width="9.140625" style="718"/>
  </cols>
  <sheetData>
    <row r="1" spans="1:6" ht="18" customHeight="1" x14ac:dyDescent="0.3">
      <c r="A1" s="980" t="s">
        <v>808</v>
      </c>
      <c r="B1" s="980"/>
      <c r="C1" s="980"/>
      <c r="D1" s="980"/>
    </row>
    <row r="2" spans="1:6" ht="18.75" x14ac:dyDescent="0.3">
      <c r="D2" s="702" t="s">
        <v>0</v>
      </c>
    </row>
    <row r="3" spans="1:6" ht="18.75" x14ac:dyDescent="0.3">
      <c r="A3" s="719"/>
      <c r="B3" s="719"/>
      <c r="C3" s="719"/>
    </row>
    <row r="4" spans="1:6" ht="18.75" x14ac:dyDescent="0.3">
      <c r="A4" s="978" t="s">
        <v>649</v>
      </c>
      <c r="B4" s="979"/>
      <c r="C4" s="979"/>
      <c r="D4" s="979"/>
    </row>
    <row r="5" spans="1:6" ht="18.75" x14ac:dyDescent="0.3">
      <c r="A5" s="978" t="s">
        <v>650</v>
      </c>
      <c r="B5" s="979"/>
      <c r="C5" s="979"/>
      <c r="D5" s="979"/>
    </row>
    <row r="6" spans="1:6" ht="18.75" x14ac:dyDescent="0.3">
      <c r="A6" s="978" t="s">
        <v>747</v>
      </c>
      <c r="B6" s="978"/>
      <c r="C6" s="978"/>
      <c r="D6" s="978"/>
    </row>
    <row r="7" spans="1:6" ht="18.75" x14ac:dyDescent="0.3">
      <c r="A7" s="721"/>
      <c r="B7" s="721"/>
      <c r="C7" s="721"/>
      <c r="D7" s="721"/>
    </row>
    <row r="8" spans="1:6" ht="18.75" x14ac:dyDescent="0.3">
      <c r="A8" s="719"/>
      <c r="D8" s="722" t="s">
        <v>748</v>
      </c>
    </row>
    <row r="9" spans="1:6" ht="56.25" x14ac:dyDescent="0.25">
      <c r="A9" s="723" t="s">
        <v>65</v>
      </c>
      <c r="B9" s="723" t="s">
        <v>651</v>
      </c>
      <c r="C9" s="723" t="s">
        <v>652</v>
      </c>
      <c r="D9" s="723" t="s">
        <v>653</v>
      </c>
    </row>
    <row r="10" spans="1:6" ht="18.75" x14ac:dyDescent="0.3">
      <c r="A10" s="724">
        <v>1</v>
      </c>
      <c r="B10" s="724">
        <v>2</v>
      </c>
      <c r="C10" s="724">
        <v>3</v>
      </c>
      <c r="D10" s="725">
        <v>4</v>
      </c>
    </row>
    <row r="11" spans="1:6" ht="56.25" x14ac:dyDescent="0.3">
      <c r="A11" s="761" t="s">
        <v>654</v>
      </c>
      <c r="B11" s="726"/>
      <c r="C11" s="727"/>
      <c r="D11" s="728"/>
      <c r="F11" s="729"/>
    </row>
    <row r="12" spans="1:6" ht="37.5" x14ac:dyDescent="0.3">
      <c r="A12" s="730" t="s">
        <v>655</v>
      </c>
      <c r="B12" s="731">
        <v>100</v>
      </c>
      <c r="C12" s="732"/>
      <c r="D12" s="733"/>
    </row>
    <row r="13" spans="1:6" ht="37.5" x14ac:dyDescent="0.3">
      <c r="A13" s="730" t="s">
        <v>656</v>
      </c>
      <c r="B13" s="731">
        <v>100</v>
      </c>
      <c r="C13" s="734"/>
      <c r="D13" s="735"/>
      <c r="F13" s="720"/>
    </row>
    <row r="14" spans="1:6" ht="96.75" customHeight="1" x14ac:dyDescent="0.3">
      <c r="A14" s="730" t="s">
        <v>657</v>
      </c>
      <c r="B14" s="731">
        <v>100</v>
      </c>
      <c r="C14" s="736"/>
      <c r="D14" s="733"/>
    </row>
    <row r="15" spans="1:6" ht="56.25" x14ac:dyDescent="0.3">
      <c r="A15" s="730" t="s">
        <v>658</v>
      </c>
      <c r="B15" s="731">
        <v>100</v>
      </c>
      <c r="C15" s="736"/>
      <c r="D15" s="733"/>
    </row>
    <row r="16" spans="1:6" ht="37.5" x14ac:dyDescent="0.3">
      <c r="A16" s="737" t="s">
        <v>659</v>
      </c>
      <c r="B16" s="738">
        <v>100</v>
      </c>
      <c r="C16" s="739"/>
      <c r="D16" s="740"/>
    </row>
    <row r="17" spans="1:4" ht="37.5" customHeight="1" x14ac:dyDescent="0.3">
      <c r="A17" s="761" t="s">
        <v>660</v>
      </c>
      <c r="B17" s="741"/>
      <c r="C17" s="742"/>
      <c r="D17" s="743"/>
    </row>
    <row r="18" spans="1:4" ht="37.5" x14ac:dyDescent="0.3">
      <c r="A18" s="730" t="s">
        <v>661</v>
      </c>
      <c r="B18" s="731" t="s">
        <v>103</v>
      </c>
      <c r="C18" s="736"/>
      <c r="D18" s="733"/>
    </row>
    <row r="19" spans="1:4" ht="37.5" x14ac:dyDescent="0.3">
      <c r="A19" s="730" t="s">
        <v>662</v>
      </c>
      <c r="B19" s="744"/>
      <c r="C19" s="745">
        <v>100</v>
      </c>
      <c r="D19" s="735"/>
    </row>
    <row r="20" spans="1:4" ht="37.5" x14ac:dyDescent="0.3">
      <c r="A20" s="730" t="s">
        <v>663</v>
      </c>
      <c r="B20" s="746"/>
      <c r="C20" s="736"/>
      <c r="D20" s="745">
        <v>100</v>
      </c>
    </row>
    <row r="21" spans="1:4" ht="37.5" x14ac:dyDescent="0.3">
      <c r="A21" s="761" t="s">
        <v>749</v>
      </c>
      <c r="B21" s="747"/>
      <c r="C21" s="742"/>
      <c r="D21" s="743"/>
    </row>
    <row r="22" spans="1:4" ht="56.25" x14ac:dyDescent="0.3">
      <c r="A22" s="730" t="s">
        <v>63</v>
      </c>
      <c r="B22" s="745" t="s">
        <v>103</v>
      </c>
      <c r="C22" s="734"/>
      <c r="D22" s="735"/>
    </row>
    <row r="23" spans="1:4" ht="56.25" x14ac:dyDescent="0.3">
      <c r="A23" s="730" t="s">
        <v>664</v>
      </c>
      <c r="B23" s="748"/>
      <c r="C23" s="745">
        <v>100</v>
      </c>
      <c r="D23" s="733"/>
    </row>
    <row r="24" spans="1:4" ht="56.25" x14ac:dyDescent="0.3">
      <c r="A24" s="730" t="s">
        <v>665</v>
      </c>
      <c r="B24" s="748"/>
      <c r="C24" s="736"/>
      <c r="D24" s="745">
        <v>100</v>
      </c>
    </row>
    <row r="25" spans="1:4" ht="56.25" x14ac:dyDescent="0.3">
      <c r="A25" s="730" t="s">
        <v>666</v>
      </c>
      <c r="B25" s="745" t="s">
        <v>103</v>
      </c>
      <c r="C25" s="736"/>
      <c r="D25" s="733"/>
    </row>
    <row r="26" spans="1:4" ht="56.25" x14ac:dyDescent="0.3">
      <c r="A26" s="730" t="s">
        <v>667</v>
      </c>
      <c r="B26" s="749"/>
      <c r="C26" s="745">
        <v>100</v>
      </c>
      <c r="D26" s="735"/>
    </row>
    <row r="27" spans="1:4" ht="56.25" x14ac:dyDescent="0.3">
      <c r="A27" s="730" t="s">
        <v>668</v>
      </c>
      <c r="B27" s="750"/>
      <c r="C27" s="751"/>
      <c r="D27" s="745">
        <v>100</v>
      </c>
    </row>
    <row r="28" spans="1:4" ht="37.5" x14ac:dyDescent="0.3">
      <c r="A28" s="730" t="s">
        <v>669</v>
      </c>
      <c r="B28" s="745" t="s">
        <v>103</v>
      </c>
      <c r="C28" s="751"/>
      <c r="D28" s="752"/>
    </row>
    <row r="29" spans="1:4" ht="37.5" x14ac:dyDescent="0.3">
      <c r="A29" s="730" t="s">
        <v>670</v>
      </c>
      <c r="B29" s="750"/>
      <c r="C29" s="745">
        <v>100</v>
      </c>
      <c r="D29" s="752"/>
    </row>
    <row r="30" spans="1:4" ht="37.5" x14ac:dyDescent="0.3">
      <c r="A30" s="737" t="s">
        <v>671</v>
      </c>
      <c r="B30" s="753"/>
      <c r="C30" s="754"/>
      <c r="D30" s="755">
        <v>100</v>
      </c>
    </row>
    <row r="31" spans="1:4" ht="18.75" x14ac:dyDescent="0.3">
      <c r="A31" s="762" t="s">
        <v>672</v>
      </c>
      <c r="B31" s="746"/>
      <c r="C31" s="736"/>
      <c r="D31" s="733"/>
    </row>
    <row r="32" spans="1:4" ht="56.25" customHeight="1" x14ac:dyDescent="0.3">
      <c r="A32" s="730" t="s">
        <v>673</v>
      </c>
      <c r="B32" s="731" t="s">
        <v>103</v>
      </c>
      <c r="C32" s="736"/>
      <c r="D32" s="733"/>
    </row>
    <row r="33" spans="1:5" ht="56.25" x14ac:dyDescent="0.3">
      <c r="A33" s="730" t="s">
        <v>674</v>
      </c>
      <c r="B33" s="746"/>
      <c r="C33" s="745">
        <v>100</v>
      </c>
      <c r="D33" s="733"/>
    </row>
    <row r="34" spans="1:5" ht="56.25" x14ac:dyDescent="0.3">
      <c r="A34" s="730" t="s">
        <v>675</v>
      </c>
      <c r="B34" s="746"/>
      <c r="C34" s="756"/>
      <c r="D34" s="745">
        <v>100</v>
      </c>
    </row>
    <row r="35" spans="1:5" ht="18.75" x14ac:dyDescent="0.3">
      <c r="A35" s="761" t="s">
        <v>676</v>
      </c>
      <c r="B35" s="747"/>
      <c r="C35" s="742"/>
      <c r="D35" s="743"/>
    </row>
    <row r="36" spans="1:5" ht="93.75" customHeight="1" x14ac:dyDescent="0.3">
      <c r="A36" s="730" t="s">
        <v>677</v>
      </c>
      <c r="B36" s="745" t="s">
        <v>103</v>
      </c>
      <c r="C36" s="736"/>
      <c r="D36" s="733"/>
    </row>
    <row r="37" spans="1:5" ht="75" x14ac:dyDescent="0.3">
      <c r="A37" s="730" t="s">
        <v>678</v>
      </c>
      <c r="B37" s="745">
        <v>100</v>
      </c>
      <c r="C37" s="734"/>
      <c r="D37" s="735"/>
    </row>
    <row r="38" spans="1:5" ht="91.5" customHeight="1" x14ac:dyDescent="0.3">
      <c r="A38" s="730" t="s">
        <v>679</v>
      </c>
      <c r="B38" s="748"/>
      <c r="C38" s="745">
        <v>100</v>
      </c>
      <c r="D38" s="733"/>
    </row>
    <row r="39" spans="1:5" ht="75" x14ac:dyDescent="0.3">
      <c r="A39" s="730" t="s">
        <v>680</v>
      </c>
      <c r="B39" s="748"/>
      <c r="C39" s="745">
        <v>100</v>
      </c>
      <c r="D39" s="733"/>
    </row>
    <row r="40" spans="1:5" ht="94.5" customHeight="1" x14ac:dyDescent="0.3">
      <c r="A40" s="730" t="s">
        <v>681</v>
      </c>
      <c r="B40" s="749"/>
      <c r="C40" s="734"/>
      <c r="D40" s="745">
        <v>100</v>
      </c>
      <c r="E40" s="757"/>
    </row>
    <row r="41" spans="1:5" ht="75" x14ac:dyDescent="0.3">
      <c r="A41" s="730" t="s">
        <v>682</v>
      </c>
      <c r="B41" s="748"/>
      <c r="C41" s="736"/>
      <c r="D41" s="745">
        <v>100</v>
      </c>
    </row>
    <row r="42" spans="1:5" ht="112.5" x14ac:dyDescent="0.3">
      <c r="A42" s="730" t="s">
        <v>683</v>
      </c>
      <c r="B42" s="745" t="s">
        <v>103</v>
      </c>
      <c r="C42" s="736"/>
      <c r="D42" s="733"/>
    </row>
    <row r="43" spans="1:5" ht="112.5" x14ac:dyDescent="0.3">
      <c r="A43" s="730" t="s">
        <v>684</v>
      </c>
      <c r="B43" s="748"/>
      <c r="C43" s="745">
        <v>100</v>
      </c>
      <c r="D43" s="733"/>
    </row>
    <row r="44" spans="1:5" ht="112.5" x14ac:dyDescent="0.3">
      <c r="A44" s="730" t="s">
        <v>685</v>
      </c>
      <c r="B44" s="748"/>
      <c r="C44" s="736"/>
      <c r="D44" s="745">
        <v>100</v>
      </c>
    </row>
    <row r="45" spans="1:5" ht="18.75" x14ac:dyDescent="0.3">
      <c r="A45" s="761" t="s">
        <v>686</v>
      </c>
      <c r="B45" s="747"/>
      <c r="C45" s="742"/>
      <c r="D45" s="743"/>
    </row>
    <row r="46" spans="1:5" ht="37.5" x14ac:dyDescent="0.3">
      <c r="A46" s="730" t="s">
        <v>12</v>
      </c>
      <c r="B46" s="745" t="s">
        <v>103</v>
      </c>
      <c r="C46" s="736"/>
      <c r="D46" s="733"/>
    </row>
    <row r="47" spans="1:5" ht="37.5" x14ac:dyDescent="0.3">
      <c r="A47" s="730" t="s">
        <v>687</v>
      </c>
      <c r="B47" s="748"/>
      <c r="C47" s="745">
        <v>100</v>
      </c>
      <c r="D47" s="745"/>
    </row>
    <row r="48" spans="1:5" ht="37.5" x14ac:dyDescent="0.3">
      <c r="A48" s="730" t="s">
        <v>688</v>
      </c>
      <c r="B48" s="748"/>
      <c r="C48" s="745"/>
      <c r="D48" s="745">
        <v>100</v>
      </c>
    </row>
    <row r="49" spans="1:8" ht="37.5" x14ac:dyDescent="0.3">
      <c r="A49" s="730" t="s">
        <v>689</v>
      </c>
      <c r="B49" s="745" t="s">
        <v>103</v>
      </c>
      <c r="C49" s="736"/>
      <c r="D49" s="733"/>
    </row>
    <row r="50" spans="1:8" ht="37.5" x14ac:dyDescent="0.3">
      <c r="A50" s="730" t="s">
        <v>690</v>
      </c>
      <c r="B50" s="748"/>
      <c r="C50" s="745">
        <v>100</v>
      </c>
      <c r="D50" s="733"/>
    </row>
    <row r="51" spans="1:8" ht="37.5" x14ac:dyDescent="0.3">
      <c r="A51" s="730" t="s">
        <v>691</v>
      </c>
      <c r="B51" s="748"/>
      <c r="C51" s="745"/>
      <c r="D51" s="745">
        <v>100</v>
      </c>
    </row>
    <row r="52" spans="1:8" ht="92.25" customHeight="1" x14ac:dyDescent="0.3">
      <c r="A52" s="730" t="s">
        <v>692</v>
      </c>
      <c r="B52" s="748"/>
      <c r="C52" s="745">
        <v>100</v>
      </c>
      <c r="D52" s="745"/>
    </row>
    <row r="53" spans="1:8" ht="94.5" customHeight="1" x14ac:dyDescent="0.3">
      <c r="A53" s="730" t="s">
        <v>693</v>
      </c>
      <c r="B53" s="748"/>
      <c r="C53" s="745"/>
      <c r="D53" s="745">
        <v>100</v>
      </c>
    </row>
    <row r="54" spans="1:8" ht="37.5" x14ac:dyDescent="0.3">
      <c r="A54" s="730" t="s">
        <v>694</v>
      </c>
      <c r="B54" s="745" t="s">
        <v>103</v>
      </c>
      <c r="C54" s="745"/>
      <c r="D54" s="733"/>
    </row>
    <row r="55" spans="1:8" ht="37.5" x14ac:dyDescent="0.3">
      <c r="A55" s="730" t="s">
        <v>695</v>
      </c>
      <c r="B55" s="748"/>
      <c r="C55" s="745">
        <v>100</v>
      </c>
      <c r="D55" s="733"/>
    </row>
    <row r="56" spans="1:8" ht="37.5" x14ac:dyDescent="0.3">
      <c r="A56" s="737" t="s">
        <v>696</v>
      </c>
      <c r="B56" s="758"/>
      <c r="C56" s="739"/>
      <c r="D56" s="755">
        <v>100</v>
      </c>
    </row>
    <row r="57" spans="1:8" ht="18.75" x14ac:dyDescent="0.3">
      <c r="A57" s="759"/>
      <c r="B57" s="746"/>
      <c r="C57" s="760"/>
      <c r="D57" s="731"/>
    </row>
    <row r="59" spans="1:8" s="480" customFormat="1" ht="18.75" x14ac:dyDescent="0.3">
      <c r="A59" s="474" t="s">
        <v>588</v>
      </c>
      <c r="B59" s="475"/>
      <c r="C59" s="476"/>
      <c r="D59" s="476"/>
      <c r="E59" s="476"/>
      <c r="F59" s="477"/>
      <c r="G59" s="478"/>
      <c r="H59" s="479"/>
    </row>
    <row r="60" spans="1:8" s="480" customFormat="1" ht="18.75" x14ac:dyDescent="0.3">
      <c r="A60" s="474" t="s">
        <v>589</v>
      </c>
      <c r="B60" s="475"/>
      <c r="C60" s="476"/>
      <c r="D60" s="476"/>
      <c r="E60" s="476"/>
      <c r="F60" s="477"/>
      <c r="G60" s="478"/>
      <c r="H60" s="479"/>
    </row>
    <row r="61" spans="1:8" s="480" customFormat="1" ht="18.75" x14ac:dyDescent="0.3">
      <c r="A61" s="481" t="s">
        <v>590</v>
      </c>
      <c r="B61" s="475"/>
      <c r="D61" s="623" t="s">
        <v>643</v>
      </c>
      <c r="E61" s="476"/>
      <c r="F61" s="477"/>
    </row>
  </sheetData>
  <mergeCells count="4">
    <mergeCell ref="A4:D4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zoomScaleNormal="100" zoomScaleSheetLayoutView="100" workbookViewId="0">
      <selection activeCell="D2" sqref="D2"/>
    </sheetView>
  </sheetViews>
  <sheetFormatPr defaultColWidth="9.140625" defaultRowHeight="18" x14ac:dyDescent="0.25"/>
  <cols>
    <col min="1" max="1" width="6.140625" style="19" customWidth="1"/>
    <col min="2" max="2" width="9.140625" style="19" customWidth="1"/>
    <col min="3" max="3" width="62.140625" style="19" customWidth="1"/>
    <col min="4" max="4" width="17.7109375" style="21" customWidth="1"/>
    <col min="5" max="5" width="8.140625" style="19" customWidth="1"/>
    <col min="6" max="6" width="22.85546875" style="19" customWidth="1"/>
    <col min="7" max="16384" width="9.140625" style="19"/>
  </cols>
  <sheetData>
    <row r="1" spans="1:6" s="219" customFormat="1" ht="18.75" x14ac:dyDescent="0.3">
      <c r="D1" s="1" t="s">
        <v>697</v>
      </c>
    </row>
    <row r="2" spans="1:6" s="219" customFormat="1" ht="18.75" x14ac:dyDescent="0.3">
      <c r="D2" s="1" t="s">
        <v>0</v>
      </c>
    </row>
    <row r="4" spans="1:6" ht="18.75" x14ac:dyDescent="0.3">
      <c r="D4" s="1" t="s">
        <v>701</v>
      </c>
    </row>
    <row r="5" spans="1:6" ht="18.75" x14ac:dyDescent="0.3">
      <c r="D5" s="1" t="s">
        <v>821</v>
      </c>
    </row>
    <row r="6" spans="1:6" ht="18.75" x14ac:dyDescent="0.3">
      <c r="D6" s="12"/>
    </row>
    <row r="7" spans="1:6" ht="18.75" x14ac:dyDescent="0.3">
      <c r="A7" s="20"/>
      <c r="B7" s="20"/>
      <c r="C7" s="20"/>
    </row>
    <row r="8" spans="1:6" ht="18.75" x14ac:dyDescent="0.3">
      <c r="A8" s="981" t="s">
        <v>233</v>
      </c>
      <c r="B8" s="982"/>
      <c r="C8" s="982"/>
      <c r="D8" s="982"/>
    </row>
    <row r="9" spans="1:6" ht="18.75" x14ac:dyDescent="0.3">
      <c r="A9" s="981" t="s">
        <v>750</v>
      </c>
      <c r="B9" s="982"/>
      <c r="C9" s="982"/>
      <c r="D9" s="982"/>
    </row>
    <row r="10" spans="1:6" ht="18.75" x14ac:dyDescent="0.3">
      <c r="A10" s="20"/>
      <c r="D10" s="19"/>
    </row>
    <row r="11" spans="1:6" ht="18.75" x14ac:dyDescent="0.3">
      <c r="D11" s="13" t="s">
        <v>75</v>
      </c>
    </row>
    <row r="12" spans="1:6" ht="38.450000000000003" customHeight="1" x14ac:dyDescent="0.25">
      <c r="A12" s="270" t="s">
        <v>234</v>
      </c>
      <c r="B12" s="271" t="s">
        <v>466</v>
      </c>
      <c r="C12" s="271" t="s">
        <v>77</v>
      </c>
      <c r="D12" s="84" t="s">
        <v>66</v>
      </c>
    </row>
    <row r="13" spans="1:6" ht="18.75" x14ac:dyDescent="0.3">
      <c r="A13" s="197">
        <v>1</v>
      </c>
      <c r="B13" s="197">
        <v>2</v>
      </c>
      <c r="C13" s="197">
        <v>3</v>
      </c>
      <c r="D13" s="198">
        <v>4</v>
      </c>
    </row>
    <row r="14" spans="1:6" ht="18.75" x14ac:dyDescent="0.3">
      <c r="A14" s="22"/>
      <c r="B14" s="22"/>
      <c r="C14" s="23" t="s">
        <v>235</v>
      </c>
      <c r="D14" s="207">
        <f>D16+D23+D26+D30+D33+D39+D42+D44+D54+D48+D52</f>
        <v>1315947.2408499999</v>
      </c>
      <c r="F14" s="286">
        <f>D14-'прил12(ведом 19)'!M15</f>
        <v>2.0000000018626451E-2</v>
      </c>
    </row>
    <row r="15" spans="1:6" ht="18.75" x14ac:dyDescent="0.3">
      <c r="A15" s="22"/>
      <c r="B15" s="22"/>
      <c r="C15" s="24" t="s">
        <v>236</v>
      </c>
      <c r="D15" s="25"/>
    </row>
    <row r="16" spans="1:6" ht="18.75" x14ac:dyDescent="0.3">
      <c r="A16" s="167">
        <v>1</v>
      </c>
      <c r="B16" s="164" t="s">
        <v>237</v>
      </c>
      <c r="C16" s="26" t="s">
        <v>89</v>
      </c>
      <c r="D16" s="27">
        <f>SUM(D17:D22)</f>
        <v>130356.14899999999</v>
      </c>
      <c r="F16" s="21"/>
    </row>
    <row r="17" spans="1:4" ht="56.25" x14ac:dyDescent="0.3">
      <c r="A17" s="168"/>
      <c r="B17" s="165" t="s">
        <v>238</v>
      </c>
      <c r="C17" s="28" t="s">
        <v>239</v>
      </c>
      <c r="D17" s="25">
        <f>'прил12(ведом 19)'!M608</f>
        <v>1971.5</v>
      </c>
    </row>
    <row r="18" spans="1:4" ht="75" x14ac:dyDescent="0.3">
      <c r="A18" s="168"/>
      <c r="B18" s="165" t="s">
        <v>240</v>
      </c>
      <c r="C18" s="28" t="s">
        <v>104</v>
      </c>
      <c r="D18" s="25">
        <f>'прил12(ведом 19)'!M609</f>
        <v>65477.449000000001</v>
      </c>
    </row>
    <row r="19" spans="1:4" ht="18.75" x14ac:dyDescent="0.3">
      <c r="A19" s="168"/>
      <c r="B19" s="165" t="s">
        <v>644</v>
      </c>
      <c r="C19" s="232" t="s">
        <v>634</v>
      </c>
      <c r="D19" s="25">
        <f>'прил12(ведом 19)'!M610</f>
        <v>10.4</v>
      </c>
    </row>
    <row r="20" spans="1:4" ht="56.25" x14ac:dyDescent="0.3">
      <c r="A20" s="168"/>
      <c r="B20" s="165" t="s">
        <v>241</v>
      </c>
      <c r="C20" s="28" t="s">
        <v>198</v>
      </c>
      <c r="D20" s="25">
        <f>'прил12(ведом 19)'!M611</f>
        <v>27614.899999999998</v>
      </c>
    </row>
    <row r="21" spans="1:4" ht="18.75" x14ac:dyDescent="0.3">
      <c r="A21" s="168"/>
      <c r="B21" s="165" t="s">
        <v>242</v>
      </c>
      <c r="C21" s="28" t="s">
        <v>122</v>
      </c>
      <c r="D21" s="25">
        <f>'прил12(ведом 19)'!M613</f>
        <v>3000</v>
      </c>
    </row>
    <row r="22" spans="1:4" ht="18.75" x14ac:dyDescent="0.3">
      <c r="A22" s="168"/>
      <c r="B22" s="165" t="s">
        <v>243</v>
      </c>
      <c r="C22" s="28" t="s">
        <v>129</v>
      </c>
      <c r="D22" s="25">
        <f>'прил12(ведом 19)'!M614</f>
        <v>32281.900000000005</v>
      </c>
    </row>
    <row r="23" spans="1:4" ht="37.5" x14ac:dyDescent="0.3">
      <c r="A23" s="167">
        <v>2</v>
      </c>
      <c r="B23" s="164" t="s">
        <v>244</v>
      </c>
      <c r="C23" s="26" t="s">
        <v>137</v>
      </c>
      <c r="D23" s="27">
        <f>SUM(D24:D25)</f>
        <v>11776.77068</v>
      </c>
    </row>
    <row r="24" spans="1:4" ht="56.25" x14ac:dyDescent="0.3">
      <c r="A24" s="168"/>
      <c r="B24" s="165" t="s">
        <v>245</v>
      </c>
      <c r="C24" s="28" t="s">
        <v>138</v>
      </c>
      <c r="D24" s="25">
        <f>'прил12(ведом 19)'!M617</f>
        <v>4076.8166799999999</v>
      </c>
    </row>
    <row r="25" spans="1:4" ht="37.5" x14ac:dyDescent="0.3">
      <c r="A25" s="168"/>
      <c r="B25" s="165" t="s">
        <v>246</v>
      </c>
      <c r="C25" s="28" t="s">
        <v>148</v>
      </c>
      <c r="D25" s="25">
        <f>'прил12(ведом 19)'!M618</f>
        <v>7699.9539999999997</v>
      </c>
    </row>
    <row r="26" spans="1:4" ht="18.75" x14ac:dyDescent="0.3">
      <c r="A26" s="167">
        <v>3</v>
      </c>
      <c r="B26" s="164" t="s">
        <v>247</v>
      </c>
      <c r="C26" s="26" t="s">
        <v>154</v>
      </c>
      <c r="D26" s="27">
        <f>SUM(D27:D29)</f>
        <v>27096.2294</v>
      </c>
    </row>
    <row r="27" spans="1:4" ht="18.75" x14ac:dyDescent="0.3">
      <c r="A27" s="167"/>
      <c r="B27" s="165" t="s">
        <v>248</v>
      </c>
      <c r="C27" s="28" t="s">
        <v>155</v>
      </c>
      <c r="D27" s="25">
        <f>'прил12(ведом 19)'!M621</f>
        <v>11958.5</v>
      </c>
    </row>
    <row r="28" spans="1:4" ht="18.75" x14ac:dyDescent="0.3">
      <c r="A28" s="168"/>
      <c r="B28" s="165" t="s">
        <v>249</v>
      </c>
      <c r="C28" s="28" t="s">
        <v>161</v>
      </c>
      <c r="D28" s="25">
        <f>'прил12(ведом 19)'!M622</f>
        <v>5673.0294000000004</v>
      </c>
    </row>
    <row r="29" spans="1:4" ht="37.5" x14ac:dyDescent="0.3">
      <c r="A29" s="168"/>
      <c r="B29" s="165" t="s">
        <v>250</v>
      </c>
      <c r="C29" s="28" t="s">
        <v>169</v>
      </c>
      <c r="D29" s="25">
        <f>'прил12(ведом 19)'!M623</f>
        <v>9464.7000000000007</v>
      </c>
    </row>
    <row r="30" spans="1:4" ht="18.75" x14ac:dyDescent="0.3">
      <c r="A30" s="167">
        <v>4</v>
      </c>
      <c r="B30" s="164" t="s">
        <v>251</v>
      </c>
      <c r="C30" s="26" t="s">
        <v>252</v>
      </c>
      <c r="D30" s="27">
        <f>SUM(D31:D32)</f>
        <v>2671.5</v>
      </c>
    </row>
    <row r="31" spans="1:4" ht="18.75" x14ac:dyDescent="0.3">
      <c r="A31" s="167"/>
      <c r="B31" s="166" t="s">
        <v>487</v>
      </c>
      <c r="C31" s="29" t="s">
        <v>483</v>
      </c>
      <c r="D31" s="30">
        <f>'прил12(ведом 19)'!M627</f>
        <v>2635.8</v>
      </c>
    </row>
    <row r="32" spans="1:4" ht="37.5" x14ac:dyDescent="0.3">
      <c r="A32" s="167"/>
      <c r="B32" s="166" t="s">
        <v>479</v>
      </c>
      <c r="C32" s="29" t="s">
        <v>476</v>
      </c>
      <c r="D32" s="30">
        <f>'прил12(ведом 19)'!M628</f>
        <v>35.700000000000003</v>
      </c>
    </row>
    <row r="33" spans="1:5" ht="18.75" x14ac:dyDescent="0.3">
      <c r="A33" s="167">
        <v>5</v>
      </c>
      <c r="B33" s="164" t="s">
        <v>253</v>
      </c>
      <c r="C33" s="26" t="s">
        <v>254</v>
      </c>
      <c r="D33" s="27">
        <f>SUM(D34:D38)</f>
        <v>937740.39176999999</v>
      </c>
    </row>
    <row r="34" spans="1:5" ht="18.75" x14ac:dyDescent="0.3">
      <c r="A34" s="168"/>
      <c r="B34" s="165" t="s">
        <v>255</v>
      </c>
      <c r="C34" s="28" t="s">
        <v>256</v>
      </c>
      <c r="D34" s="25">
        <f>'прил12(ведом 19)'!M631</f>
        <v>296154.60000000003</v>
      </c>
    </row>
    <row r="35" spans="1:5" ht="18.75" x14ac:dyDescent="0.3">
      <c r="A35" s="168"/>
      <c r="B35" s="165" t="s">
        <v>257</v>
      </c>
      <c r="C35" s="28" t="s">
        <v>258</v>
      </c>
      <c r="D35" s="25">
        <f>'прил12(ведом 19)'!M632</f>
        <v>488566.8</v>
      </c>
    </row>
    <row r="36" spans="1:5" ht="18.75" x14ac:dyDescent="0.3">
      <c r="A36" s="168"/>
      <c r="B36" s="165" t="s">
        <v>516</v>
      </c>
      <c r="C36" s="28" t="s">
        <v>517</v>
      </c>
      <c r="D36" s="25">
        <f>'прил12(ведом 19)'!M633</f>
        <v>100366.80346000001</v>
      </c>
    </row>
    <row r="37" spans="1:5" ht="18.75" x14ac:dyDescent="0.3">
      <c r="A37" s="167"/>
      <c r="B37" s="165" t="s">
        <v>259</v>
      </c>
      <c r="C37" s="28" t="s">
        <v>518</v>
      </c>
      <c r="D37" s="25">
        <f>'прил12(ведом 19)'!M635</f>
        <v>8058.4000000000005</v>
      </c>
    </row>
    <row r="38" spans="1:5" ht="18.75" x14ac:dyDescent="0.3">
      <c r="A38" s="168"/>
      <c r="B38" s="165" t="s">
        <v>260</v>
      </c>
      <c r="C38" s="28" t="s">
        <v>261</v>
      </c>
      <c r="D38" s="25">
        <f>'прил12(ведом 19)'!M636+0.02</f>
        <v>44593.788309999989</v>
      </c>
      <c r="E38" s="915">
        <v>0.02</v>
      </c>
    </row>
    <row r="39" spans="1:5" ht="18.75" x14ac:dyDescent="0.3">
      <c r="A39" s="171">
        <v>6</v>
      </c>
      <c r="B39" s="164" t="s">
        <v>262</v>
      </c>
      <c r="C39" s="26" t="s">
        <v>263</v>
      </c>
      <c r="D39" s="27">
        <f>SUM(D40:D41)</f>
        <v>33234.199999999997</v>
      </c>
    </row>
    <row r="40" spans="1:5" ht="18.75" x14ac:dyDescent="0.3">
      <c r="A40" s="168"/>
      <c r="B40" s="165" t="s">
        <v>264</v>
      </c>
      <c r="C40" s="28" t="s">
        <v>265</v>
      </c>
      <c r="D40" s="25">
        <f>'прил12(ведом 19)'!M639</f>
        <v>23903.899999999998</v>
      </c>
    </row>
    <row r="41" spans="1:5" ht="37.5" x14ac:dyDescent="0.3">
      <c r="A41" s="168"/>
      <c r="B41" s="165" t="s">
        <v>266</v>
      </c>
      <c r="C41" s="28" t="s">
        <v>267</v>
      </c>
      <c r="D41" s="25">
        <f>'прил12(ведом 19)'!M640</f>
        <v>9330.2999999999993</v>
      </c>
    </row>
    <row r="42" spans="1:5" ht="18.75" x14ac:dyDescent="0.3">
      <c r="A42" s="167">
        <v>7</v>
      </c>
      <c r="B42" s="164" t="s">
        <v>268</v>
      </c>
      <c r="C42" s="26" t="s">
        <v>269</v>
      </c>
      <c r="D42" s="27">
        <f>SUM(D43:D43)</f>
        <v>8508.1</v>
      </c>
      <c r="E42" s="31"/>
    </row>
    <row r="43" spans="1:5" ht="18.75" x14ac:dyDescent="0.3">
      <c r="A43" s="168"/>
      <c r="B43" s="165" t="s">
        <v>270</v>
      </c>
      <c r="C43" s="28" t="s">
        <v>271</v>
      </c>
      <c r="D43" s="25">
        <f>'прил12(ведом 19)'!M644</f>
        <v>8508.1</v>
      </c>
    </row>
    <row r="44" spans="1:5" s="32" customFormat="1" ht="18.75" x14ac:dyDescent="0.3">
      <c r="A44" s="167">
        <v>8</v>
      </c>
      <c r="B44" s="167">
        <v>1000</v>
      </c>
      <c r="C44" s="26" t="s">
        <v>182</v>
      </c>
      <c r="D44" s="27">
        <f>SUM(D45:D47)</f>
        <v>120920</v>
      </c>
    </row>
    <row r="45" spans="1:5" ht="18.75" x14ac:dyDescent="0.3">
      <c r="A45" s="168"/>
      <c r="B45" s="168">
        <v>1001</v>
      </c>
      <c r="C45" s="28" t="s">
        <v>525</v>
      </c>
      <c r="D45" s="25">
        <f>'прил12(ведом 19)'!M649</f>
        <v>276</v>
      </c>
    </row>
    <row r="46" spans="1:5" ht="18.75" x14ac:dyDescent="0.3">
      <c r="A46" s="168"/>
      <c r="B46" s="168">
        <v>1004</v>
      </c>
      <c r="C46" s="28" t="s">
        <v>272</v>
      </c>
      <c r="D46" s="30">
        <f>'прил12(ведом 19)'!M651</f>
        <v>112156.6</v>
      </c>
    </row>
    <row r="47" spans="1:5" ht="18.75" x14ac:dyDescent="0.3">
      <c r="A47" s="168"/>
      <c r="B47" s="168">
        <v>1006</v>
      </c>
      <c r="C47" s="28" t="s">
        <v>273</v>
      </c>
      <c r="D47" s="30">
        <f>'прил12(ведом 19)'!M652</f>
        <v>8487.4</v>
      </c>
    </row>
    <row r="48" spans="1:5" ht="18.75" x14ac:dyDescent="0.3">
      <c r="A48" s="171">
        <v>9</v>
      </c>
      <c r="B48" s="169">
        <v>1100</v>
      </c>
      <c r="C48" s="23" t="s">
        <v>274</v>
      </c>
      <c r="D48" s="33">
        <f>SUM(D49:D51)</f>
        <v>38637.9</v>
      </c>
    </row>
    <row r="49" spans="1:8" ht="18.75" x14ac:dyDescent="0.3">
      <c r="A49" s="201"/>
      <c r="B49" s="170">
        <v>1101</v>
      </c>
      <c r="C49" s="223" t="s">
        <v>538</v>
      </c>
      <c r="D49" s="30">
        <f>'прил12(ведом 19)'!M655</f>
        <v>34777.5</v>
      </c>
    </row>
    <row r="50" spans="1:8" ht="18.75" x14ac:dyDescent="0.3">
      <c r="A50" s="171"/>
      <c r="B50" s="165" t="s">
        <v>275</v>
      </c>
      <c r="C50" s="34" t="s">
        <v>276</v>
      </c>
      <c r="D50" s="30">
        <f>'прил12(ведом 19)'!M656</f>
        <v>1510.3000000000002</v>
      </c>
    </row>
    <row r="51" spans="1:8" ht="37.5" x14ac:dyDescent="0.3">
      <c r="A51" s="168"/>
      <c r="B51" s="165" t="s">
        <v>277</v>
      </c>
      <c r="C51" s="35" t="s">
        <v>278</v>
      </c>
      <c r="D51" s="25">
        <f>'прил12(ведом 19)'!M657</f>
        <v>2350.1</v>
      </c>
    </row>
    <row r="52" spans="1:8" ht="37.5" x14ac:dyDescent="0.3">
      <c r="A52" s="167">
        <v>10</v>
      </c>
      <c r="B52" s="164" t="s">
        <v>630</v>
      </c>
      <c r="C52" s="244" t="s">
        <v>608</v>
      </c>
      <c r="D52" s="33">
        <f>D53</f>
        <v>6</v>
      </c>
    </row>
    <row r="53" spans="1:8" ht="37.5" x14ac:dyDescent="0.3">
      <c r="A53" s="168"/>
      <c r="B53" s="165" t="s">
        <v>631</v>
      </c>
      <c r="C53" s="35" t="s">
        <v>609</v>
      </c>
      <c r="D53" s="25">
        <f>'прил12(ведом 19)'!M660</f>
        <v>6</v>
      </c>
    </row>
    <row r="54" spans="1:8" ht="56.25" x14ac:dyDescent="0.3">
      <c r="A54" s="167">
        <v>11</v>
      </c>
      <c r="B54" s="169">
        <v>1400</v>
      </c>
      <c r="C54" s="26" t="s">
        <v>279</v>
      </c>
      <c r="D54" s="36">
        <f>SUM(D55:D55)</f>
        <v>5000</v>
      </c>
    </row>
    <row r="55" spans="1:8" ht="56.25" x14ac:dyDescent="0.3">
      <c r="A55" s="172"/>
      <c r="B55" s="170">
        <v>1401</v>
      </c>
      <c r="C55" s="28" t="s">
        <v>280</v>
      </c>
      <c r="D55" s="37">
        <f>'прил12(ведом 19)'!M663</f>
        <v>5000</v>
      </c>
    </row>
    <row r="58" spans="1:8" s="42" customFormat="1" ht="18.75" x14ac:dyDescent="0.3">
      <c r="A58" s="265" t="s">
        <v>588</v>
      </c>
      <c r="B58" s="47"/>
      <c r="C58" s="48"/>
      <c r="D58" s="48"/>
      <c r="E58" s="48"/>
      <c r="F58" s="49"/>
      <c r="G58" s="55"/>
      <c r="H58" s="45"/>
    </row>
    <row r="59" spans="1:8" s="42" customFormat="1" ht="18.75" x14ac:dyDescent="0.3">
      <c r="A59" s="265" t="s">
        <v>589</v>
      </c>
      <c r="B59" s="47"/>
      <c r="C59" s="48"/>
      <c r="D59" s="48"/>
      <c r="E59" s="48"/>
      <c r="F59" s="49"/>
      <c r="G59" s="55"/>
      <c r="H59" s="45"/>
    </row>
    <row r="60" spans="1:8" s="42" customFormat="1" ht="18.75" x14ac:dyDescent="0.3">
      <c r="A60" s="266" t="s">
        <v>590</v>
      </c>
      <c r="B60" s="47"/>
      <c r="D60" s="38" t="s">
        <v>643</v>
      </c>
      <c r="E60" s="48"/>
      <c r="F60" s="49"/>
    </row>
  </sheetData>
  <autoFilter ref="A12:AI55"/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51"/>
  <sheetViews>
    <sheetView zoomScaleNormal="100" zoomScaleSheetLayoutView="100" workbookViewId="0">
      <selection activeCell="D23" sqref="D23"/>
    </sheetView>
  </sheetViews>
  <sheetFormatPr defaultColWidth="9.140625" defaultRowHeight="18" x14ac:dyDescent="0.25"/>
  <cols>
    <col min="1" max="1" width="6.140625" style="19" customWidth="1"/>
    <col min="2" max="2" width="9.140625" style="19" customWidth="1"/>
    <col min="3" max="3" width="62.140625" style="19" customWidth="1"/>
    <col min="4" max="4" width="14.7109375" style="21" customWidth="1"/>
    <col min="5" max="5" width="14.140625" style="19" customWidth="1"/>
    <col min="6" max="6" width="8.28515625" style="19" customWidth="1"/>
    <col min="7" max="7" width="22.85546875" style="19" customWidth="1"/>
    <col min="8" max="8" width="22.5703125" style="19" customWidth="1"/>
    <col min="9" max="16384" width="9.140625" style="19"/>
  </cols>
  <sheetData>
    <row r="1" spans="1:8" ht="18.75" x14ac:dyDescent="0.3">
      <c r="E1" s="1" t="s">
        <v>703</v>
      </c>
    </row>
    <row r="2" spans="1:8" ht="18.75" x14ac:dyDescent="0.3">
      <c r="E2" s="1" t="s">
        <v>0</v>
      </c>
    </row>
    <row r="4" spans="1:8" ht="18.75" x14ac:dyDescent="0.3">
      <c r="A4" s="20"/>
      <c r="B4" s="20"/>
      <c r="C4" s="20"/>
    </row>
    <row r="5" spans="1:8" ht="18.75" x14ac:dyDescent="0.3">
      <c r="A5" s="981" t="s">
        <v>233</v>
      </c>
      <c r="B5" s="981"/>
      <c r="C5" s="981"/>
      <c r="D5" s="981"/>
      <c r="E5" s="981"/>
      <c r="F5" s="269"/>
    </row>
    <row r="6" spans="1:8" ht="18.75" x14ac:dyDescent="0.3">
      <c r="A6" s="981" t="s">
        <v>751</v>
      </c>
      <c r="B6" s="981"/>
      <c r="C6" s="981"/>
      <c r="D6" s="981"/>
      <c r="E6" s="981"/>
      <c r="F6" s="269"/>
    </row>
    <row r="7" spans="1:8" ht="18.75" x14ac:dyDescent="0.3">
      <c r="A7" s="20"/>
      <c r="D7" s="19"/>
    </row>
    <row r="8" spans="1:8" ht="18.75" x14ac:dyDescent="0.3">
      <c r="E8" s="13" t="s">
        <v>75</v>
      </c>
    </row>
    <row r="9" spans="1:8" ht="18.75" x14ac:dyDescent="0.3">
      <c r="A9" s="984" t="s">
        <v>234</v>
      </c>
      <c r="B9" s="985" t="s">
        <v>466</v>
      </c>
      <c r="C9" s="985" t="s">
        <v>77</v>
      </c>
      <c r="D9" s="983" t="s">
        <v>66</v>
      </c>
      <c r="E9" s="983"/>
      <c r="F9" s="225"/>
    </row>
    <row r="10" spans="1:8" ht="25.9" customHeight="1" x14ac:dyDescent="0.25">
      <c r="A10" s="984"/>
      <c r="B10" s="985"/>
      <c r="C10" s="985"/>
      <c r="D10" s="84" t="s">
        <v>591</v>
      </c>
      <c r="E10" s="84" t="s">
        <v>719</v>
      </c>
      <c r="F10" s="226"/>
    </row>
    <row r="11" spans="1:8" ht="18.75" x14ac:dyDescent="0.3">
      <c r="A11" s="197">
        <v>1</v>
      </c>
      <c r="B11" s="197">
        <v>2</v>
      </c>
      <c r="C11" s="197">
        <v>3</v>
      </c>
      <c r="D11" s="198">
        <v>4</v>
      </c>
      <c r="E11" s="198">
        <v>5</v>
      </c>
      <c r="F11" s="224"/>
    </row>
    <row r="12" spans="1:8" ht="18.75" x14ac:dyDescent="0.3">
      <c r="A12" s="22"/>
      <c r="B12" s="22"/>
      <c r="C12" s="23" t="s">
        <v>235</v>
      </c>
      <c r="D12" s="207">
        <f>D14+D21+D24+D28+D34+D37+D43+D40+D45</f>
        <v>1227477.7999999998</v>
      </c>
      <c r="E12" s="207">
        <f>E14+E21+E24+E28+E34+E37+E43+E40+E45</f>
        <v>1225136.7</v>
      </c>
      <c r="G12" s="285">
        <f>D12-'прил13(ведом 20-21)'!M15</f>
        <v>0</v>
      </c>
      <c r="H12" s="286">
        <f>E12-'прил13(ведом 20-21)'!N15</f>
        <v>0</v>
      </c>
    </row>
    <row r="13" spans="1:8" ht="18.75" x14ac:dyDescent="0.3">
      <c r="A13" s="22"/>
      <c r="B13" s="22"/>
      <c r="C13" s="24" t="s">
        <v>236</v>
      </c>
      <c r="D13" s="25"/>
      <c r="E13" s="25"/>
    </row>
    <row r="14" spans="1:8" ht="18.75" x14ac:dyDescent="0.3">
      <c r="A14" s="167">
        <v>1</v>
      </c>
      <c r="B14" s="164" t="s">
        <v>237</v>
      </c>
      <c r="C14" s="26" t="s">
        <v>89</v>
      </c>
      <c r="D14" s="27">
        <f>SUM(D15:D20)</f>
        <v>112615.20000000001</v>
      </c>
      <c r="E14" s="27">
        <f>SUM(E15:E20)</f>
        <v>110606.7</v>
      </c>
      <c r="G14" s="21"/>
    </row>
    <row r="15" spans="1:8" ht="56.25" x14ac:dyDescent="0.3">
      <c r="A15" s="168"/>
      <c r="B15" s="165" t="s">
        <v>238</v>
      </c>
      <c r="C15" s="28" t="s">
        <v>239</v>
      </c>
      <c r="D15" s="25">
        <f>'прил13(ведом 20-21)'!M351</f>
        <v>1971.5</v>
      </c>
      <c r="E15" s="25">
        <f>'прил13(ведом 20-21)'!N351</f>
        <v>1971.5</v>
      </c>
    </row>
    <row r="16" spans="1:8" ht="75" x14ac:dyDescent="0.3">
      <c r="A16" s="168"/>
      <c r="B16" s="165" t="s">
        <v>240</v>
      </c>
      <c r="C16" s="28" t="s">
        <v>104</v>
      </c>
      <c r="D16" s="25">
        <f>'прил13(ведом 20-21)'!M352</f>
        <v>61196.9</v>
      </c>
      <c r="E16" s="25">
        <f>'прил13(ведом 20-21)'!N352</f>
        <v>59364.5</v>
      </c>
    </row>
    <row r="17" spans="1:5" ht="18.75" x14ac:dyDescent="0.3">
      <c r="A17" s="168"/>
      <c r="B17" s="165" t="s">
        <v>644</v>
      </c>
      <c r="C17" s="232" t="s">
        <v>634</v>
      </c>
      <c r="D17" s="25">
        <f>'прил13(ведом 20-21)'!M353</f>
        <v>10.8</v>
      </c>
      <c r="E17" s="25">
        <f>'прил13(ведом 20-21)'!N353</f>
        <v>4.7</v>
      </c>
    </row>
    <row r="18" spans="1:5" ht="56.25" x14ac:dyDescent="0.3">
      <c r="A18" s="168"/>
      <c r="B18" s="165" t="s">
        <v>241</v>
      </c>
      <c r="C18" s="28" t="s">
        <v>198</v>
      </c>
      <c r="D18" s="25">
        <f>'прил13(ведом 20-21)'!M354</f>
        <v>25456.400000000001</v>
      </c>
      <c r="E18" s="25">
        <f>'прил13(ведом 20-21)'!N354</f>
        <v>25454.5</v>
      </c>
    </row>
    <row r="19" spans="1:5" ht="18.75" x14ac:dyDescent="0.3">
      <c r="A19" s="168"/>
      <c r="B19" s="165" t="s">
        <v>242</v>
      </c>
      <c r="C19" s="28" t="s">
        <v>122</v>
      </c>
      <c r="D19" s="25">
        <f>'прил13(ведом 20-21)'!M355</f>
        <v>3000</v>
      </c>
      <c r="E19" s="25">
        <f>'прил13(ведом 20-21)'!N355</f>
        <v>3000</v>
      </c>
    </row>
    <row r="20" spans="1:5" ht="18.75" x14ac:dyDescent="0.3">
      <c r="A20" s="168"/>
      <c r="B20" s="165" t="s">
        <v>243</v>
      </c>
      <c r="C20" s="28" t="s">
        <v>129</v>
      </c>
      <c r="D20" s="25">
        <f>'прил13(ведом 20-21)'!M356</f>
        <v>20979.599999999999</v>
      </c>
      <c r="E20" s="25">
        <f>'прил13(ведом 20-21)'!N356</f>
        <v>20811.5</v>
      </c>
    </row>
    <row r="21" spans="1:5" ht="37.5" x14ac:dyDescent="0.3">
      <c r="A21" s="167">
        <v>2</v>
      </c>
      <c r="B21" s="164" t="s">
        <v>244</v>
      </c>
      <c r="C21" s="26" t="s">
        <v>137</v>
      </c>
      <c r="D21" s="27">
        <f>SUM(D22:D23)</f>
        <v>9040.2000000000007</v>
      </c>
      <c r="E21" s="27">
        <f>SUM(E22:E23)</f>
        <v>9006.7000000000007</v>
      </c>
    </row>
    <row r="22" spans="1:5" ht="56.25" x14ac:dyDescent="0.3">
      <c r="A22" s="168"/>
      <c r="B22" s="165" t="s">
        <v>245</v>
      </c>
      <c r="C22" s="28" t="s">
        <v>138</v>
      </c>
      <c r="D22" s="25">
        <f>'прил13(ведом 20-21)'!M359</f>
        <v>2643.1</v>
      </c>
      <c r="E22" s="25">
        <f>'прил13(ведом 20-21)'!M359</f>
        <v>2643.1</v>
      </c>
    </row>
    <row r="23" spans="1:5" ht="37.5" x14ac:dyDescent="0.3">
      <c r="A23" s="168"/>
      <c r="B23" s="165" t="s">
        <v>246</v>
      </c>
      <c r="C23" s="28" t="s">
        <v>148</v>
      </c>
      <c r="D23" s="25">
        <f>'прил13(ведом 20-21)'!M360</f>
        <v>6397.1</v>
      </c>
      <c r="E23" s="25">
        <f>'прил13(ведом 20-21)'!N360</f>
        <v>6363.6</v>
      </c>
    </row>
    <row r="24" spans="1:5" ht="18.75" x14ac:dyDescent="0.3">
      <c r="A24" s="167">
        <v>3</v>
      </c>
      <c r="B24" s="164" t="s">
        <v>247</v>
      </c>
      <c r="C24" s="26" t="s">
        <v>154</v>
      </c>
      <c r="D24" s="27">
        <f>SUM(D25:D27)</f>
        <v>20339.900000000001</v>
      </c>
      <c r="E24" s="27">
        <f>SUM(E25:E27)</f>
        <v>20358</v>
      </c>
    </row>
    <row r="25" spans="1:5" ht="18.75" x14ac:dyDescent="0.3">
      <c r="A25" s="167"/>
      <c r="B25" s="165" t="s">
        <v>248</v>
      </c>
      <c r="C25" s="28" t="s">
        <v>155</v>
      </c>
      <c r="D25" s="25">
        <f>'прил13(ведом 20-21)'!M363</f>
        <v>11958.5</v>
      </c>
      <c r="E25" s="25">
        <f>'прил13(ведом 20-21)'!N363</f>
        <v>11958.5</v>
      </c>
    </row>
    <row r="26" spans="1:5" ht="18.75" x14ac:dyDescent="0.3">
      <c r="A26" s="168"/>
      <c r="B26" s="165" t="s">
        <v>249</v>
      </c>
      <c r="C26" s="28" t="s">
        <v>161</v>
      </c>
      <c r="D26" s="25">
        <f>'прил13(ведом 20-21)'!M364</f>
        <v>4174.1000000000004</v>
      </c>
      <c r="E26" s="25">
        <f>'прил13(ведом 20-21)'!N364</f>
        <v>4240.8</v>
      </c>
    </row>
    <row r="27" spans="1:5" ht="37.5" x14ac:dyDescent="0.3">
      <c r="A27" s="168"/>
      <c r="B27" s="165" t="s">
        <v>250</v>
      </c>
      <c r="C27" s="28" t="s">
        <v>169</v>
      </c>
      <c r="D27" s="25">
        <f>'прил13(ведом 20-21)'!M365</f>
        <v>4207.3</v>
      </c>
      <c r="E27" s="25">
        <f>'прил13(ведом 20-21)'!N365</f>
        <v>4158.7</v>
      </c>
    </row>
    <row r="28" spans="1:5" ht="18.75" x14ac:dyDescent="0.3">
      <c r="A28" s="167">
        <v>4</v>
      </c>
      <c r="B28" s="164" t="s">
        <v>253</v>
      </c>
      <c r="C28" s="26" t="s">
        <v>254</v>
      </c>
      <c r="D28" s="27">
        <f>SUM(D29:D33)</f>
        <v>885760.79999999981</v>
      </c>
      <c r="E28" s="27">
        <f>SUM(E29:E33)</f>
        <v>862356.49999999988</v>
      </c>
    </row>
    <row r="29" spans="1:5" ht="18.75" x14ac:dyDescent="0.3">
      <c r="A29" s="168"/>
      <c r="B29" s="165" t="s">
        <v>255</v>
      </c>
      <c r="C29" s="28" t="s">
        <v>256</v>
      </c>
      <c r="D29" s="25">
        <f>'прил13(ведом 20-21)'!M373</f>
        <v>282079.3</v>
      </c>
      <c r="E29" s="25">
        <f>'прил13(ведом 20-21)'!N373</f>
        <v>268897.90000000002</v>
      </c>
    </row>
    <row r="30" spans="1:5" ht="18.75" x14ac:dyDescent="0.3">
      <c r="A30" s="168"/>
      <c r="B30" s="165" t="s">
        <v>257</v>
      </c>
      <c r="C30" s="28" t="s">
        <v>258</v>
      </c>
      <c r="D30" s="25">
        <f>'прил13(ведом 20-21)'!M374</f>
        <v>463923.29999999993</v>
      </c>
      <c r="E30" s="25">
        <f>'прил13(ведом 20-21)'!N374</f>
        <v>456372.39999999991</v>
      </c>
    </row>
    <row r="31" spans="1:5" ht="18.75" x14ac:dyDescent="0.3">
      <c r="A31" s="168"/>
      <c r="B31" s="165" t="s">
        <v>516</v>
      </c>
      <c r="C31" s="28" t="s">
        <v>517</v>
      </c>
      <c r="D31" s="25">
        <f>'прил13(ведом 20-21)'!M375</f>
        <v>91832.1</v>
      </c>
      <c r="E31" s="25">
        <f>'прил13(ведом 20-21)'!N375</f>
        <v>90214.299999999988</v>
      </c>
    </row>
    <row r="32" spans="1:5" ht="18.75" x14ac:dyDescent="0.3">
      <c r="A32" s="167"/>
      <c r="B32" s="165" t="s">
        <v>259</v>
      </c>
      <c r="C32" s="28" t="s">
        <v>518</v>
      </c>
      <c r="D32" s="25">
        <f>'прил13(ведом 20-21)'!M377</f>
        <v>5928.7</v>
      </c>
      <c r="E32" s="25">
        <f>'прил13(ведом 20-21)'!N377</f>
        <v>5919.2999999999993</v>
      </c>
    </row>
    <row r="33" spans="1:5" ht="18.75" x14ac:dyDescent="0.3">
      <c r="A33" s="168"/>
      <c r="B33" s="165" t="s">
        <v>260</v>
      </c>
      <c r="C33" s="28" t="s">
        <v>261</v>
      </c>
      <c r="D33" s="25">
        <f>'прил13(ведом 20-21)'!M378</f>
        <v>41997.4</v>
      </c>
      <c r="E33" s="25">
        <f>'прил13(ведом 20-21)'!N378</f>
        <v>40952.6</v>
      </c>
    </row>
    <row r="34" spans="1:5" ht="18.75" x14ac:dyDescent="0.3">
      <c r="A34" s="171">
        <v>5</v>
      </c>
      <c r="B34" s="164" t="s">
        <v>262</v>
      </c>
      <c r="C34" s="26" t="s">
        <v>263</v>
      </c>
      <c r="D34" s="27">
        <f>SUM(D35:D36)</f>
        <v>28555.200000000001</v>
      </c>
      <c r="E34" s="27">
        <f>SUM(E35:E36)</f>
        <v>28530</v>
      </c>
    </row>
    <row r="35" spans="1:5" ht="18.75" x14ac:dyDescent="0.3">
      <c r="A35" s="168"/>
      <c r="B35" s="165" t="s">
        <v>264</v>
      </c>
      <c r="C35" s="28" t="s">
        <v>265</v>
      </c>
      <c r="D35" s="25">
        <f>'прил13(ведом 20-21)'!M381</f>
        <v>20598</v>
      </c>
      <c r="E35" s="25">
        <f>'прил13(ведом 20-21)'!N381</f>
        <v>20598</v>
      </c>
    </row>
    <row r="36" spans="1:5" ht="37.5" x14ac:dyDescent="0.3">
      <c r="A36" s="168"/>
      <c r="B36" s="165" t="s">
        <v>266</v>
      </c>
      <c r="C36" s="28" t="s">
        <v>267</v>
      </c>
      <c r="D36" s="25">
        <f>'прил13(ведом 20-21)'!M382</f>
        <v>7957.2</v>
      </c>
      <c r="E36" s="25">
        <f>'прил13(ведом 20-21)'!N382</f>
        <v>7932</v>
      </c>
    </row>
    <row r="37" spans="1:5" s="32" customFormat="1" ht="18.75" x14ac:dyDescent="0.3">
      <c r="A37" s="167">
        <v>6</v>
      </c>
      <c r="B37" s="167">
        <v>1000</v>
      </c>
      <c r="C37" s="26" t="s">
        <v>182</v>
      </c>
      <c r="D37" s="27">
        <f>SUM(D38:D39)</f>
        <v>109161.60000000001</v>
      </c>
      <c r="E37" s="27">
        <f>SUM(E38:E39)</f>
        <v>112956</v>
      </c>
    </row>
    <row r="38" spans="1:5" ht="18.75" x14ac:dyDescent="0.3">
      <c r="A38" s="168"/>
      <c r="B38" s="168">
        <v>1004</v>
      </c>
      <c r="C38" s="28" t="s">
        <v>272</v>
      </c>
      <c r="D38" s="30">
        <f>'прил13(ведом 20-21)'!M393</f>
        <v>102912.8</v>
      </c>
      <c r="E38" s="30">
        <f>'прил13(ведом 20-21)'!N393</f>
        <v>106707.2</v>
      </c>
    </row>
    <row r="39" spans="1:5" ht="18.75" x14ac:dyDescent="0.3">
      <c r="A39" s="168"/>
      <c r="B39" s="168">
        <v>1006</v>
      </c>
      <c r="C39" s="28" t="s">
        <v>273</v>
      </c>
      <c r="D39" s="30">
        <f>'прил13(ведом 20-21)'!M394</f>
        <v>6248.8</v>
      </c>
      <c r="E39" s="30">
        <f>'прил13(ведом 20-21)'!N394</f>
        <v>6248.8</v>
      </c>
    </row>
    <row r="40" spans="1:5" ht="18.75" x14ac:dyDescent="0.3">
      <c r="A40" s="171">
        <v>7</v>
      </c>
      <c r="B40" s="169">
        <v>1100</v>
      </c>
      <c r="C40" s="23" t="s">
        <v>274</v>
      </c>
      <c r="D40" s="33">
        <f>SUM(D41:D42)</f>
        <v>31971.5</v>
      </c>
      <c r="E40" s="33">
        <f>SUM(E41:E42)</f>
        <v>27516.3</v>
      </c>
    </row>
    <row r="41" spans="1:5" ht="18.75" x14ac:dyDescent="0.3">
      <c r="A41" s="201"/>
      <c r="B41" s="170">
        <v>1101</v>
      </c>
      <c r="C41" s="223" t="s">
        <v>538</v>
      </c>
      <c r="D41" s="30">
        <f>'прил13(ведом 20-21)'!M397</f>
        <v>29688.5</v>
      </c>
      <c r="E41" s="30">
        <f>'прил13(ведом 20-21)'!N397</f>
        <v>25254.2</v>
      </c>
    </row>
    <row r="42" spans="1:5" ht="37.5" x14ac:dyDescent="0.3">
      <c r="A42" s="168"/>
      <c r="B42" s="165" t="s">
        <v>277</v>
      </c>
      <c r="C42" s="35" t="s">
        <v>278</v>
      </c>
      <c r="D42" s="25">
        <f>'прил13(ведом 20-21)'!M399</f>
        <v>2282.9999999999995</v>
      </c>
      <c r="E42" s="25">
        <f>'прил13(ведом 20-21)'!N399</f>
        <v>2262.1</v>
      </c>
    </row>
    <row r="43" spans="1:5" ht="56.25" x14ac:dyDescent="0.3">
      <c r="A43" s="167">
        <v>8</v>
      </c>
      <c r="B43" s="169">
        <v>1400</v>
      </c>
      <c r="C43" s="26" t="s">
        <v>279</v>
      </c>
      <c r="D43" s="36">
        <f>SUM(D44:D44)</f>
        <v>5000</v>
      </c>
      <c r="E43" s="36">
        <f>SUM(E44:E44)</f>
        <v>5000</v>
      </c>
    </row>
    <row r="44" spans="1:5" ht="56.25" x14ac:dyDescent="0.3">
      <c r="A44" s="172"/>
      <c r="B44" s="170">
        <v>1401</v>
      </c>
      <c r="C44" s="28" t="s">
        <v>280</v>
      </c>
      <c r="D44" s="37">
        <f>'прил13(ведом 20-21)'!M405</f>
        <v>5000</v>
      </c>
      <c r="E44" s="37">
        <f>'прил13(ведом 20-21)'!N405</f>
        <v>5000</v>
      </c>
    </row>
    <row r="45" spans="1:5" ht="18.75" x14ac:dyDescent="0.3">
      <c r="A45" s="167">
        <v>9</v>
      </c>
      <c r="B45" s="169"/>
      <c r="C45" s="26" t="s">
        <v>546</v>
      </c>
      <c r="D45" s="36">
        <f>SUM(D46:D46)</f>
        <v>25033.4</v>
      </c>
      <c r="E45" s="36">
        <f>SUM(E46:E46)</f>
        <v>48806.5</v>
      </c>
    </row>
    <row r="46" spans="1:5" ht="18.75" x14ac:dyDescent="0.3">
      <c r="A46" s="172"/>
      <c r="B46" s="170"/>
      <c r="C46" s="28" t="s">
        <v>546</v>
      </c>
      <c r="D46" s="37">
        <f>'прил13(ведом 20-21)'!M408</f>
        <v>25033.4</v>
      </c>
      <c r="E46" s="37">
        <f>'прил13(ведом 20-21)'!N408</f>
        <v>48806.5</v>
      </c>
    </row>
    <row r="49" spans="1:8" s="42" customFormat="1" ht="18.75" x14ac:dyDescent="0.3">
      <c r="A49" s="265" t="s">
        <v>588</v>
      </c>
      <c r="B49" s="47"/>
      <c r="C49" s="48"/>
      <c r="D49" s="48"/>
      <c r="E49" s="48"/>
      <c r="F49" s="49"/>
      <c r="G49" s="55"/>
      <c r="H49" s="45"/>
    </row>
    <row r="50" spans="1:8" s="42" customFormat="1" ht="18.75" x14ac:dyDescent="0.3">
      <c r="A50" s="265" t="s">
        <v>589</v>
      </c>
      <c r="B50" s="47"/>
      <c r="C50" s="48"/>
      <c r="D50" s="48"/>
      <c r="E50" s="48"/>
      <c r="F50" s="49"/>
      <c r="G50" s="55"/>
      <c r="H50" s="45"/>
    </row>
    <row r="51" spans="1:8" s="42" customFormat="1" ht="18.75" x14ac:dyDescent="0.3">
      <c r="A51" s="266" t="s">
        <v>590</v>
      </c>
      <c r="B51" s="47"/>
      <c r="E51" s="38" t="s">
        <v>643</v>
      </c>
      <c r="F51" s="49"/>
    </row>
  </sheetData>
  <autoFilter ref="A10:AJ46"/>
  <mergeCells count="6">
    <mergeCell ref="A5:E5"/>
    <mergeCell ref="D9:E9"/>
    <mergeCell ref="A9:A10"/>
    <mergeCell ref="B9:B10"/>
    <mergeCell ref="C9:C10"/>
    <mergeCell ref="A6:E6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28</vt:i4>
      </vt:variant>
    </vt:vector>
  </HeadingPairs>
  <TitlesOfParts>
    <vt:vector size="49" baseType="lpstr">
      <vt:lpstr>прил.1 (админ.)</vt:lpstr>
      <vt:lpstr>прил. 2 (поступл.19)</vt:lpstr>
      <vt:lpstr>прил. 3 (поступл. 20-21)</vt:lpstr>
      <vt:lpstr>прил.4 (пост.безв.19)</vt:lpstr>
      <vt:lpstr>прил.5 (пост.безв.20-21)</vt:lpstr>
      <vt:lpstr>прил.6 (безв.от пос.19)</vt:lpstr>
      <vt:lpstr>прил.7 (норм.доходов)</vt:lpstr>
      <vt:lpstr>прил 8 (Рз,ПР 19)</vt:lpstr>
      <vt:lpstr>прил 9 (Рз,ПР 20-21)</vt:lpstr>
      <vt:lpstr>прил 10 (ЦС,ВР 19)</vt:lpstr>
      <vt:lpstr>прил 11 (ЦС,ВР 20-21)</vt:lpstr>
      <vt:lpstr>прил12(ведом 19)</vt:lpstr>
      <vt:lpstr>прил13(ведом 20-21)</vt:lpstr>
      <vt:lpstr>прил.14 (Источники 19)</vt:lpstr>
      <vt:lpstr>прил.15 (Источники 20-21)</vt:lpstr>
      <vt:lpstr>прил.16(безв.всего 19)</vt:lpstr>
      <vt:lpstr>прил.17(безв.всего 20-21)</vt:lpstr>
      <vt:lpstr>прил.18(дотация 19)</vt:lpstr>
      <vt:lpstr>прил.19(дотация 20-21)</vt:lpstr>
      <vt:lpstr>прил.20мун.заим.19-21)</vt:lpstr>
      <vt:lpstr>прил.21(гар. 19-21)</vt:lpstr>
      <vt:lpstr>'прил 10 (ЦС,ВР 19)'!Заголовки_для_печати</vt:lpstr>
      <vt:lpstr>'прил 11 (ЦС,ВР 20-21)'!Заголовки_для_печати</vt:lpstr>
      <vt:lpstr>'прил 8 (Рз,ПР 19)'!Заголовки_для_печати</vt:lpstr>
      <vt:lpstr>'прил 9 (Рз,ПР 20-21)'!Заголовки_для_печати</vt:lpstr>
      <vt:lpstr>'прил. 2 (поступл.19)'!Заголовки_для_печати</vt:lpstr>
      <vt:lpstr>'прил. 3 (поступл. 20-21)'!Заголовки_для_печати</vt:lpstr>
      <vt:lpstr>'прил.1 (админ.)'!Заголовки_для_печати</vt:lpstr>
      <vt:lpstr>'прил.14 (Источники 19)'!Заголовки_для_печати</vt:lpstr>
      <vt:lpstr>'прил.15 (Источники 20-21)'!Заголовки_для_печати</vt:lpstr>
      <vt:lpstr>'прил.4 (пост.безв.19)'!Заголовки_для_печати</vt:lpstr>
      <vt:lpstr>'прил.5 (пост.безв.20-21)'!Заголовки_для_печати</vt:lpstr>
      <vt:lpstr>'прил.7 (норм.доходов)'!Заголовки_для_печати</vt:lpstr>
      <vt:lpstr>'прил12(ведом 19)'!Заголовки_для_печати</vt:lpstr>
      <vt:lpstr>'прил13(ведом 20-21)'!Заголовки_для_печати</vt:lpstr>
      <vt:lpstr>'прил 10 (ЦС,ВР 19)'!Область_печати</vt:lpstr>
      <vt:lpstr>'прил 11 (ЦС,ВР 20-21)'!Область_печати</vt:lpstr>
      <vt:lpstr>'прил 8 (Рз,ПР 19)'!Область_печати</vt:lpstr>
      <vt:lpstr>'прил 9 (Рз,ПР 20-21)'!Область_печати</vt:lpstr>
      <vt:lpstr>'прил. 2 (поступл.19)'!Область_печати</vt:lpstr>
      <vt:lpstr>'прил. 3 (поступл. 20-21)'!Область_печати</vt:lpstr>
      <vt:lpstr>'прил.1 (админ.)'!Область_печати</vt:lpstr>
      <vt:lpstr>'прил.18(дотация 19)'!Область_печати</vt:lpstr>
      <vt:lpstr>'прил.19(дотация 20-21)'!Область_печати</vt:lpstr>
      <vt:lpstr>'прил.4 (пост.безв.19)'!Область_печати</vt:lpstr>
      <vt:lpstr>'прил.5 (пост.безв.20-21)'!Область_печати</vt:lpstr>
      <vt:lpstr>'прил.6 (безв.от пос.19)'!Область_печати</vt:lpstr>
      <vt:lpstr>'прил12(ведом 19)'!Область_печати</vt:lpstr>
      <vt:lpstr>'прил13(ведом 20-21)'!Область_печати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2019-02-05T10:20:06Z</dcterms:modified>
</cp:coreProperties>
</file>