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ЭтаКнига" defaultThemeVersion="124226"/>
  <bookViews>
    <workbookView xWindow="180" yWindow="2895" windowWidth="14925" windowHeight="5280" tabRatio="852"/>
  </bookViews>
  <sheets>
    <sheet name="прил.1 (админ.)" sheetId="1" r:id="rId1"/>
    <sheet name="прил. 2 (поступл.19)" sheetId="5" r:id="rId2"/>
    <sheet name="прил.4 (пост.безв.19)" sheetId="2" r:id="rId3"/>
    <sheet name="прил 8 (Рз,ПР 19)" sheetId="6" r:id="rId4"/>
    <sheet name="прил 9 (Рз,ПР 20-21)" sheetId="17" r:id="rId5"/>
    <sheet name="прил 10 (ЦС,ВР 19)" sheetId="7" r:id="rId6"/>
    <sheet name="прил 11 (ЦС,ВР 20-21)" sheetId="18" r:id="rId7"/>
    <sheet name="прил12(ведом 19)" sheetId="3" r:id="rId8"/>
    <sheet name="прил13(ведом 20-21)" sheetId="19" r:id="rId9"/>
    <sheet name="прил.14 (Источники 19)" sheetId="8" r:id="rId10"/>
    <sheet name="прил.15 (Источники 20-21)" sheetId="20" r:id="rId11"/>
    <sheet name="прил.20мун.заим.19-21)" sheetId="12" r:id="rId12"/>
  </sheets>
  <definedNames>
    <definedName name="_xlnm._FilterDatabase" localSheetId="5" hidden="1">'прил 10 (ЦС,ВР 19)'!$C$1:$F$517</definedName>
    <definedName name="_xlnm._FilterDatabase" localSheetId="6" hidden="1">'прил 11 (ЦС,ВР 20-21)'!$B$1:$I$289</definedName>
    <definedName name="_xlnm._FilterDatabase" localSheetId="3" hidden="1">'прил 8 (Рз,ПР 19)'!$A$1:$D$62</definedName>
    <definedName name="_xlnm._FilterDatabase" localSheetId="4" hidden="1">'прил 9 (Рз,ПР 20-21)'!$A$13:$AH$51</definedName>
    <definedName name="_xlnm._FilterDatabase" localSheetId="0" hidden="1">'прил.1 (админ.)'!$A$4:$C$170</definedName>
    <definedName name="_xlnm._FilterDatabase" localSheetId="2" hidden="1">'прил.4 (пост.безв.19)'!$B$1:$C$424</definedName>
    <definedName name="_xlnm._FilterDatabase" localSheetId="7" hidden="1">'прил12(ведом 19)'!$A$1:$M$690</definedName>
    <definedName name="_xlnm._FilterDatabase" localSheetId="8" hidden="1">'прил13(ведом 20-21)'!$A$1:$N$379</definedName>
    <definedName name="Z_168CADD9_CFDC_4445_BFE6_DAD4B9423C72_.wvu.FilterData" localSheetId="5" hidden="1">'прил 10 (ЦС,ВР 19)'!#REF!</definedName>
    <definedName name="Z_168CADD9_CFDC_4445_BFE6_DAD4B9423C72_.wvu.FilterData" localSheetId="6" hidden="1">'прил 11 (ЦС,ВР 20-21)'!#REF!</definedName>
    <definedName name="Z_1F25B6A1_C9F7_11D8_A2FD_006098EF8B30_.wvu.FilterData" localSheetId="5" hidden="1">'прил 10 (ЦС,ВР 19)'!#REF!</definedName>
    <definedName name="Z_1F25B6A1_C9F7_11D8_A2FD_006098EF8B30_.wvu.FilterData" localSheetId="6" hidden="1">'прил 11 (ЦС,ВР 20-21)'!#REF!</definedName>
    <definedName name="Z_29D950F2_21ED_48E6_BFC6_87DD89E0125A_.wvu.FilterData" localSheetId="5" hidden="1">'прил 10 (ЦС,ВР 19)'!#REF!</definedName>
    <definedName name="Z_29D950F2_21ED_48E6_BFC6_87DD89E0125A_.wvu.FilterData" localSheetId="6" hidden="1">'прил 11 (ЦС,ВР 20-21)'!#REF!</definedName>
    <definedName name="Z_2CA7FCD5_27A5_4474_9D49_7A7E23BD2FF9_.wvu.FilterData" localSheetId="5" hidden="1">'прил 10 (ЦС,ВР 19)'!#REF!</definedName>
    <definedName name="Z_2CA7FCD5_27A5_4474_9D49_7A7E23BD2FF9_.wvu.FilterData" localSheetId="6" hidden="1">'прил 11 (ЦС,ВР 20-21)'!#REF!</definedName>
    <definedName name="Z_48E28AC5_4E0A_4FBA_AE6D_340F9E8D4B3C_.wvu.FilterData" localSheetId="5" hidden="1">'прил 10 (ЦС,ВР 19)'!#REF!</definedName>
    <definedName name="Z_48E28AC5_4E0A_4FBA_AE6D_340F9E8D4B3C_.wvu.FilterData" localSheetId="6" hidden="1">'прил 11 (ЦС,ВР 20-21)'!#REF!</definedName>
    <definedName name="Z_6398E0F2_3205_40F4_BF0A_C9F4D0DA9A75_.wvu.FilterData" localSheetId="5" hidden="1">'прил 10 (ЦС,ВР 19)'!#REF!</definedName>
    <definedName name="Z_6398E0F2_3205_40F4_BF0A_C9F4D0DA9A75_.wvu.FilterData" localSheetId="6" hidden="1">'прил 11 (ЦС,ВР 20-21)'!#REF!</definedName>
    <definedName name="Z_64DF1B77_0EDD_4B56_A91C_5E003BE599EF_.wvu.FilterData" localSheetId="5" hidden="1">'прил 10 (ЦС,ВР 19)'!#REF!</definedName>
    <definedName name="Z_64DF1B77_0EDD_4B56_A91C_5E003BE599EF_.wvu.FilterData" localSheetId="6" hidden="1">'прил 11 (ЦС,ВР 20-21)'!#REF!</definedName>
    <definedName name="Z_6786C020_BCF1_463A_B3E9_7DE69D46EAB3_.wvu.FilterData" localSheetId="5" hidden="1">'прил 10 (ЦС,ВР 19)'!#REF!</definedName>
    <definedName name="Z_6786C020_BCF1_463A_B3E9_7DE69D46EAB3_.wvu.FilterData" localSheetId="6" hidden="1">'прил 11 (ЦС,ВР 20-21)'!#REF!</definedName>
    <definedName name="Z_8E2E7D81_C767_11D8_A2FD_006098EF8B30_.wvu.FilterData" localSheetId="5" hidden="1">'прил 10 (ЦС,ВР 19)'!#REF!</definedName>
    <definedName name="Z_8E2E7D81_C767_11D8_A2FD_006098EF8B30_.wvu.FilterData" localSheetId="6" hidden="1">'прил 11 (ЦС,ВР 20-21)'!#REF!</definedName>
    <definedName name="Z_97D0CDFA_8A34_4B3C_BA32_D4F0E3218B75_.wvu.FilterData" localSheetId="5" hidden="1">'прил 10 (ЦС,ВР 19)'!#REF!</definedName>
    <definedName name="Z_97D0CDFA_8A34_4B3C_BA32_D4F0E3218B75_.wvu.FilterData" localSheetId="6" hidden="1">'прил 11 (ЦС,ВР 20-21)'!#REF!</definedName>
    <definedName name="Z_B246FE0E_E986_4211_B02A_04E4565C0FED_.wvu.Cols" localSheetId="5" hidden="1">'прил 10 (ЦС,ВР 19)'!$A:$A,'прил 10 (ЦС,ВР 19)'!#REF!</definedName>
    <definedName name="Z_B246FE0E_E986_4211_B02A_04E4565C0FED_.wvu.Cols" localSheetId="6" hidden="1">'прил 11 (ЦС,ВР 20-21)'!$A:$A,'прил 11 (ЦС,ВР 20-21)'!#REF!</definedName>
    <definedName name="Z_B246FE0E_E986_4211_B02A_04E4565C0FED_.wvu.FilterData" localSheetId="5" hidden="1">'прил 10 (ЦС,ВР 19)'!#REF!</definedName>
    <definedName name="Z_B246FE0E_E986_4211_B02A_04E4565C0FED_.wvu.FilterData" localSheetId="6" hidden="1">'прил 11 (ЦС,ВР 20-21)'!#REF!</definedName>
    <definedName name="Z_B246FE0E_E986_4211_B02A_04E4565C0FED_.wvu.PrintArea" localSheetId="5" hidden="1">'прил 10 (ЦС,ВР 19)'!#REF!</definedName>
    <definedName name="Z_B246FE0E_E986_4211_B02A_04E4565C0FED_.wvu.PrintArea" localSheetId="6" hidden="1">'прил 11 (ЦС,ВР 20-21)'!#REF!</definedName>
    <definedName name="Z_B246FE0E_E986_4211_B02A_04E4565C0FED_.wvu.PrintTitles" localSheetId="5" hidden="1">'прил 10 (ЦС,ВР 19)'!#REF!</definedName>
    <definedName name="Z_B246FE0E_E986_4211_B02A_04E4565C0FED_.wvu.PrintTitles" localSheetId="6" hidden="1">'прил 11 (ЦС,ВР 20-21)'!#REF!</definedName>
    <definedName name="Z_C54CDF8B_FA5C_4A02_B343_3FEFD9721392_.wvu.FilterData" localSheetId="5" hidden="1">'прил 10 (ЦС,ВР 19)'!#REF!</definedName>
    <definedName name="Z_C54CDF8B_FA5C_4A02_B343_3FEFD9721392_.wvu.FilterData" localSheetId="6" hidden="1">'прил 11 (ЦС,ВР 20-21)'!#REF!</definedName>
    <definedName name="Z_D7174C22_B878_4584_A218_37ED88979064_.wvu.FilterData" localSheetId="5" hidden="1">'прил 10 (ЦС,ВР 19)'!#REF!</definedName>
    <definedName name="Z_D7174C22_B878_4584_A218_37ED88979064_.wvu.FilterData" localSheetId="6" hidden="1">'прил 11 (ЦС,ВР 20-21)'!#REF!</definedName>
    <definedName name="Z_DD7538FB_7299_4DEE_90D5_2739132A1616_.wvu.FilterData" localSheetId="5" hidden="1">'прил 10 (ЦС,ВР 19)'!#REF!</definedName>
    <definedName name="Z_DD7538FB_7299_4DEE_90D5_2739132A1616_.wvu.FilterData" localSheetId="6" hidden="1">'прил 11 (ЦС,ВР 20-21)'!#REF!</definedName>
    <definedName name="Z_E4B436A8_4A5B_422F_8C0E_9267F763D19D_.wvu.FilterData" localSheetId="5" hidden="1">'прил 10 (ЦС,ВР 19)'!#REF!</definedName>
    <definedName name="Z_E4B436A8_4A5B_422F_8C0E_9267F763D19D_.wvu.FilterData" localSheetId="6" hidden="1">'прил 11 (ЦС,ВР 20-21)'!#REF!</definedName>
    <definedName name="Z_E6BB4361_1D58_11D9_A2FD_006098EF8B30_.wvu.FilterData" localSheetId="5" hidden="1">'прил 10 (ЦС,ВР 19)'!#REF!</definedName>
    <definedName name="Z_E6BB4361_1D58_11D9_A2FD_006098EF8B30_.wvu.FilterData" localSheetId="6" hidden="1">'прил 11 (ЦС,ВР 20-21)'!#REF!</definedName>
    <definedName name="Z_EF486DA3_1DF3_11D9_A2FD_006098EF8B30_.wvu.FilterData" localSheetId="5" hidden="1">'прил 10 (ЦС,ВР 19)'!#REF!</definedName>
    <definedName name="Z_EF486DA3_1DF3_11D9_A2FD_006098EF8B30_.wvu.FilterData" localSheetId="6" hidden="1">'прил 11 (ЦС,ВР 20-21)'!#REF!</definedName>
    <definedName name="Z_EF486DA8_1DF3_11D9_A2FD_006098EF8B30_.wvu.FilterData" localSheetId="5" hidden="1">'прил 10 (ЦС,ВР 19)'!#REF!</definedName>
    <definedName name="Z_EF486DA8_1DF3_11D9_A2FD_006098EF8B30_.wvu.FilterData" localSheetId="6" hidden="1">'прил 11 (ЦС,ВР 20-21)'!#REF!</definedName>
    <definedName name="Z_EF486DAA_1DF3_11D9_A2FD_006098EF8B30_.wvu.FilterData" localSheetId="5" hidden="1">'прил 10 (ЦС,ВР 19)'!#REF!</definedName>
    <definedName name="Z_EF486DAA_1DF3_11D9_A2FD_006098EF8B30_.wvu.FilterData" localSheetId="6" hidden="1">'прил 11 (ЦС,ВР 20-21)'!#REF!</definedName>
    <definedName name="Z_EF486DAC_1DF3_11D9_A2FD_006098EF8B30_.wvu.FilterData" localSheetId="5" hidden="1">'прил 10 (ЦС,ВР 19)'!#REF!</definedName>
    <definedName name="Z_EF486DAC_1DF3_11D9_A2FD_006098EF8B30_.wvu.FilterData" localSheetId="6" hidden="1">'прил 11 (ЦС,ВР 20-21)'!#REF!</definedName>
    <definedName name="Z_EF5A4981_C8E4_11D8_A2FC_006098EF8BA8_.wvu.Cols" localSheetId="5" hidden="1">'прил 10 (ЦС,ВР 19)'!$A:$A,'прил 10 (ЦС,ВР 19)'!#REF!,'прил 10 (ЦС,ВР 19)'!#REF!</definedName>
    <definedName name="Z_EF5A4981_C8E4_11D8_A2FC_006098EF8BA8_.wvu.Cols" localSheetId="6" hidden="1">'прил 11 (ЦС,ВР 20-21)'!$A:$A,'прил 11 (ЦС,ВР 20-21)'!#REF!,'прил 11 (ЦС,ВР 20-21)'!#REF!</definedName>
    <definedName name="Z_EF5A4981_C8E4_11D8_A2FC_006098EF8BA8_.wvu.FilterData" localSheetId="5" hidden="1">'прил 10 (ЦС,ВР 19)'!#REF!</definedName>
    <definedName name="Z_EF5A4981_C8E4_11D8_A2FC_006098EF8BA8_.wvu.FilterData" localSheetId="6" hidden="1">'прил 11 (ЦС,ВР 20-21)'!#REF!</definedName>
    <definedName name="Z_EF5A4981_C8E4_11D8_A2FC_006098EF8BA8_.wvu.PrintArea" localSheetId="5" hidden="1">'прил 10 (ЦС,ВР 19)'!#REF!</definedName>
    <definedName name="Z_EF5A4981_C8E4_11D8_A2FC_006098EF8BA8_.wvu.PrintArea" localSheetId="6" hidden="1">'прил 11 (ЦС,ВР 20-21)'!#REF!</definedName>
    <definedName name="Z_EF5A4981_C8E4_11D8_A2FC_006098EF8BA8_.wvu.PrintTitles" localSheetId="5" hidden="1">'прил 10 (ЦС,ВР 19)'!#REF!</definedName>
    <definedName name="Z_EF5A4981_C8E4_11D8_A2FC_006098EF8BA8_.wvu.PrintTitles" localSheetId="6" hidden="1">'прил 11 (ЦС,ВР 20-21)'!#REF!</definedName>
    <definedName name="_xlnm.Print_Titles" localSheetId="5">'прил 10 (ЦС,ВР 19)'!$11:$11</definedName>
    <definedName name="_xlnm.Print_Titles" localSheetId="6">'прил 11 (ЦС,ВР 20-21)'!$13:$13</definedName>
    <definedName name="_xlnm.Print_Titles" localSheetId="3">'прил 8 (Рз,ПР 19)'!$13:$13</definedName>
    <definedName name="_xlnm.Print_Titles" localSheetId="4">'прил 9 (Рз,ПР 20-21)'!$14:$14</definedName>
    <definedName name="_xlnm.Print_Titles" localSheetId="1">'прил. 2 (поступл.19)'!$12:$12</definedName>
    <definedName name="_xlnm.Print_Titles" localSheetId="0">'прил.1 (админ.)'!$12:$12</definedName>
    <definedName name="_xlnm.Print_Titles" localSheetId="9">'прил.14 (Источники 19)'!$13:$13</definedName>
    <definedName name="_xlnm.Print_Titles" localSheetId="10">'прил.15 (Источники 20-21)'!$12:$12</definedName>
    <definedName name="_xlnm.Print_Titles" localSheetId="2">'прил.4 (пост.безв.19)'!$12:$12</definedName>
    <definedName name="_xlnm.Print_Titles" localSheetId="7">'прил12(ведом 19)'!$12:$12</definedName>
    <definedName name="_xlnm.Print_Titles" localSheetId="8">'прил13(ведом 20-21)'!$14:$14</definedName>
    <definedName name="_xlnm.Print_Area" localSheetId="5">'прил 10 (ЦС,ВР 19)'!$A$1:$H$513</definedName>
    <definedName name="_xlnm.Print_Area" localSheetId="6">'прил 11 (ЦС,ВР 20-21)'!$A$1:$I$285</definedName>
    <definedName name="_xlnm.Print_Area" localSheetId="3">'прил 8 (Рз,ПР 19)'!$A$1:$D$62</definedName>
    <definedName name="_xlnm.Print_Area" localSheetId="4">'прил 9 (Рз,ПР 20-21)'!$A$1:$E$56</definedName>
    <definedName name="_xlnm.Print_Area" localSheetId="1">'прил. 2 (поступл.19)'!$A$1:$C$45</definedName>
    <definedName name="_xlnm.Print_Area" localSheetId="0">'прил.1 (админ.)'!$A$1:$C$170</definedName>
    <definedName name="_xlnm.Print_Area" localSheetId="9">'прил.14 (Источники 19)'!$A$1:$C$34</definedName>
    <definedName name="_xlnm.Print_Area" localSheetId="11">'прил.20мун.заим.19-21)'!$A$1:$D$35</definedName>
    <definedName name="_xlnm.Print_Area" localSheetId="2">'прил.4 (пост.безв.19)'!$A$1:$C$84</definedName>
    <definedName name="_xlnm.Print_Area" localSheetId="7">'прил12(ведом 19)'!$A$1:$M$688</definedName>
    <definedName name="_xlnm.Print_Area" localSheetId="8">'прил13(ведом 20-21)'!$A$1:$N$379</definedName>
  </definedNames>
  <calcPr calcId="124519"/>
</workbook>
</file>

<file path=xl/calcChain.xml><?xml version="1.0" encoding="utf-8"?>
<calcChain xmlns="http://schemas.openxmlformats.org/spreadsheetml/2006/main">
  <c r="C37" i="5"/>
  <c r="M586" i="3" l="1"/>
  <c r="M358" l="1"/>
  <c r="M407"/>
  <c r="M27"/>
  <c r="C38" i="5" l="1"/>
  <c r="D15" i="20"/>
  <c r="D14" s="1"/>
  <c r="I111" i="18"/>
  <c r="H111"/>
  <c r="N294" i="19"/>
  <c r="L295"/>
  <c r="M296"/>
  <c r="M294" s="1"/>
  <c r="M400" i="3" l="1"/>
  <c r="M408"/>
  <c r="M308" l="1"/>
  <c r="M274"/>
  <c r="M287"/>
  <c r="H321" i="7" s="1"/>
  <c r="M263" i="3"/>
  <c r="L287" l="1"/>
  <c r="M483"/>
  <c r="M546"/>
  <c r="M545"/>
  <c r="M544"/>
  <c r="M535"/>
  <c r="M395"/>
  <c r="M397"/>
  <c r="M582"/>
  <c r="M606"/>
  <c r="M563"/>
  <c r="M516"/>
  <c r="M514"/>
  <c r="M405"/>
  <c r="M290"/>
  <c r="M159" l="1"/>
  <c r="H198" i="7"/>
  <c r="M588" i="3"/>
  <c r="L588"/>
  <c r="M557"/>
  <c r="M146"/>
  <c r="C19" i="8" l="1"/>
  <c r="M373" i="19" l="1"/>
  <c r="N373"/>
  <c r="I262" i="18"/>
  <c r="I261" s="1"/>
  <c r="I260" s="1"/>
  <c r="I259" s="1"/>
  <c r="I258" s="1"/>
  <c r="H262"/>
  <c r="H261" s="1"/>
  <c r="H260" s="1"/>
  <c r="H259" s="1"/>
  <c r="H258" s="1"/>
  <c r="M180" i="19"/>
  <c r="M179" s="1"/>
  <c r="M178" s="1"/>
  <c r="M177" s="1"/>
  <c r="L181"/>
  <c r="L180" s="1"/>
  <c r="L179" s="1"/>
  <c r="L178" s="1"/>
  <c r="L177" s="1"/>
  <c r="M172"/>
  <c r="K373"/>
  <c r="K372" s="1"/>
  <c r="K369"/>
  <c r="K368" s="1"/>
  <c r="K366"/>
  <c r="K365" s="1"/>
  <c r="K363"/>
  <c r="K362" s="1"/>
  <c r="K356"/>
  <c r="K354"/>
  <c r="K350"/>
  <c r="K347"/>
  <c r="K344"/>
  <c r="K341"/>
  <c r="K334"/>
  <c r="K333" s="1"/>
  <c r="K332" s="1"/>
  <c r="K331" s="1"/>
  <c r="K330" s="1"/>
  <c r="K329" s="1"/>
  <c r="K323"/>
  <c r="K322" s="1"/>
  <c r="K321" s="1"/>
  <c r="K320" s="1"/>
  <c r="K319" s="1"/>
  <c r="K316"/>
  <c r="K315" s="1"/>
  <c r="K314" s="1"/>
  <c r="K313" s="1"/>
  <c r="K312" s="1"/>
  <c r="K305"/>
  <c r="K304" s="1"/>
  <c r="K303" s="1"/>
  <c r="K302" s="1"/>
  <c r="K301" s="1"/>
  <c r="K299"/>
  <c r="K298" s="1"/>
  <c r="K297" s="1"/>
  <c r="K294"/>
  <c r="K290"/>
  <c r="K281"/>
  <c r="K278"/>
  <c r="K272"/>
  <c r="K271" s="1"/>
  <c r="K270" s="1"/>
  <c r="K268"/>
  <c r="K267" s="1"/>
  <c r="K265"/>
  <c r="K263"/>
  <c r="K256"/>
  <c r="K255" s="1"/>
  <c r="K254" s="1"/>
  <c r="K253" s="1"/>
  <c r="K252" s="1"/>
  <c r="K251" s="1"/>
  <c r="K246"/>
  <c r="K245" s="1"/>
  <c r="K244" s="1"/>
  <c r="K243" s="1"/>
  <c r="K242" s="1"/>
  <c r="K240"/>
  <c r="K238"/>
  <c r="K235"/>
  <c r="K231"/>
  <c r="K226"/>
  <c r="K225"/>
  <c r="K224"/>
  <c r="K223" s="1"/>
  <c r="K218"/>
  <c r="K217" s="1"/>
  <c r="K215"/>
  <c r="K210"/>
  <c r="K204"/>
  <c r="K203" s="1"/>
  <c r="K202" s="1"/>
  <c r="K199"/>
  <c r="K198"/>
  <c r="K197"/>
  <c r="K196"/>
  <c r="K194"/>
  <c r="K191" s="1"/>
  <c r="K189"/>
  <c r="K186" s="1"/>
  <c r="K175"/>
  <c r="K174"/>
  <c r="K173" s="1"/>
  <c r="K171"/>
  <c r="K163"/>
  <c r="K162" s="1"/>
  <c r="K161"/>
  <c r="K160" s="1"/>
  <c r="K152"/>
  <c r="K151" s="1"/>
  <c r="K150" s="1"/>
  <c r="K149" s="1"/>
  <c r="K145"/>
  <c r="K143"/>
  <c r="K134"/>
  <c r="K133" s="1"/>
  <c r="K131"/>
  <c r="K130" s="1"/>
  <c r="K122"/>
  <c r="K121" s="1"/>
  <c r="K120" s="1"/>
  <c r="K119" s="1"/>
  <c r="K118" s="1"/>
  <c r="K114"/>
  <c r="K113" s="1"/>
  <c r="K112" s="1"/>
  <c r="K111" s="1"/>
  <c r="K110" s="1"/>
  <c r="K105"/>
  <c r="K104" s="1"/>
  <c r="K103" s="1"/>
  <c r="K102" s="1"/>
  <c r="K101" s="1"/>
  <c r="K100" s="1"/>
  <c r="K97"/>
  <c r="K96" s="1"/>
  <c r="K95" s="1"/>
  <c r="K94" s="1"/>
  <c r="K92"/>
  <c r="K91" s="1"/>
  <c r="K90" s="1"/>
  <c r="K89" s="1"/>
  <c r="K86"/>
  <c r="K85" s="1"/>
  <c r="K84" s="1"/>
  <c r="K83" s="1"/>
  <c r="K82" s="1"/>
  <c r="K80"/>
  <c r="K79" s="1"/>
  <c r="K77"/>
  <c r="K76" s="1"/>
  <c r="K69"/>
  <c r="K68" s="1"/>
  <c r="K67" s="1"/>
  <c r="K65"/>
  <c r="K64" s="1"/>
  <c r="K63" s="1"/>
  <c r="K59"/>
  <c r="K58" s="1"/>
  <c r="K57" s="1"/>
  <c r="K56" s="1"/>
  <c r="K55" s="1"/>
  <c r="K52"/>
  <c r="K51" s="1"/>
  <c r="K50" s="1"/>
  <c r="K49" s="1"/>
  <c r="K48" s="1"/>
  <c r="K47"/>
  <c r="K46" s="1"/>
  <c r="K45" s="1"/>
  <c r="K44" s="1"/>
  <c r="K43" s="1"/>
  <c r="K42" s="1"/>
  <c r="K40"/>
  <c r="K38"/>
  <c r="K37"/>
  <c r="K35" s="1"/>
  <c r="K33"/>
  <c r="K31"/>
  <c r="K28"/>
  <c r="K22"/>
  <c r="K21" s="1"/>
  <c r="K20" s="1"/>
  <c r="K19" s="1"/>
  <c r="K18" s="1"/>
  <c r="K222" l="1"/>
  <c r="K221" s="1"/>
  <c r="K220" s="1"/>
  <c r="K219" s="1"/>
  <c r="K262"/>
  <c r="K142"/>
  <c r="K141" s="1"/>
  <c r="K140" s="1"/>
  <c r="K139" s="1"/>
  <c r="K138" s="1"/>
  <c r="K289"/>
  <c r="K288" s="1"/>
  <c r="K287" s="1"/>
  <c r="K286" s="1"/>
  <c r="K209"/>
  <c r="K208" s="1"/>
  <c r="K207" s="1"/>
  <c r="K206" s="1"/>
  <c r="K195"/>
  <c r="K185" s="1"/>
  <c r="K184" s="1"/>
  <c r="K183" s="1"/>
  <c r="K182" s="1"/>
  <c r="K353"/>
  <c r="K75"/>
  <c r="K74" s="1"/>
  <c r="K73" s="1"/>
  <c r="K129"/>
  <c r="K128" s="1"/>
  <c r="K127" s="1"/>
  <c r="K126" s="1"/>
  <c r="K125" s="1"/>
  <c r="K277"/>
  <c r="K276" s="1"/>
  <c r="K275" s="1"/>
  <c r="K274" s="1"/>
  <c r="K340"/>
  <c r="K339" s="1"/>
  <c r="K338" s="1"/>
  <c r="K337" s="1"/>
  <c r="K27"/>
  <c r="K26" s="1"/>
  <c r="K25" s="1"/>
  <c r="K24" s="1"/>
  <c r="K159"/>
  <c r="K158" s="1"/>
  <c r="K157" s="1"/>
  <c r="K156" s="1"/>
  <c r="K155" s="1"/>
  <c r="K361"/>
  <c r="K360" s="1"/>
  <c r="K359" s="1"/>
  <c r="K358" s="1"/>
  <c r="K62"/>
  <c r="K61" s="1"/>
  <c r="K117"/>
  <c r="K88"/>
  <c r="K109"/>
  <c r="K311"/>
  <c r="K310" s="1"/>
  <c r="K241"/>
  <c r="K230"/>
  <c r="K229" s="1"/>
  <c r="K228" s="1"/>
  <c r="K227" s="1"/>
  <c r="K261"/>
  <c r="K260" s="1"/>
  <c r="K259" s="1"/>
  <c r="K170"/>
  <c r="K169" s="1"/>
  <c r="K168" s="1"/>
  <c r="K167" s="1"/>
  <c r="M593" i="3"/>
  <c r="M598"/>
  <c r="M597" s="1"/>
  <c r="L598" l="1"/>
  <c r="L597" s="1"/>
  <c r="H208" i="7"/>
  <c r="H207" s="1"/>
  <c r="K17" i="19"/>
  <c r="K54"/>
  <c r="K137"/>
  <c r="K336"/>
  <c r="K328" s="1"/>
  <c r="K108"/>
  <c r="K166"/>
  <c r="K165" s="1"/>
  <c r="K258"/>
  <c r="K250" s="1"/>
  <c r="K285"/>
  <c r="K284" s="1"/>
  <c r="K72"/>
  <c r="C30" i="12"/>
  <c r="D30"/>
  <c r="D19"/>
  <c r="D18"/>
  <c r="D17" i="20"/>
  <c r="C17"/>
  <c r="C20" i="8"/>
  <c r="C18"/>
  <c r="K16" i="19" l="1"/>
  <c r="K15" s="1"/>
  <c r="M204" i="3"/>
  <c r="M55"/>
  <c r="K599" l="1"/>
  <c r="K595"/>
  <c r="M600"/>
  <c r="H210" i="7" s="1"/>
  <c r="H209" s="1"/>
  <c r="M596" i="3"/>
  <c r="M595" s="1"/>
  <c r="M594"/>
  <c r="M288"/>
  <c r="M286" s="1"/>
  <c r="M266"/>
  <c r="K682"/>
  <c r="K681" s="1"/>
  <c r="K679"/>
  <c r="K678" s="1"/>
  <c r="K676"/>
  <c r="K675" s="1"/>
  <c r="K670"/>
  <c r="K669" s="1"/>
  <c r="K667"/>
  <c r="K663"/>
  <c r="K660"/>
  <c r="K657"/>
  <c r="K654"/>
  <c r="K647"/>
  <c r="K646" s="1"/>
  <c r="K645" s="1"/>
  <c r="K644" s="1"/>
  <c r="K643" s="1"/>
  <c r="K642" s="1"/>
  <c r="K638"/>
  <c r="K636" s="1"/>
  <c r="K635" s="1"/>
  <c r="K634" s="1"/>
  <c r="K633" s="1"/>
  <c r="K632" s="1"/>
  <c r="K631"/>
  <c r="K630" s="1"/>
  <c r="K627"/>
  <c r="K616"/>
  <c r="K615" s="1"/>
  <c r="K614" s="1"/>
  <c r="K613" s="1"/>
  <c r="K612" s="1"/>
  <c r="K610"/>
  <c r="K609" s="1"/>
  <c r="K608" s="1"/>
  <c r="K606"/>
  <c r="K605"/>
  <c r="K604" s="1"/>
  <c r="K603" s="1"/>
  <c r="K594"/>
  <c r="K592" s="1"/>
  <c r="K591"/>
  <c r="K590" s="1"/>
  <c r="K589"/>
  <c r="K587"/>
  <c r="K586"/>
  <c r="L586" s="1"/>
  <c r="K581"/>
  <c r="K580" s="1"/>
  <c r="K579" s="1"/>
  <c r="K572"/>
  <c r="K571"/>
  <c r="K568"/>
  <c r="K567"/>
  <c r="K563"/>
  <c r="K562" s="1"/>
  <c r="K561" s="1"/>
  <c r="K560" s="1"/>
  <c r="K557"/>
  <c r="K556" s="1"/>
  <c r="K555" s="1"/>
  <c r="K554" s="1"/>
  <c r="K553" s="1"/>
  <c r="K552"/>
  <c r="K551"/>
  <c r="K550"/>
  <c r="K549" s="1"/>
  <c r="K544"/>
  <c r="K543" s="1"/>
  <c r="K542" s="1"/>
  <c r="K540"/>
  <c r="K539"/>
  <c r="K538" s="1"/>
  <c r="K537"/>
  <c r="K536" s="1"/>
  <c r="K535"/>
  <c r="K534" s="1"/>
  <c r="K527"/>
  <c r="K526" s="1"/>
  <c r="K525" s="1"/>
  <c r="K524" s="1"/>
  <c r="K523" s="1"/>
  <c r="K521"/>
  <c r="K520" s="1"/>
  <c r="K519" s="1"/>
  <c r="K518" s="1"/>
  <c r="K517" s="1"/>
  <c r="K516"/>
  <c r="K515" s="1"/>
  <c r="K514"/>
  <c r="K513" s="1"/>
  <c r="K503"/>
  <c r="K502" s="1"/>
  <c r="K501" s="1"/>
  <c r="K500" s="1"/>
  <c r="K499" s="1"/>
  <c r="K497"/>
  <c r="K495" s="1"/>
  <c r="K493"/>
  <c r="K490" s="1"/>
  <c r="K492"/>
  <c r="K488"/>
  <c r="K486"/>
  <c r="K482"/>
  <c r="K481" s="1"/>
  <c r="K480" s="1"/>
  <c r="K476"/>
  <c r="K473"/>
  <c r="K465"/>
  <c r="K463"/>
  <c r="K461"/>
  <c r="K460"/>
  <c r="K459"/>
  <c r="K457"/>
  <c r="K455"/>
  <c r="K454"/>
  <c r="K453"/>
  <c r="K452"/>
  <c r="K451"/>
  <c r="K449"/>
  <c r="K448" s="1"/>
  <c r="K447"/>
  <c r="K446"/>
  <c r="K445"/>
  <c r="K444"/>
  <c r="K438"/>
  <c r="K436" s="1"/>
  <c r="K435" s="1"/>
  <c r="K434" s="1"/>
  <c r="K433"/>
  <c r="K432"/>
  <c r="K429" s="1"/>
  <c r="K428"/>
  <c r="K426" s="1"/>
  <c r="K425"/>
  <c r="K424" s="1"/>
  <c r="K422"/>
  <c r="K421"/>
  <c r="K420"/>
  <c r="K419" s="1"/>
  <c r="K418"/>
  <c r="K417"/>
  <c r="K416"/>
  <c r="K414"/>
  <c r="K411" s="1"/>
  <c r="K409"/>
  <c r="K408"/>
  <c r="K407"/>
  <c r="K406"/>
  <c r="K405"/>
  <c r="K403"/>
  <c r="K402"/>
  <c r="K401"/>
  <c r="K400"/>
  <c r="K398" s="1"/>
  <c r="K397"/>
  <c r="K396"/>
  <c r="K395"/>
  <c r="K394"/>
  <c r="K388"/>
  <c r="K387" s="1"/>
  <c r="K386" s="1"/>
  <c r="K385" s="1"/>
  <c r="K384" s="1"/>
  <c r="K383"/>
  <c r="K382" s="1"/>
  <c r="K380"/>
  <c r="K379"/>
  <c r="K378" s="1"/>
  <c r="K377"/>
  <c r="K376" s="1"/>
  <c r="K374"/>
  <c r="K373"/>
  <c r="K372"/>
  <c r="K371"/>
  <c r="K370" s="1"/>
  <c r="K369"/>
  <c r="K368"/>
  <c r="K360"/>
  <c r="K359" s="1"/>
  <c r="K358"/>
  <c r="K357" s="1"/>
  <c r="K351"/>
  <c r="K350" s="1"/>
  <c r="K349"/>
  <c r="K348" s="1"/>
  <c r="K341"/>
  <c r="K340" s="1"/>
  <c r="K339" s="1"/>
  <c r="K338" s="1"/>
  <c r="K337" s="1"/>
  <c r="K335"/>
  <c r="K334"/>
  <c r="K333" s="1"/>
  <c r="K332" s="1"/>
  <c r="K331" s="1"/>
  <c r="K330" s="1"/>
  <c r="K329"/>
  <c r="K328" s="1"/>
  <c r="K327" s="1"/>
  <c r="K326" s="1"/>
  <c r="K325" s="1"/>
  <c r="K324" s="1"/>
  <c r="K322"/>
  <c r="K321" s="1"/>
  <c r="K320"/>
  <c r="K319" s="1"/>
  <c r="K314"/>
  <c r="K313" s="1"/>
  <c r="K312" s="1"/>
  <c r="K311" s="1"/>
  <c r="K308"/>
  <c r="K307" s="1"/>
  <c r="K306" s="1"/>
  <c r="K305" s="1"/>
  <c r="K304" s="1"/>
  <c r="K303" s="1"/>
  <c r="K302" s="1"/>
  <c r="K300"/>
  <c r="K299"/>
  <c r="K298" s="1"/>
  <c r="K297" s="1"/>
  <c r="K296" s="1"/>
  <c r="K295" s="1"/>
  <c r="K293"/>
  <c r="K292" s="1"/>
  <c r="K291" s="1"/>
  <c r="K289"/>
  <c r="K288"/>
  <c r="K286" s="1"/>
  <c r="K283"/>
  <c r="K282" s="1"/>
  <c r="K281"/>
  <c r="K280" s="1"/>
  <c r="K277"/>
  <c r="K276" s="1"/>
  <c r="K274"/>
  <c r="K272" s="1"/>
  <c r="K268"/>
  <c r="K267"/>
  <c r="K265" s="1"/>
  <c r="K266"/>
  <c r="K263"/>
  <c r="K262" s="1"/>
  <c r="K261" s="1"/>
  <c r="K253"/>
  <c r="K252" s="1"/>
  <c r="K250"/>
  <c r="K249"/>
  <c r="K245"/>
  <c r="K244" s="1"/>
  <c r="K236"/>
  <c r="K235" s="1"/>
  <c r="K234" s="1"/>
  <c r="K233" s="1"/>
  <c r="K232" s="1"/>
  <c r="K230"/>
  <c r="K229" s="1"/>
  <c r="K228" s="1"/>
  <c r="K227" s="1"/>
  <c r="K226" s="1"/>
  <c r="K224"/>
  <c r="K223" s="1"/>
  <c r="K222" s="1"/>
  <c r="K221" s="1"/>
  <c r="K220" s="1"/>
  <c r="K219" s="1"/>
  <c r="K217"/>
  <c r="K216" s="1"/>
  <c r="K214"/>
  <c r="K213"/>
  <c r="K203"/>
  <c r="K202" s="1"/>
  <c r="K201" s="1"/>
  <c r="K200" s="1"/>
  <c r="K199" s="1"/>
  <c r="K198" s="1"/>
  <c r="K197"/>
  <c r="K196" s="1"/>
  <c r="K195" s="1"/>
  <c r="K194" s="1"/>
  <c r="K193" s="1"/>
  <c r="K192" s="1"/>
  <c r="K190"/>
  <c r="K189" s="1"/>
  <c r="K188" s="1"/>
  <c r="K187" s="1"/>
  <c r="K186" s="1"/>
  <c r="K185"/>
  <c r="K184"/>
  <c r="K183" s="1"/>
  <c r="K182" s="1"/>
  <c r="K181" s="1"/>
  <c r="K178"/>
  <c r="K177" s="1"/>
  <c r="K176" s="1"/>
  <c r="K175" s="1"/>
  <c r="K174" s="1"/>
  <c r="K172"/>
  <c r="K171" s="1"/>
  <c r="K170" s="1"/>
  <c r="K169" s="1"/>
  <c r="K168" s="1"/>
  <c r="K167" s="1"/>
  <c r="K166"/>
  <c r="K165" s="1"/>
  <c r="K164" s="1"/>
  <c r="K163" s="1"/>
  <c r="K162" s="1"/>
  <c r="K161" s="1"/>
  <c r="K159"/>
  <c r="K158" s="1"/>
  <c r="K156"/>
  <c r="K152"/>
  <c r="K147"/>
  <c r="K146"/>
  <c r="K145" s="1"/>
  <c r="K141"/>
  <c r="K140" s="1"/>
  <c r="K139" s="1"/>
  <c r="K138" s="1"/>
  <c r="K136"/>
  <c r="K135" s="1"/>
  <c r="K134" s="1"/>
  <c r="K130"/>
  <c r="K129"/>
  <c r="K128" s="1"/>
  <c r="K123"/>
  <c r="K122" s="1"/>
  <c r="K121" s="1"/>
  <c r="K120"/>
  <c r="K119" s="1"/>
  <c r="K118" s="1"/>
  <c r="K112"/>
  <c r="K111" s="1"/>
  <c r="K110" s="1"/>
  <c r="K109"/>
  <c r="K108" s="1"/>
  <c r="K107" s="1"/>
  <c r="K105"/>
  <c r="K104"/>
  <c r="K103" s="1"/>
  <c r="K102" s="1"/>
  <c r="K100"/>
  <c r="K99" s="1"/>
  <c r="K98" s="1"/>
  <c r="K97"/>
  <c r="K96" s="1"/>
  <c r="K94"/>
  <c r="K89"/>
  <c r="K88" s="1"/>
  <c r="K87"/>
  <c r="K86" s="1"/>
  <c r="K84"/>
  <c r="K82"/>
  <c r="K81"/>
  <c r="K80" s="1"/>
  <c r="K74"/>
  <c r="K73" s="1"/>
  <c r="K71"/>
  <c r="K69"/>
  <c r="K68" s="1"/>
  <c r="K67" s="1"/>
  <c r="K66"/>
  <c r="K65" s="1"/>
  <c r="K64" s="1"/>
  <c r="K60"/>
  <c r="K59" s="1"/>
  <c r="K58" s="1"/>
  <c r="K57" s="1"/>
  <c r="K55"/>
  <c r="K54" s="1"/>
  <c r="K53" s="1"/>
  <c r="K52" s="1"/>
  <c r="K51" s="1"/>
  <c r="K50" s="1"/>
  <c r="K49"/>
  <c r="K48" s="1"/>
  <c r="K47" s="1"/>
  <c r="K46" s="1"/>
  <c r="K45" s="1"/>
  <c r="K44" s="1"/>
  <c r="K43"/>
  <c r="K42"/>
  <c r="K41" s="1"/>
  <c r="K39"/>
  <c r="K37"/>
  <c r="K36"/>
  <c r="K34"/>
  <c r="K32"/>
  <c r="K30"/>
  <c r="K29"/>
  <c r="K28"/>
  <c r="K27"/>
  <c r="K20"/>
  <c r="K19" s="1"/>
  <c r="K18" s="1"/>
  <c r="K17" s="1"/>
  <c r="K16" s="1"/>
  <c r="K570" l="1"/>
  <c r="L600"/>
  <c r="L599" s="1"/>
  <c r="K415"/>
  <c r="K566"/>
  <c r="M599"/>
  <c r="K26"/>
  <c r="K248"/>
  <c r="K247" s="1"/>
  <c r="H206" i="7"/>
  <c r="H205" s="1"/>
  <c r="K393" i="3"/>
  <c r="K443"/>
  <c r="K450"/>
  <c r="L596"/>
  <c r="L595" s="1"/>
  <c r="K212"/>
  <c r="K211" s="1"/>
  <c r="K585"/>
  <c r="K285"/>
  <c r="K243"/>
  <c r="K242" s="1"/>
  <c r="K241" s="1"/>
  <c r="K240" s="1"/>
  <c r="K239" s="1"/>
  <c r="K323"/>
  <c r="K93"/>
  <c r="K92" s="1"/>
  <c r="K512"/>
  <c r="K511" s="1"/>
  <c r="K510" s="1"/>
  <c r="K509" s="1"/>
  <c r="K508" s="1"/>
  <c r="K472"/>
  <c r="K471" s="1"/>
  <c r="K470" s="1"/>
  <c r="K469" s="1"/>
  <c r="K79"/>
  <c r="K78" s="1"/>
  <c r="K77" s="1"/>
  <c r="K76" s="1"/>
  <c r="K533"/>
  <c r="K532" s="1"/>
  <c r="K666"/>
  <c r="K210"/>
  <c r="K209" s="1"/>
  <c r="K208" s="1"/>
  <c r="K207" s="1"/>
  <c r="K144"/>
  <c r="K143" s="1"/>
  <c r="K142" s="1"/>
  <c r="K264"/>
  <c r="K260" s="1"/>
  <c r="K347"/>
  <c r="K346" s="1"/>
  <c r="K345" s="1"/>
  <c r="K344" s="1"/>
  <c r="K343" s="1"/>
  <c r="K25"/>
  <c r="K24" s="1"/>
  <c r="K23" s="1"/>
  <c r="K22" s="1"/>
  <c r="K318"/>
  <c r="K317" s="1"/>
  <c r="K316" s="1"/>
  <c r="K310" s="1"/>
  <c r="K309" s="1"/>
  <c r="K442"/>
  <c r="K441" s="1"/>
  <c r="K440" s="1"/>
  <c r="K439" s="1"/>
  <c r="K70"/>
  <c r="K63" s="1"/>
  <c r="K62" s="1"/>
  <c r="K56" s="1"/>
  <c r="K127"/>
  <c r="K126" s="1"/>
  <c r="K125" s="1"/>
  <c r="K124" s="1"/>
  <c r="K356"/>
  <c r="K355" s="1"/>
  <c r="K354" s="1"/>
  <c r="K353" s="1"/>
  <c r="K352" s="1"/>
  <c r="K367"/>
  <c r="K366" s="1"/>
  <c r="K365" s="1"/>
  <c r="K364" s="1"/>
  <c r="K584"/>
  <c r="K583" s="1"/>
  <c r="K578" s="1"/>
  <c r="K577" s="1"/>
  <c r="K626"/>
  <c r="K625" s="1"/>
  <c r="K624" s="1"/>
  <c r="K623" s="1"/>
  <c r="K622" s="1"/>
  <c r="K621" s="1"/>
  <c r="K653"/>
  <c r="K101"/>
  <c r="K336"/>
  <c r="K117"/>
  <c r="K116" s="1"/>
  <c r="K115" s="1"/>
  <c r="K180"/>
  <c r="K271"/>
  <c r="K498"/>
  <c r="K133"/>
  <c r="K151"/>
  <c r="K150" s="1"/>
  <c r="K149" s="1"/>
  <c r="K225"/>
  <c r="K160"/>
  <c r="K191"/>
  <c r="K602"/>
  <c r="K601" s="1"/>
  <c r="K404"/>
  <c r="K548"/>
  <c r="K547" s="1"/>
  <c r="K565"/>
  <c r="K564" s="1"/>
  <c r="K559" s="1"/>
  <c r="K558" s="1"/>
  <c r="K674"/>
  <c r="K673" s="1"/>
  <c r="K672" s="1"/>
  <c r="K671" s="1"/>
  <c r="K485"/>
  <c r="K484" s="1"/>
  <c r="K479" s="1"/>
  <c r="K392" l="1"/>
  <c r="K391" s="1"/>
  <c r="K390" s="1"/>
  <c r="K389" s="1"/>
  <c r="K531"/>
  <c r="K530" s="1"/>
  <c r="K529" s="1"/>
  <c r="K507" s="1"/>
  <c r="K652"/>
  <c r="K651" s="1"/>
  <c r="K650" s="1"/>
  <c r="K649" s="1"/>
  <c r="K641" s="1"/>
  <c r="K270"/>
  <c r="K259" s="1"/>
  <c r="K258" s="1"/>
  <c r="K257" s="1"/>
  <c r="K256" s="1"/>
  <c r="K478"/>
  <c r="K91"/>
  <c r="K90" s="1"/>
  <c r="K15"/>
  <c r="K173"/>
  <c r="K576"/>
  <c r="K575" s="1"/>
  <c r="K206"/>
  <c r="K132"/>
  <c r="M446"/>
  <c r="M444"/>
  <c r="K75" l="1"/>
  <c r="K363"/>
  <c r="K362" s="1"/>
  <c r="K114"/>
  <c r="K14" l="1"/>
  <c r="K13" s="1"/>
  <c r="C37" i="2" l="1"/>
  <c r="C27" i="12" l="1"/>
  <c r="H102" i="7" l="1"/>
  <c r="H101" s="1"/>
  <c r="H68"/>
  <c r="H67" s="1"/>
  <c r="H34"/>
  <c r="H33" s="1"/>
  <c r="L464" i="3"/>
  <c r="L463" s="1"/>
  <c r="M463"/>
  <c r="L423"/>
  <c r="L422" s="1"/>
  <c r="M422"/>
  <c r="L381"/>
  <c r="L380" s="1"/>
  <c r="M380"/>
  <c r="M349"/>
  <c r="L349" s="1"/>
  <c r="L348" s="1"/>
  <c r="H356" i="7" l="1"/>
  <c r="H355" s="1"/>
  <c r="M348" i="3"/>
  <c r="I89" i="18"/>
  <c r="I88" s="1"/>
  <c r="I87" s="1"/>
  <c r="I86" s="1"/>
  <c r="H89"/>
  <c r="H88" s="1"/>
  <c r="H87" s="1"/>
  <c r="H86" s="1"/>
  <c r="N272" i="19"/>
  <c r="N271" s="1"/>
  <c r="N270" s="1"/>
  <c r="M272"/>
  <c r="M271" s="1"/>
  <c r="M270" s="1"/>
  <c r="L273"/>
  <c r="L272" s="1"/>
  <c r="L271" s="1"/>
  <c r="L270" s="1"/>
  <c r="H500" i="7"/>
  <c r="H324"/>
  <c r="H323" s="1"/>
  <c r="L290" i="3"/>
  <c r="L289" s="1"/>
  <c r="M289"/>
  <c r="M396" l="1"/>
  <c r="M369" l="1"/>
  <c r="C38" i="2" l="1"/>
  <c r="C33"/>
  <c r="C57"/>
  <c r="H72" i="7"/>
  <c r="H328"/>
  <c r="H327" s="1"/>
  <c r="H326" s="1"/>
  <c r="L294" i="3"/>
  <c r="H303" i="7"/>
  <c r="H302" s="1"/>
  <c r="H203"/>
  <c r="H104"/>
  <c r="H103" s="1"/>
  <c r="C28" i="5" l="1"/>
  <c r="I112" i="18" l="1"/>
  <c r="I110" s="1"/>
  <c r="H112"/>
  <c r="H110" s="1"/>
  <c r="I82"/>
  <c r="I81" s="1"/>
  <c r="H82"/>
  <c r="H81" s="1"/>
  <c r="I222"/>
  <c r="I221" s="1"/>
  <c r="I220" s="1"/>
  <c r="I219" s="1"/>
  <c r="I218" s="1"/>
  <c r="H222"/>
  <c r="H221" s="1"/>
  <c r="H220" s="1"/>
  <c r="H219" s="1"/>
  <c r="H218" s="1"/>
  <c r="N161" i="19"/>
  <c r="M161"/>
  <c r="M589" i="3"/>
  <c r="M587"/>
  <c r="M585" s="1"/>
  <c r="L269"/>
  <c r="L268" s="1"/>
  <c r="M268"/>
  <c r="M433"/>
  <c r="M428"/>
  <c r="H73" i="7" s="1"/>
  <c r="L427" i="3"/>
  <c r="L466"/>
  <c r="M465"/>
  <c r="M425"/>
  <c r="M421"/>
  <c r="M420"/>
  <c r="M493"/>
  <c r="L493" s="1"/>
  <c r="M394"/>
  <c r="L266" i="19"/>
  <c r="L265" s="1"/>
  <c r="N265"/>
  <c r="M265"/>
  <c r="M454" i="3"/>
  <c r="M373"/>
  <c r="M403"/>
  <c r="M451"/>
  <c r="M452"/>
  <c r="M568"/>
  <c r="L93" i="19"/>
  <c r="L92" s="1"/>
  <c r="L91" s="1"/>
  <c r="L90" s="1"/>
  <c r="L89" s="1"/>
  <c r="N92"/>
  <c r="N91" s="1"/>
  <c r="N90" s="1"/>
  <c r="N89" s="1"/>
  <c r="M92"/>
  <c r="M91" s="1"/>
  <c r="M90" s="1"/>
  <c r="M89" s="1"/>
  <c r="M426" i="3" l="1"/>
  <c r="L428"/>
  <c r="L433"/>
  <c r="L432" s="1"/>
  <c r="H78" i="7"/>
  <c r="H77" s="1"/>
  <c r="M432" i="3"/>
  <c r="L465"/>
  <c r="L426"/>
  <c r="L296" i="19"/>
  <c r="L294" s="1"/>
  <c r="L593" i="3"/>
  <c r="M429" l="1"/>
  <c r="M69" l="1"/>
  <c r="M572" l="1"/>
  <c r="M571"/>
  <c r="M631" l="1"/>
  <c r="M638"/>
  <c r="M636" s="1"/>
  <c r="M592" l="1"/>
  <c r="M449"/>
  <c r="M371"/>
  <c r="M402"/>
  <c r="M335" l="1"/>
  <c r="M267" l="1"/>
  <c r="M293"/>
  <c r="M292" s="1"/>
  <c r="M291" s="1"/>
  <c r="M299" l="1"/>
  <c r="M277"/>
  <c r="M185"/>
  <c r="M74"/>
  <c r="M28"/>
  <c r="L594" l="1"/>
  <c r="H419" i="7" l="1"/>
  <c r="M556" i="3" l="1"/>
  <c r="M555" s="1"/>
  <c r="M554" s="1"/>
  <c r="M553" s="1"/>
  <c r="L557"/>
  <c r="L556" s="1"/>
  <c r="L555" s="1"/>
  <c r="L554" s="1"/>
  <c r="L553" s="1"/>
  <c r="H252" i="7" l="1"/>
  <c r="H251" s="1"/>
  <c r="M438" i="3" l="1"/>
  <c r="H125" i="7"/>
  <c r="L437" i="3" l="1"/>
  <c r="M436"/>
  <c r="L438" l="1"/>
  <c r="L436" s="1"/>
  <c r="I113" i="18"/>
  <c r="H116"/>
  <c r="H115" s="1"/>
  <c r="H114" s="1"/>
  <c r="H113" s="1"/>
  <c r="M299" i="19"/>
  <c r="M298" s="1"/>
  <c r="M297" s="1"/>
  <c r="L300"/>
  <c r="H70" i="7"/>
  <c r="H69" s="1"/>
  <c r="M383" i="3"/>
  <c r="H36" i="7" s="1"/>
  <c r="H35" s="1"/>
  <c r="M424" i="3"/>
  <c r="L425"/>
  <c r="L373" i="19" l="1"/>
  <c r="M382" i="3"/>
  <c r="L383"/>
  <c r="L382" s="1"/>
  <c r="L299" i="19"/>
  <c r="L297"/>
  <c r="L298"/>
  <c r="L424" i="3"/>
  <c r="C17" i="5" l="1"/>
  <c r="C15"/>
  <c r="M66" i="3" l="1"/>
  <c r="H508" i="7"/>
  <c r="H507" s="1"/>
  <c r="H71"/>
  <c r="L204" i="3"/>
  <c r="L203" s="1"/>
  <c r="L202" s="1"/>
  <c r="L201" s="1"/>
  <c r="L200" s="1"/>
  <c r="L199" s="1"/>
  <c r="L198" s="1"/>
  <c r="L55"/>
  <c r="M203" l="1"/>
  <c r="M202" s="1"/>
  <c r="M201" s="1"/>
  <c r="M200" s="1"/>
  <c r="M199" s="1"/>
  <c r="M198" s="1"/>
  <c r="M447"/>
  <c r="M445"/>
  <c r="C22" i="2" l="1"/>
  <c r="C19"/>
  <c r="M166" i="3" l="1"/>
  <c r="M320"/>
  <c r="M100" l="1"/>
  <c r="M329"/>
  <c r="C34" i="2"/>
  <c r="C30" s="1"/>
  <c r="M89" i="3"/>
  <c r="M236"/>
  <c r="M224" i="19" l="1"/>
  <c r="N224"/>
  <c r="I189" i="18"/>
  <c r="I188" s="1"/>
  <c r="N160" i="19" l="1"/>
  <c r="L161"/>
  <c r="L160" s="1"/>
  <c r="H189" i="18"/>
  <c r="H188" s="1"/>
  <c r="M160" i="19"/>
  <c r="L237" i="3" l="1"/>
  <c r="L231"/>
  <c r="M235"/>
  <c r="M234" s="1"/>
  <c r="M233" s="1"/>
  <c r="M232" s="1"/>
  <c r="L236" l="1"/>
  <c r="L235" s="1"/>
  <c r="L234" s="1"/>
  <c r="L233" s="1"/>
  <c r="L232" s="1"/>
  <c r="M105" l="1"/>
  <c r="M29"/>
  <c r="H248" i="7"/>
  <c r="H247" s="1"/>
  <c r="I252" i="18" l="1"/>
  <c r="I251" s="1"/>
  <c r="I250" s="1"/>
  <c r="H252"/>
  <c r="H251" s="1"/>
  <c r="H250" s="1"/>
  <c r="H403" i="7"/>
  <c r="H402" s="1"/>
  <c r="C21" i="2"/>
  <c r="M322" i="3"/>
  <c r="H382" i="7" s="1"/>
  <c r="H381" s="1"/>
  <c r="L131" i="3"/>
  <c r="L130" s="1"/>
  <c r="M129"/>
  <c r="M130"/>
  <c r="L322" l="1"/>
  <c r="L321" s="1"/>
  <c r="M321"/>
  <c r="M453"/>
  <c r="H204" i="7" l="1"/>
  <c r="H202" s="1"/>
  <c r="L592" i="3"/>
  <c r="C74" i="2"/>
  <c r="C16"/>
  <c r="M550" i="3" l="1"/>
  <c r="H44" i="7" l="1"/>
  <c r="H19"/>
  <c r="M230" i="3" l="1"/>
  <c r="M229" s="1"/>
  <c r="E47" i="17" l="1"/>
  <c r="E46" s="1"/>
  <c r="M398" i="3" l="1"/>
  <c r="L399"/>
  <c r="M105" i="19" l="1"/>
  <c r="M104" s="1"/>
  <c r="L106"/>
  <c r="N189"/>
  <c r="M189"/>
  <c r="N226"/>
  <c r="M226"/>
  <c r="M225" l="1"/>
  <c r="L225" s="1"/>
  <c r="H71" i="18"/>
  <c r="H70" s="1"/>
  <c r="H69" s="1"/>
  <c r="N225" i="19"/>
  <c r="I71" i="18"/>
  <c r="I70" s="1"/>
  <c r="I69" s="1"/>
  <c r="L224" i="19"/>
  <c r="L223" s="1"/>
  <c r="M223"/>
  <c r="N223"/>
  <c r="L105"/>
  <c r="M103"/>
  <c r="L104"/>
  <c r="L226"/>
  <c r="M552" i="3"/>
  <c r="L552" s="1"/>
  <c r="L222" i="19" l="1"/>
  <c r="L221" s="1"/>
  <c r="L220" s="1"/>
  <c r="L219" s="1"/>
  <c r="M551" i="3"/>
  <c r="L551" s="1"/>
  <c r="H167" i="7"/>
  <c r="H166" s="1"/>
  <c r="L103" i="19"/>
  <c r="M102"/>
  <c r="M197" i="3"/>
  <c r="L197" s="1"/>
  <c r="L196" s="1"/>
  <c r="H478" i="7"/>
  <c r="H477" s="1"/>
  <c r="M43" i="3"/>
  <c r="M109"/>
  <c r="L109" s="1"/>
  <c r="M104"/>
  <c r="L104" s="1"/>
  <c r="M190"/>
  <c r="L29"/>
  <c r="M81"/>
  <c r="H283" i="7"/>
  <c r="H282" s="1"/>
  <c r="H475"/>
  <c r="L157" i="3"/>
  <c r="M156"/>
  <c r="M214"/>
  <c r="M224"/>
  <c r="L224" s="1"/>
  <c r="L275"/>
  <c r="L273"/>
  <c r="M570"/>
  <c r="M101" i="19" l="1"/>
  <c r="L102"/>
  <c r="M108" i="3"/>
  <c r="M107" s="1"/>
  <c r="L107" s="1"/>
  <c r="H266" i="7"/>
  <c r="H265" s="1"/>
  <c r="H264" s="1"/>
  <c r="L156" i="3"/>
  <c r="L528"/>
  <c r="L550"/>
  <c r="L569"/>
  <c r="L571"/>
  <c r="L546"/>
  <c r="L545"/>
  <c r="L541"/>
  <c r="L522"/>
  <c r="L568"/>
  <c r="C18" i="2"/>
  <c r="C15" s="1"/>
  <c r="L108" i="3" l="1"/>
  <c r="C33" i="5"/>
  <c r="D47" i="17"/>
  <c r="D46" s="1"/>
  <c r="L101" i="19"/>
  <c r="M100"/>
  <c r="L540" i="3"/>
  <c r="L549"/>
  <c r="L548" s="1"/>
  <c r="L527"/>
  <c r="L526" s="1"/>
  <c r="L525" s="1"/>
  <c r="L524" s="1"/>
  <c r="L523" s="1"/>
  <c r="L521"/>
  <c r="L520" s="1"/>
  <c r="L519" s="1"/>
  <c r="L518" s="1"/>
  <c r="L517" s="1"/>
  <c r="L573"/>
  <c r="M567"/>
  <c r="L516"/>
  <c r="L515" s="1"/>
  <c r="L572"/>
  <c r="L606"/>
  <c r="L535"/>
  <c r="L534" s="1"/>
  <c r="L514"/>
  <c r="L513" s="1"/>
  <c r="L408"/>
  <c r="L407"/>
  <c r="L371"/>
  <c r="L230"/>
  <c r="L190"/>
  <c r="L28"/>
  <c r="L100" i="19" l="1"/>
  <c r="L587" i="3"/>
  <c r="L400"/>
  <c r="L398" s="1"/>
  <c r="L512"/>
  <c r="L511" s="1"/>
  <c r="L510" s="1"/>
  <c r="L509" s="1"/>
  <c r="L508" s="1"/>
  <c r="L266"/>
  <c r="L288"/>
  <c r="L567"/>
  <c r="L566" s="1"/>
  <c r="L81"/>
  <c r="L105"/>
  <c r="L274"/>
  <c r="L272" s="1"/>
  <c r="L563"/>
  <c r="L562" s="1"/>
  <c r="L561" s="1"/>
  <c r="L560" s="1"/>
  <c r="L547"/>
  <c r="L570"/>
  <c r="L286" l="1"/>
  <c r="L285" s="1"/>
  <c r="L229"/>
  <c r="L565"/>
  <c r="L564" s="1"/>
  <c r="C25" i="2"/>
  <c r="H106" i="7"/>
  <c r="H76"/>
  <c r="H75" s="1"/>
  <c r="H74" s="1"/>
  <c r="L315" i="3"/>
  <c r="L308"/>
  <c r="M360"/>
  <c r="H216" i="7" s="1"/>
  <c r="H215" s="1"/>
  <c r="M314" i="3"/>
  <c r="M313" s="1"/>
  <c r="M312" s="1"/>
  <c r="M311" s="1"/>
  <c r="H295" i="7"/>
  <c r="L467" i="3"/>
  <c r="L468"/>
  <c r="L454"/>
  <c r="L453" s="1"/>
  <c r="L430"/>
  <c r="L429" s="1"/>
  <c r="L431"/>
  <c r="L410"/>
  <c r="L559" l="1"/>
  <c r="L558" s="1"/>
  <c r="L27"/>
  <c r="M26"/>
  <c r="M359"/>
  <c r="L360"/>
  <c r="L359" s="1"/>
  <c r="L311"/>
  <c r="L314"/>
  <c r="L312"/>
  <c r="L313"/>
  <c r="M591"/>
  <c r="H119" i="7" l="1"/>
  <c r="M406" i="3" l="1"/>
  <c r="L406" s="1"/>
  <c r="M388"/>
  <c r="C76" i="2" l="1"/>
  <c r="C53"/>
  <c r="C55" l="1"/>
  <c r="C56"/>
  <c r="M497" i="3"/>
  <c r="M418"/>
  <c r="M417"/>
  <c r="M379"/>
  <c r="H301" i="7" l="1"/>
  <c r="L267" i="3"/>
  <c r="L265" s="1"/>
  <c r="L264" s="1"/>
  <c r="H214" i="7" l="1"/>
  <c r="H213" s="1"/>
  <c r="H212" s="1"/>
  <c r="H23"/>
  <c r="H22" s="1"/>
  <c r="M281" i="3"/>
  <c r="M357"/>
  <c r="M356" s="1"/>
  <c r="M355" s="1"/>
  <c r="L358"/>
  <c r="M328"/>
  <c r="M327" s="1"/>
  <c r="L329"/>
  <c r="L328" l="1"/>
  <c r="L357"/>
  <c r="L356" s="1"/>
  <c r="L355" s="1"/>
  <c r="M326"/>
  <c r="L327"/>
  <c r="M354" l="1"/>
  <c r="M353" s="1"/>
  <c r="L326"/>
  <c r="M325"/>
  <c r="M352" l="1"/>
  <c r="L352" s="1"/>
  <c r="L353"/>
  <c r="L354"/>
  <c r="M324"/>
  <c r="L324" s="1"/>
  <c r="L325"/>
  <c r="C27" i="2"/>
  <c r="N163" i="19" l="1"/>
  <c r="M163"/>
  <c r="C64" i="2"/>
  <c r="C58"/>
  <c r="C51"/>
  <c r="C50"/>
  <c r="H270" i="7" l="1"/>
  <c r="H269" s="1"/>
  <c r="H268" s="1"/>
  <c r="H267" s="1"/>
  <c r="H152"/>
  <c r="H151" s="1"/>
  <c r="M249" i="3"/>
  <c r="M250"/>
  <c r="M300"/>
  <c r="L113" l="1"/>
  <c r="L112" s="1"/>
  <c r="L111" s="1"/>
  <c r="L110" s="1"/>
  <c r="M112"/>
  <c r="M111" s="1"/>
  <c r="M110" s="1"/>
  <c r="L89"/>
  <c r="L88" s="1"/>
  <c r="M88"/>
  <c r="M120"/>
  <c r="M123"/>
  <c r="M540"/>
  <c r="M537"/>
  <c r="L537" s="1"/>
  <c r="L536" s="1"/>
  <c r="M351"/>
  <c r="M670"/>
  <c r="H51" i="7" l="1"/>
  <c r="L320" i="3"/>
  <c r="C23" i="5" l="1"/>
  <c r="M213" i="3" l="1"/>
  <c r="H52" i="7" l="1"/>
  <c r="L335" i="3"/>
  <c r="L334" s="1"/>
  <c r="L333" s="1"/>
  <c r="L332" s="1"/>
  <c r="L331" s="1"/>
  <c r="L330" s="1"/>
  <c r="L323" s="1"/>
  <c r="M334"/>
  <c r="M333" s="1"/>
  <c r="M332" s="1"/>
  <c r="M331" s="1"/>
  <c r="M330" s="1"/>
  <c r="M323" s="1"/>
  <c r="H130" i="7"/>
  <c r="H129"/>
  <c r="M473" i="3"/>
  <c r="L475"/>
  <c r="L474"/>
  <c r="H160" i="7"/>
  <c r="H159" s="1"/>
  <c r="H158" s="1"/>
  <c r="L473" i="3" l="1"/>
  <c r="H128" i="7"/>
  <c r="M521" i="3" l="1"/>
  <c r="M520" l="1"/>
  <c r="I191" i="18"/>
  <c r="I190" s="1"/>
  <c r="H191"/>
  <c r="H190" s="1"/>
  <c r="N162" i="19"/>
  <c r="N159" s="1"/>
  <c r="L163"/>
  <c r="L162" s="1"/>
  <c r="L159" s="1"/>
  <c r="M162"/>
  <c r="M159" s="1"/>
  <c r="L370"/>
  <c r="L367"/>
  <c r="L364"/>
  <c r="L357"/>
  <c r="L355"/>
  <c r="L352"/>
  <c r="L351"/>
  <c r="L349"/>
  <c r="L348"/>
  <c r="L346"/>
  <c r="L345"/>
  <c r="L343"/>
  <c r="L342"/>
  <c r="L335"/>
  <c r="L326"/>
  <c r="L325"/>
  <c r="L324"/>
  <c r="L318"/>
  <c r="L317"/>
  <c r="L308"/>
  <c r="L307"/>
  <c r="L306"/>
  <c r="L293"/>
  <c r="L292"/>
  <c r="L291"/>
  <c r="L282"/>
  <c r="L280"/>
  <c r="L279"/>
  <c r="L269"/>
  <c r="L264"/>
  <c r="L257"/>
  <c r="L248"/>
  <c r="L247"/>
  <c r="L239"/>
  <c r="L237"/>
  <c r="L236"/>
  <c r="L234"/>
  <c r="L233"/>
  <c r="L232"/>
  <c r="L216"/>
  <c r="L214"/>
  <c r="L213"/>
  <c r="L212"/>
  <c r="L211"/>
  <c r="L205"/>
  <c r="L201"/>
  <c r="L200"/>
  <c r="L193"/>
  <c r="L192"/>
  <c r="L190"/>
  <c r="L189"/>
  <c r="L188"/>
  <c r="L187"/>
  <c r="L176"/>
  <c r="L172"/>
  <c r="L154"/>
  <c r="L153"/>
  <c r="L148"/>
  <c r="L147"/>
  <c r="L146"/>
  <c r="L144"/>
  <c r="L135"/>
  <c r="L132"/>
  <c r="L123"/>
  <c r="L116"/>
  <c r="L115"/>
  <c r="L99"/>
  <c r="L98"/>
  <c r="L87"/>
  <c r="L81"/>
  <c r="L78"/>
  <c r="L71"/>
  <c r="L70"/>
  <c r="L66"/>
  <c r="L60"/>
  <c r="L53"/>
  <c r="L41"/>
  <c r="L39"/>
  <c r="L36"/>
  <c r="L34"/>
  <c r="L32"/>
  <c r="L30"/>
  <c r="L29"/>
  <c r="L23"/>
  <c r="L290" l="1"/>
  <c r="L289" s="1"/>
  <c r="M519" i="3"/>
  <c r="H358" i="7"/>
  <c r="H357" s="1"/>
  <c r="H100"/>
  <c r="H99" s="1"/>
  <c r="H92"/>
  <c r="H91" s="1"/>
  <c r="H87"/>
  <c r="H86" s="1"/>
  <c r="M350" i="3"/>
  <c r="M347" s="1"/>
  <c r="L351"/>
  <c r="L350" s="1"/>
  <c r="L347" s="1"/>
  <c r="M518" l="1"/>
  <c r="M461"/>
  <c r="L462"/>
  <c r="M539"/>
  <c r="L539" s="1"/>
  <c r="L538" s="1"/>
  <c r="L533" s="1"/>
  <c r="M517" l="1"/>
  <c r="L461"/>
  <c r="M448"/>
  <c r="L449"/>
  <c r="L448" l="1"/>
  <c r="M370"/>
  <c r="H18" i="7"/>
  <c r="H45"/>
  <c r="H43" s="1"/>
  <c r="L370" i="3"/>
  <c r="H440" i="7"/>
  <c r="H439" s="1"/>
  <c r="L66" i="3"/>
  <c r="L65" s="1"/>
  <c r="L64" s="1"/>
  <c r="M65"/>
  <c r="M64" s="1"/>
  <c r="M492" l="1"/>
  <c r="M490" s="1"/>
  <c r="M488"/>
  <c r="M265" l="1"/>
  <c r="M264" s="1"/>
  <c r="H300" i="7"/>
  <c r="L683" i="3"/>
  <c r="L680"/>
  <c r="L677"/>
  <c r="L670"/>
  <c r="L669" s="1"/>
  <c r="L668"/>
  <c r="L667" s="1"/>
  <c r="L665"/>
  <c r="L664"/>
  <c r="L662"/>
  <c r="L661"/>
  <c r="L659"/>
  <c r="L658"/>
  <c r="L656"/>
  <c r="L655"/>
  <c r="L648"/>
  <c r="L647" s="1"/>
  <c r="L646" s="1"/>
  <c r="L645" s="1"/>
  <c r="L644" s="1"/>
  <c r="L643" s="1"/>
  <c r="L642" s="1"/>
  <c r="L639"/>
  <c r="L638"/>
  <c r="L637"/>
  <c r="L631"/>
  <c r="L630" s="1"/>
  <c r="L629"/>
  <c r="L628"/>
  <c r="L619"/>
  <c r="L618"/>
  <c r="L617"/>
  <c r="L611"/>
  <c r="L610" s="1"/>
  <c r="L609" s="1"/>
  <c r="L608" s="1"/>
  <c r="L607"/>
  <c r="L605" s="1"/>
  <c r="L604" s="1"/>
  <c r="L603" s="1"/>
  <c r="L602" s="1"/>
  <c r="L601" s="1"/>
  <c r="L589"/>
  <c r="L585" s="1"/>
  <c r="L582"/>
  <c r="L581" s="1"/>
  <c r="L580" s="1"/>
  <c r="L579" s="1"/>
  <c r="L505"/>
  <c r="L504"/>
  <c r="L496"/>
  <c r="L494"/>
  <c r="L492"/>
  <c r="L491"/>
  <c r="L489"/>
  <c r="L488"/>
  <c r="L487"/>
  <c r="L483"/>
  <c r="L477"/>
  <c r="L458"/>
  <c r="L456"/>
  <c r="L447"/>
  <c r="L445"/>
  <c r="L421"/>
  <c r="L420"/>
  <c r="L413"/>
  <c r="L412"/>
  <c r="L409"/>
  <c r="L397"/>
  <c r="L394"/>
  <c r="L388"/>
  <c r="L379"/>
  <c r="L375"/>
  <c r="L342"/>
  <c r="L341" s="1"/>
  <c r="L340" s="1"/>
  <c r="L339" s="1"/>
  <c r="L338" s="1"/>
  <c r="L337" s="1"/>
  <c r="L336" s="1"/>
  <c r="L307"/>
  <c r="L306" s="1"/>
  <c r="L305" s="1"/>
  <c r="L304" s="1"/>
  <c r="L303" s="1"/>
  <c r="L302" s="1"/>
  <c r="L301"/>
  <c r="L299"/>
  <c r="L284"/>
  <c r="L283" s="1"/>
  <c r="L282" s="1"/>
  <c r="L281"/>
  <c r="L280" s="1"/>
  <c r="L279"/>
  <c r="L278"/>
  <c r="L277"/>
  <c r="L263"/>
  <c r="L262" s="1"/>
  <c r="L261" s="1"/>
  <c r="L254"/>
  <c r="L253" s="1"/>
  <c r="L252" s="1"/>
  <c r="L251"/>
  <c r="L250"/>
  <c r="L249"/>
  <c r="L246"/>
  <c r="L245" s="1"/>
  <c r="L244" s="1"/>
  <c r="L223"/>
  <c r="L222" s="1"/>
  <c r="L221" s="1"/>
  <c r="L220" s="1"/>
  <c r="L219" s="1"/>
  <c r="L218"/>
  <c r="L217" s="1"/>
  <c r="L216" s="1"/>
  <c r="L215"/>
  <c r="L214"/>
  <c r="L213"/>
  <c r="L195"/>
  <c r="L194" s="1"/>
  <c r="L193" s="1"/>
  <c r="L192" s="1"/>
  <c r="L191" s="1"/>
  <c r="L189"/>
  <c r="L188" s="1"/>
  <c r="L187" s="1"/>
  <c r="L186" s="1"/>
  <c r="L185"/>
  <c r="L184" s="1"/>
  <c r="L183" s="1"/>
  <c r="L182" s="1"/>
  <c r="L181" s="1"/>
  <c r="L179"/>
  <c r="L178" s="1"/>
  <c r="L177" s="1"/>
  <c r="L176" s="1"/>
  <c r="L175" s="1"/>
  <c r="L174" s="1"/>
  <c r="L166"/>
  <c r="L165" s="1"/>
  <c r="L164" s="1"/>
  <c r="L163" s="1"/>
  <c r="L162" s="1"/>
  <c r="L161" s="1"/>
  <c r="L155"/>
  <c r="L154"/>
  <c r="L153"/>
  <c r="L148"/>
  <c r="L147" s="1"/>
  <c r="L146"/>
  <c r="L145" s="1"/>
  <c r="L137"/>
  <c r="L136" s="1"/>
  <c r="L135" s="1"/>
  <c r="L134" s="1"/>
  <c r="L129"/>
  <c r="L123"/>
  <c r="L122" s="1"/>
  <c r="L121" s="1"/>
  <c r="L120"/>
  <c r="L119" s="1"/>
  <c r="L118" s="1"/>
  <c r="L106"/>
  <c r="L103" s="1"/>
  <c r="L102" s="1"/>
  <c r="L101" s="1"/>
  <c r="L100"/>
  <c r="L99" s="1"/>
  <c r="L98" s="1"/>
  <c r="L95"/>
  <c r="L94" s="1"/>
  <c r="L85"/>
  <c r="L84" s="1"/>
  <c r="L83"/>
  <c r="L82" s="1"/>
  <c r="L80"/>
  <c r="L74"/>
  <c r="L73" s="1"/>
  <c r="L72"/>
  <c r="L71" s="1"/>
  <c r="L69"/>
  <c r="L68" s="1"/>
  <c r="L67" s="1"/>
  <c r="L61"/>
  <c r="L60" s="1"/>
  <c r="L59" s="1"/>
  <c r="L58" s="1"/>
  <c r="L57" s="1"/>
  <c r="L54"/>
  <c r="L53" s="1"/>
  <c r="L52" s="1"/>
  <c r="L51" s="1"/>
  <c r="L50" s="1"/>
  <c r="L43"/>
  <c r="L42" s="1"/>
  <c r="L41" s="1"/>
  <c r="L40"/>
  <c r="L39" s="1"/>
  <c r="L38"/>
  <c r="L37" s="1"/>
  <c r="L35"/>
  <c r="L33"/>
  <c r="L32" s="1"/>
  <c r="L31"/>
  <c r="L30" s="1"/>
  <c r="L26"/>
  <c r="L21"/>
  <c r="L20" s="1"/>
  <c r="L19" s="1"/>
  <c r="L18" s="1"/>
  <c r="L17" s="1"/>
  <c r="L16" s="1"/>
  <c r="L419" l="1"/>
  <c r="L490"/>
  <c r="L128"/>
  <c r="L127" s="1"/>
  <c r="L126" s="1"/>
  <c r="L125" s="1"/>
  <c r="L124" s="1"/>
  <c r="L374"/>
  <c r="L455"/>
  <c r="L476"/>
  <c r="L378"/>
  <c r="L387"/>
  <c r="L457"/>
  <c r="L482"/>
  <c r="L70"/>
  <c r="L63" s="1"/>
  <c r="L62" s="1"/>
  <c r="L56" s="1"/>
  <c r="L117"/>
  <c r="L116" s="1"/>
  <c r="L115" s="1"/>
  <c r="L144"/>
  <c r="L143" s="1"/>
  <c r="L142" s="1"/>
  <c r="L152"/>
  <c r="L180"/>
  <c r="L173" s="1"/>
  <c r="L212"/>
  <c r="L211" s="1"/>
  <c r="L210" s="1"/>
  <c r="L209" s="1"/>
  <c r="L208" s="1"/>
  <c r="L207" s="1"/>
  <c r="L503"/>
  <c r="L616"/>
  <c r="L615" s="1"/>
  <c r="L614" s="1"/>
  <c r="L613" s="1"/>
  <c r="L612" s="1"/>
  <c r="L636"/>
  <c r="L635" s="1"/>
  <c r="L634" s="1"/>
  <c r="L633" s="1"/>
  <c r="L632" s="1"/>
  <c r="L654"/>
  <c r="L657"/>
  <c r="L660"/>
  <c r="L663"/>
  <c r="L666"/>
  <c r="L248"/>
  <c r="L247" s="1"/>
  <c r="L243" s="1"/>
  <c r="L242" s="1"/>
  <c r="L241" s="1"/>
  <c r="L240" s="1"/>
  <c r="L239" s="1"/>
  <c r="L260"/>
  <c r="L276"/>
  <c r="L486"/>
  <c r="L627"/>
  <c r="L626" s="1"/>
  <c r="L625" s="1"/>
  <c r="L624" s="1"/>
  <c r="L623" s="1"/>
  <c r="L502" l="1"/>
  <c r="L481"/>
  <c r="L435"/>
  <c r="L386"/>
  <c r="L472"/>
  <c r="L622"/>
  <c r="L621" s="1"/>
  <c r="L653"/>
  <c r="L652" s="1"/>
  <c r="L651" s="1"/>
  <c r="L650" s="1"/>
  <c r="L471" l="1"/>
  <c r="L385"/>
  <c r="L384" s="1"/>
  <c r="L434"/>
  <c r="L480"/>
  <c r="L501"/>
  <c r="N218" i="19"/>
  <c r="M218"/>
  <c r="L218" s="1"/>
  <c r="M460" i="3"/>
  <c r="L460" s="1"/>
  <c r="N194" i="19"/>
  <c r="M194"/>
  <c r="L194" s="1"/>
  <c r="M414" i="3"/>
  <c r="N174" i="19"/>
  <c r="M174"/>
  <c r="L174" s="1"/>
  <c r="M377" i="3"/>
  <c r="L377" s="1"/>
  <c r="L376" l="1"/>
  <c r="L459"/>
  <c r="L500"/>
  <c r="L470"/>
  <c r="L414"/>
  <c r="L452"/>
  <c r="L451"/>
  <c r="H48" i="7"/>
  <c r="L373" i="3"/>
  <c r="L372" l="1"/>
  <c r="L411"/>
  <c r="L469"/>
  <c r="L499"/>
  <c r="L402"/>
  <c r="L403"/>
  <c r="L450"/>
  <c r="N369" i="19"/>
  <c r="M369"/>
  <c r="L369" s="1"/>
  <c r="N366"/>
  <c r="M366"/>
  <c r="L366" s="1"/>
  <c r="N363"/>
  <c r="M363"/>
  <c r="L363" s="1"/>
  <c r="L498" i="3" l="1"/>
  <c r="L401"/>
  <c r="M682"/>
  <c r="L682" s="1"/>
  <c r="L681" s="1"/>
  <c r="M679"/>
  <c r="L679" s="1"/>
  <c r="L678" s="1"/>
  <c r="M676"/>
  <c r="L676" s="1"/>
  <c r="L675" s="1"/>
  <c r="L674" l="1"/>
  <c r="L673" s="1"/>
  <c r="L672" s="1"/>
  <c r="L671" s="1"/>
  <c r="L649" s="1"/>
  <c r="L641" s="1"/>
  <c r="H374" i="7"/>
  <c r="H373" s="1"/>
  <c r="H372" s="1"/>
  <c r="N47" i="19"/>
  <c r="M47"/>
  <c r="L47" s="1"/>
  <c r="N37"/>
  <c r="M37"/>
  <c r="L37" s="1"/>
  <c r="M184" i="3"/>
  <c r="M183" s="1"/>
  <c r="M182" s="1"/>
  <c r="M181" s="1"/>
  <c r="M172" l="1"/>
  <c r="L172" s="1"/>
  <c r="L171" s="1"/>
  <c r="L170" s="1"/>
  <c r="L169" s="1"/>
  <c r="L168" s="1"/>
  <c r="L167" s="1"/>
  <c r="L160" s="1"/>
  <c r="M165"/>
  <c r="M164" s="1"/>
  <c r="M163" s="1"/>
  <c r="M162" s="1"/>
  <c r="M161" s="1"/>
  <c r="M141"/>
  <c r="L141" s="1"/>
  <c r="L140" s="1"/>
  <c r="L139" s="1"/>
  <c r="L138" s="1"/>
  <c r="L133" s="1"/>
  <c r="M97"/>
  <c r="L97" s="1"/>
  <c r="L96" s="1"/>
  <c r="L93" s="1"/>
  <c r="L92" s="1"/>
  <c r="M87"/>
  <c r="M49"/>
  <c r="L49" s="1"/>
  <c r="L48" s="1"/>
  <c r="L47" s="1"/>
  <c r="L46" s="1"/>
  <c r="L45" s="1"/>
  <c r="L44" s="1"/>
  <c r="M36"/>
  <c r="L36" s="1"/>
  <c r="L34" s="1"/>
  <c r="L25" s="1"/>
  <c r="L24" s="1"/>
  <c r="L23" s="1"/>
  <c r="L22" s="1"/>
  <c r="L87" l="1"/>
  <c r="L86" s="1"/>
  <c r="L79" s="1"/>
  <c r="L78" s="1"/>
  <c r="L77" s="1"/>
  <c r="L76" s="1"/>
  <c r="L159"/>
  <c r="L158" s="1"/>
  <c r="L151" s="1"/>
  <c r="L150" s="1"/>
  <c r="L149" s="1"/>
  <c r="L91"/>
  <c r="L90" s="1"/>
  <c r="L15"/>
  <c r="L591"/>
  <c r="L590" s="1"/>
  <c r="L584" s="1"/>
  <c r="L132" l="1"/>
  <c r="L75"/>
  <c r="L544"/>
  <c r="L543" s="1"/>
  <c r="L542" s="1"/>
  <c r="L532" s="1"/>
  <c r="L531" s="1"/>
  <c r="L530" s="1"/>
  <c r="L346"/>
  <c r="L345" s="1"/>
  <c r="L344" s="1"/>
  <c r="L343" s="1"/>
  <c r="L300"/>
  <c r="L298" s="1"/>
  <c r="L297" s="1"/>
  <c r="L296" s="1"/>
  <c r="L295" s="1"/>
  <c r="L271"/>
  <c r="L270" s="1"/>
  <c r="N240" i="19"/>
  <c r="M240"/>
  <c r="L240" s="1"/>
  <c r="N198"/>
  <c r="N197"/>
  <c r="N196"/>
  <c r="M198"/>
  <c r="L198" s="1"/>
  <c r="M197"/>
  <c r="L197" s="1"/>
  <c r="M196"/>
  <c r="L196" s="1"/>
  <c r="L114" i="3" l="1"/>
  <c r="L14" s="1"/>
  <c r="L529"/>
  <c r="L507" s="1"/>
  <c r="N222" i="19"/>
  <c r="N221" s="1"/>
  <c r="N220" s="1"/>
  <c r="N219" s="1"/>
  <c r="M222"/>
  <c r="M221" s="1"/>
  <c r="M220" s="1"/>
  <c r="M219" s="1"/>
  <c r="H380" i="7"/>
  <c r="L319" i="3"/>
  <c r="L318" s="1"/>
  <c r="L497"/>
  <c r="L446"/>
  <c r="L444"/>
  <c r="L418"/>
  <c r="L417"/>
  <c r="M416"/>
  <c r="L405"/>
  <c r="L396"/>
  <c r="L395"/>
  <c r="L369"/>
  <c r="L368" s="1"/>
  <c r="L367" s="1"/>
  <c r="L495" l="1"/>
  <c r="L404"/>
  <c r="L416"/>
  <c r="L415" s="1"/>
  <c r="L393"/>
  <c r="L443"/>
  <c r="L442" s="1"/>
  <c r="C79" i="2"/>
  <c r="C69"/>
  <c r="C63"/>
  <c r="C62"/>
  <c r="C45"/>
  <c r="L392" i="3" l="1"/>
  <c r="L485"/>
  <c r="L317"/>
  <c r="C29" i="5"/>
  <c r="C26"/>
  <c r="C24"/>
  <c r="L441" i="3" l="1"/>
  <c r="L484"/>
  <c r="L366"/>
  <c r="L391"/>
  <c r="L316"/>
  <c r="C13" i="5"/>
  <c r="I255" i="18"/>
  <c r="I256"/>
  <c r="H256"/>
  <c r="H255"/>
  <c r="I249"/>
  <c r="H249"/>
  <c r="I163"/>
  <c r="I164"/>
  <c r="H164"/>
  <c r="H163"/>
  <c r="I151"/>
  <c r="H151"/>
  <c r="I139"/>
  <c r="I138" s="1"/>
  <c r="I137" s="1"/>
  <c r="I136" s="1"/>
  <c r="H139"/>
  <c r="H138" s="1"/>
  <c r="H137" s="1"/>
  <c r="H136" s="1"/>
  <c r="I135"/>
  <c r="I134" s="1"/>
  <c r="I133" s="1"/>
  <c r="I132" s="1"/>
  <c r="H135"/>
  <c r="H134" s="1"/>
  <c r="H133" s="1"/>
  <c r="I123"/>
  <c r="H123"/>
  <c r="I103"/>
  <c r="I104"/>
  <c r="H104"/>
  <c r="H103"/>
  <c r="I66"/>
  <c r="H66"/>
  <c r="I52"/>
  <c r="I51" s="1"/>
  <c r="H52"/>
  <c r="H51" s="1"/>
  <c r="H471" i="7"/>
  <c r="H470" s="1"/>
  <c r="H469" s="1"/>
  <c r="H164"/>
  <c r="H486"/>
  <c r="H485" s="1"/>
  <c r="H484" s="1"/>
  <c r="H483" s="1"/>
  <c r="H482" s="1"/>
  <c r="L365" i="3" l="1"/>
  <c r="L364" s="1"/>
  <c r="L390"/>
  <c r="L389" s="1"/>
  <c r="L479"/>
  <c r="L478" s="1"/>
  <c r="L440"/>
  <c r="I254" i="18"/>
  <c r="I253" s="1"/>
  <c r="H254"/>
  <c r="H253" s="1"/>
  <c r="H201" i="7"/>
  <c r="H200" s="1"/>
  <c r="H379"/>
  <c r="H378" s="1"/>
  <c r="H377" s="1"/>
  <c r="H331"/>
  <c r="H94"/>
  <c r="H55"/>
  <c r="H54" s="1"/>
  <c r="L439" i="3" l="1"/>
  <c r="L363" l="1"/>
  <c r="L362" s="1"/>
  <c r="M69" i="19"/>
  <c r="N69"/>
  <c r="M281"/>
  <c r="N281"/>
  <c r="M28"/>
  <c r="N28"/>
  <c r="M316" l="1"/>
  <c r="N316"/>
  <c r="M305" l="1"/>
  <c r="N305"/>
  <c r="M235" l="1"/>
  <c r="N235"/>
  <c r="M278" l="1"/>
  <c r="N278"/>
  <c r="M238" l="1"/>
  <c r="N238"/>
  <c r="N215"/>
  <c r="M215"/>
  <c r="L215"/>
  <c r="M152"/>
  <c r="N152"/>
  <c r="M145" l="1"/>
  <c r="N145"/>
  <c r="L122" l="1"/>
  <c r="M122"/>
  <c r="M114"/>
  <c r="N114"/>
  <c r="N97" l="1"/>
  <c r="N96" s="1"/>
  <c r="M97"/>
  <c r="M96" s="1"/>
  <c r="M95" s="1"/>
  <c r="M94" s="1"/>
  <c r="M88" s="1"/>
  <c r="M65"/>
  <c r="M64" s="1"/>
  <c r="M63" s="1"/>
  <c r="N65"/>
  <c r="N64" s="1"/>
  <c r="N63" s="1"/>
  <c r="L65"/>
  <c r="L64" s="1"/>
  <c r="L63" s="1"/>
  <c r="L59"/>
  <c r="L58" s="1"/>
  <c r="N59"/>
  <c r="N58" s="1"/>
  <c r="M59"/>
  <c r="M58" s="1"/>
  <c r="L97" l="1"/>
  <c r="L96" s="1"/>
  <c r="L95" s="1"/>
  <c r="L94" s="1"/>
  <c r="L88" s="1"/>
  <c r="L316" l="1"/>
  <c r="L305"/>
  <c r="L281"/>
  <c r="L238"/>
  <c r="L152"/>
  <c r="L145"/>
  <c r="L114"/>
  <c r="L69" l="1"/>
  <c r="L28"/>
  <c r="L235"/>
  <c r="L278"/>
  <c r="M590" i="3" l="1"/>
  <c r="M196" l="1"/>
  <c r="M195" s="1"/>
  <c r="M194" s="1"/>
  <c r="M193" s="1"/>
  <c r="M192" s="1"/>
  <c r="M191" l="1"/>
  <c r="D27" i="12" l="1"/>
  <c r="D16"/>
  <c r="H330" i="7" l="1"/>
  <c r="H329" s="1"/>
  <c r="H325" s="1"/>
  <c r="M647" i="3" l="1"/>
  <c r="H354" i="7" l="1"/>
  <c r="H352"/>
  <c r="I187" i="18"/>
  <c r="H187"/>
  <c r="I185"/>
  <c r="H185"/>
  <c r="H96" i="7"/>
  <c r="H95" s="1"/>
  <c r="M457" i="3" l="1"/>
  <c r="M346" l="1"/>
  <c r="M345" s="1"/>
  <c r="M344" s="1"/>
  <c r="M343" s="1"/>
  <c r="M158" i="19"/>
  <c r="M157" s="1"/>
  <c r="M156" s="1"/>
  <c r="M155" s="1"/>
  <c r="L158"/>
  <c r="L157" s="1"/>
  <c r="L156" s="1"/>
  <c r="L155" s="1"/>
  <c r="N158"/>
  <c r="N157" s="1"/>
  <c r="N156" s="1"/>
  <c r="N155" s="1"/>
  <c r="L356" l="1"/>
  <c r="N356"/>
  <c r="M356"/>
  <c r="L354"/>
  <c r="N354"/>
  <c r="M354"/>
  <c r="M669" i="3"/>
  <c r="M667"/>
  <c r="M666" l="1"/>
  <c r="N353" i="19"/>
  <c r="M353"/>
  <c r="L353"/>
  <c r="M681" i="3"/>
  <c r="M678"/>
  <c r="M675"/>
  <c r="M663"/>
  <c r="M660"/>
  <c r="M657"/>
  <c r="M654"/>
  <c r="M646"/>
  <c r="M645" s="1"/>
  <c r="M644" s="1"/>
  <c r="M643" s="1"/>
  <c r="M642" s="1"/>
  <c r="M635"/>
  <c r="M634" s="1"/>
  <c r="M633" s="1"/>
  <c r="M632" s="1"/>
  <c r="M630"/>
  <c r="M627"/>
  <c r="M616"/>
  <c r="M615" s="1"/>
  <c r="M614" s="1"/>
  <c r="M613" s="1"/>
  <c r="M612" s="1"/>
  <c r="M610"/>
  <c r="M609" s="1"/>
  <c r="M608" s="1"/>
  <c r="M605"/>
  <c r="M604" s="1"/>
  <c r="M603" s="1"/>
  <c r="M584"/>
  <c r="M581"/>
  <c r="M580" s="1"/>
  <c r="M579" s="1"/>
  <c r="M566"/>
  <c r="M562"/>
  <c r="M549"/>
  <c r="M548" s="1"/>
  <c r="M547" s="1"/>
  <c r="M543"/>
  <c r="M538"/>
  <c r="M536"/>
  <c r="M534"/>
  <c r="M527"/>
  <c r="M515"/>
  <c r="M513"/>
  <c r="M503"/>
  <c r="M495"/>
  <c r="M486"/>
  <c r="M482"/>
  <c r="M476"/>
  <c r="M459"/>
  <c r="M455"/>
  <c r="M450"/>
  <c r="M443"/>
  <c r="M419"/>
  <c r="M415"/>
  <c r="M411"/>
  <c r="M409"/>
  <c r="M404"/>
  <c r="M401"/>
  <c r="M393"/>
  <c r="M387"/>
  <c r="M378"/>
  <c r="M376"/>
  <c r="M374"/>
  <c r="M372"/>
  <c r="M368"/>
  <c r="M341"/>
  <c r="M340" s="1"/>
  <c r="M319"/>
  <c r="M318" s="1"/>
  <c r="M307"/>
  <c r="M306" s="1"/>
  <c r="M305" s="1"/>
  <c r="M304" s="1"/>
  <c r="M303" s="1"/>
  <c r="M302" s="1"/>
  <c r="M298"/>
  <c r="M297" s="1"/>
  <c r="M296" s="1"/>
  <c r="M285"/>
  <c r="M283"/>
  <c r="M282" s="1"/>
  <c r="M280"/>
  <c r="M276"/>
  <c r="M272"/>
  <c r="M262"/>
  <c r="M261" s="1"/>
  <c r="M253"/>
  <c r="M252" s="1"/>
  <c r="M248"/>
  <c r="M247" s="1"/>
  <c r="M245"/>
  <c r="M244" s="1"/>
  <c r="M228"/>
  <c r="M223"/>
  <c r="M222" s="1"/>
  <c r="M221" s="1"/>
  <c r="M220" s="1"/>
  <c r="M219" s="1"/>
  <c r="M217"/>
  <c r="M216" s="1"/>
  <c r="M212"/>
  <c r="M211" s="1"/>
  <c r="M189"/>
  <c r="M188" s="1"/>
  <c r="M187" s="1"/>
  <c r="M186" s="1"/>
  <c r="M180" s="1"/>
  <c r="M178"/>
  <c r="M177" s="1"/>
  <c r="M176" s="1"/>
  <c r="M175" s="1"/>
  <c r="M174" s="1"/>
  <c r="M171"/>
  <c r="M170" s="1"/>
  <c r="M169" s="1"/>
  <c r="M168" s="1"/>
  <c r="M167" s="1"/>
  <c r="M160" s="1"/>
  <c r="M158"/>
  <c r="M152"/>
  <c r="M147"/>
  <c r="M145"/>
  <c r="M140"/>
  <c r="M139" s="1"/>
  <c r="M138" s="1"/>
  <c r="M136"/>
  <c r="M135" s="1"/>
  <c r="M134" s="1"/>
  <c r="M128"/>
  <c r="M122"/>
  <c r="M121" s="1"/>
  <c r="M119"/>
  <c r="M118" s="1"/>
  <c r="M103"/>
  <c r="M102" s="1"/>
  <c r="M101" s="1"/>
  <c r="M99"/>
  <c r="M98" s="1"/>
  <c r="M96"/>
  <c r="M94"/>
  <c r="M86"/>
  <c r="M84"/>
  <c r="M82"/>
  <c r="M80"/>
  <c r="M73"/>
  <c r="M71"/>
  <c r="M68"/>
  <c r="M67" s="1"/>
  <c r="M60"/>
  <c r="M59" s="1"/>
  <c r="M58" s="1"/>
  <c r="M57" s="1"/>
  <c r="M54"/>
  <c r="M53" s="1"/>
  <c r="M52" s="1"/>
  <c r="M51" s="1"/>
  <c r="M50" s="1"/>
  <c r="M48"/>
  <c r="M47" s="1"/>
  <c r="M46" s="1"/>
  <c r="M45" s="1"/>
  <c r="M44" s="1"/>
  <c r="M42"/>
  <c r="M41" s="1"/>
  <c r="M39"/>
  <c r="M37"/>
  <c r="M34"/>
  <c r="M32"/>
  <c r="M30"/>
  <c r="M392" l="1"/>
  <c r="M442"/>
  <c r="M367"/>
  <c r="M127"/>
  <c r="M126" s="1"/>
  <c r="M125" s="1"/>
  <c r="M124" s="1"/>
  <c r="M227"/>
  <c r="L228"/>
  <c r="M151"/>
  <c r="M150" s="1"/>
  <c r="M149" s="1"/>
  <c r="M526"/>
  <c r="M542"/>
  <c r="M561"/>
  <c r="M386"/>
  <c r="M435"/>
  <c r="M481"/>
  <c r="M472"/>
  <c r="M502"/>
  <c r="M79"/>
  <c r="M78" s="1"/>
  <c r="M77" s="1"/>
  <c r="M76" s="1"/>
  <c r="M533"/>
  <c r="M565"/>
  <c r="M485"/>
  <c r="M512"/>
  <c r="M511" s="1"/>
  <c r="M20"/>
  <c r="M19" s="1"/>
  <c r="M18" s="1"/>
  <c r="M17" s="1"/>
  <c r="M16" s="1"/>
  <c r="M144"/>
  <c r="M143" s="1"/>
  <c r="M142" s="1"/>
  <c r="M260"/>
  <c r="M602"/>
  <c r="M601" s="1"/>
  <c r="M117"/>
  <c r="M116" s="1"/>
  <c r="M115" s="1"/>
  <c r="M339"/>
  <c r="M338" s="1"/>
  <c r="M583"/>
  <c r="M578" s="1"/>
  <c r="M577" s="1"/>
  <c r="M653"/>
  <c r="M674"/>
  <c r="M673" s="1"/>
  <c r="M672" s="1"/>
  <c r="M671" s="1"/>
  <c r="M25"/>
  <c r="M24" s="1"/>
  <c r="M23" s="1"/>
  <c r="M22" s="1"/>
  <c r="M93"/>
  <c r="M92" s="1"/>
  <c r="M91" s="1"/>
  <c r="M295"/>
  <c r="M317"/>
  <c r="M316" s="1"/>
  <c r="M626"/>
  <c r="M625" s="1"/>
  <c r="M624" s="1"/>
  <c r="M623" s="1"/>
  <c r="M622" s="1"/>
  <c r="M621" s="1"/>
  <c r="M70"/>
  <c r="M63" s="1"/>
  <c r="M133"/>
  <c r="M210"/>
  <c r="M209" s="1"/>
  <c r="M208" s="1"/>
  <c r="M207" s="1"/>
  <c r="M243"/>
  <c r="M242" s="1"/>
  <c r="M241" s="1"/>
  <c r="M240" s="1"/>
  <c r="M239" s="1"/>
  <c r="M271"/>
  <c r="M270" s="1"/>
  <c r="M173"/>
  <c r="M471" l="1"/>
  <c r="M470" s="1"/>
  <c r="M532"/>
  <c r="M531" s="1"/>
  <c r="M530" s="1"/>
  <c r="M226"/>
  <c r="M225" s="1"/>
  <c r="L227"/>
  <c r="M564"/>
  <c r="M560"/>
  <c r="M525"/>
  <c r="M484"/>
  <c r="M366"/>
  <c r="M441"/>
  <c r="M501"/>
  <c r="M480"/>
  <c r="M434"/>
  <c r="M385"/>
  <c r="M310"/>
  <c r="M391"/>
  <c r="M62"/>
  <c r="M56" s="1"/>
  <c r="M15" s="1"/>
  <c r="M576"/>
  <c r="M575" s="1"/>
  <c r="M90"/>
  <c r="M75" s="1"/>
  <c r="M652"/>
  <c r="M651" s="1"/>
  <c r="M650" s="1"/>
  <c r="M649" s="1"/>
  <c r="M132"/>
  <c r="M337"/>
  <c r="M336" s="1"/>
  <c r="M384" l="1"/>
  <c r="M440"/>
  <c r="M479"/>
  <c r="M478" s="1"/>
  <c r="M114"/>
  <c r="M14" s="1"/>
  <c r="L226"/>
  <c r="M559"/>
  <c r="M558" s="1"/>
  <c r="M524"/>
  <c r="M510"/>
  <c r="M390"/>
  <c r="M500"/>
  <c r="M365"/>
  <c r="M364" s="1"/>
  <c r="M469"/>
  <c r="L310"/>
  <c r="M309"/>
  <c r="L309" s="1"/>
  <c r="M641"/>
  <c r="M439" l="1"/>
  <c r="M389"/>
  <c r="L225"/>
  <c r="L206" s="1"/>
  <c r="M206"/>
  <c r="M509"/>
  <c r="M523"/>
  <c r="M499"/>
  <c r="M529" l="1"/>
  <c r="M508"/>
  <c r="M498"/>
  <c r="M363"/>
  <c r="H349" i="7"/>
  <c r="H348" s="1"/>
  <c r="M507" i="3" l="1"/>
  <c r="M362"/>
  <c r="H123" i="7"/>
  <c r="H476" l="1"/>
  <c r="H140" l="1"/>
  <c r="H139" s="1"/>
  <c r="H421" l="1"/>
  <c r="H420" s="1"/>
  <c r="C16" i="20" l="1"/>
  <c r="C15" s="1"/>
  <c r="C14" s="1"/>
  <c r="C17" i="8" l="1"/>
  <c r="C16" s="1"/>
  <c r="H25" i="7" l="1"/>
  <c r="H24" s="1"/>
  <c r="H219" l="1"/>
  <c r="H218" s="1"/>
  <c r="H217" s="1"/>
  <c r="H211" s="1"/>
  <c r="I234" i="18" l="1"/>
  <c r="I233" s="1"/>
  <c r="H234"/>
  <c r="H233" s="1"/>
  <c r="H132" i="7" l="1"/>
  <c r="H131" s="1"/>
  <c r="H127" s="1"/>
  <c r="H468" l="1"/>
  <c r="H289"/>
  <c r="H442"/>
  <c r="H441" s="1"/>
  <c r="N46" i="19" l="1"/>
  <c r="N45" s="1"/>
  <c r="N44" s="1"/>
  <c r="N43" s="1"/>
  <c r="N42" s="1"/>
  <c r="E20" i="17" s="1"/>
  <c r="M46" i="19"/>
  <c r="M45" s="1"/>
  <c r="M44" s="1"/>
  <c r="M43" s="1"/>
  <c r="M42" s="1"/>
  <c r="D20" i="17" s="1"/>
  <c r="L46" i="19"/>
  <c r="L45" s="1"/>
  <c r="L44" s="1"/>
  <c r="L43" s="1"/>
  <c r="L42" s="1"/>
  <c r="L77" l="1"/>
  <c r="L76" s="1"/>
  <c r="L334"/>
  <c r="L333" s="1"/>
  <c r="L332" s="1"/>
  <c r="L331" s="1"/>
  <c r="L330" s="1"/>
  <c r="L329" s="1"/>
  <c r="L315"/>
  <c r="L314" s="1"/>
  <c r="L313" s="1"/>
  <c r="L312" s="1"/>
  <c r="L304"/>
  <c r="L303" s="1"/>
  <c r="L302" s="1"/>
  <c r="L301" s="1"/>
  <c r="L263"/>
  <c r="L262" s="1"/>
  <c r="L256"/>
  <c r="L255" s="1"/>
  <c r="L254" s="1"/>
  <c r="L253" s="1"/>
  <c r="L252" s="1"/>
  <c r="L251" s="1"/>
  <c r="L217"/>
  <c r="L204"/>
  <c r="L203" s="1"/>
  <c r="L202" s="1"/>
  <c r="L175"/>
  <c r="L173"/>
  <c r="L171"/>
  <c r="L151"/>
  <c r="L150" s="1"/>
  <c r="L149" s="1"/>
  <c r="L143"/>
  <c r="L134"/>
  <c r="L133" s="1"/>
  <c r="L131"/>
  <c r="L130" s="1"/>
  <c r="L113"/>
  <c r="L112" s="1"/>
  <c r="L111" s="1"/>
  <c r="L110" s="1"/>
  <c r="L109" s="1"/>
  <c r="L86"/>
  <c r="L85" s="1"/>
  <c r="L84" s="1"/>
  <c r="L83" s="1"/>
  <c r="L82" s="1"/>
  <c r="L80"/>
  <c r="L79" s="1"/>
  <c r="L52"/>
  <c r="L51" s="1"/>
  <c r="L50" s="1"/>
  <c r="L49" s="1"/>
  <c r="L48" s="1"/>
  <c r="L40"/>
  <c r="L38"/>
  <c r="L33"/>
  <c r="L31"/>
  <c r="L35" l="1"/>
  <c r="L191"/>
  <c r="L195"/>
  <c r="L199"/>
  <c r="L210"/>
  <c r="L231"/>
  <c r="L246"/>
  <c r="L245" s="1"/>
  <c r="L244" s="1"/>
  <c r="L243" s="1"/>
  <c r="L242" s="1"/>
  <c r="L268"/>
  <c r="L267" s="1"/>
  <c r="L261" s="1"/>
  <c r="L288"/>
  <c r="L287" s="1"/>
  <c r="L323"/>
  <c r="L322" s="1"/>
  <c r="L321" s="1"/>
  <c r="L320" s="1"/>
  <c r="L319" s="1"/>
  <c r="L311" s="1"/>
  <c r="L310" s="1"/>
  <c r="L341"/>
  <c r="L344"/>
  <c r="L347"/>
  <c r="L350"/>
  <c r="L362"/>
  <c r="L365"/>
  <c r="L368"/>
  <c r="L170"/>
  <c r="L169" s="1"/>
  <c r="L168" s="1"/>
  <c r="L167" s="1"/>
  <c r="L186"/>
  <c r="L142"/>
  <c r="L141" s="1"/>
  <c r="L140" s="1"/>
  <c r="L139" s="1"/>
  <c r="L129"/>
  <c r="L128" s="1"/>
  <c r="L127" s="1"/>
  <c r="L126" s="1"/>
  <c r="L125" s="1"/>
  <c r="L75"/>
  <c r="L74" s="1"/>
  <c r="L73" s="1"/>
  <c r="L260" l="1"/>
  <c r="L259" s="1"/>
  <c r="L286"/>
  <c r="L285" s="1"/>
  <c r="L284" s="1"/>
  <c r="L209"/>
  <c r="L208" s="1"/>
  <c r="L207" s="1"/>
  <c r="L206" s="1"/>
  <c r="L68"/>
  <c r="L67" s="1"/>
  <c r="L62" s="1"/>
  <c r="L61" s="1"/>
  <c r="L57" s="1"/>
  <c r="L56" s="1"/>
  <c r="L55" s="1"/>
  <c r="L241"/>
  <c r="L138"/>
  <c r="L137" s="1"/>
  <c r="L230"/>
  <c r="L229" s="1"/>
  <c r="L228" s="1"/>
  <c r="L227" s="1"/>
  <c r="L277"/>
  <c r="L276" s="1"/>
  <c r="L275" s="1"/>
  <c r="L274" s="1"/>
  <c r="L340"/>
  <c r="L185"/>
  <c r="L184" s="1"/>
  <c r="L183" s="1"/>
  <c r="L182" s="1"/>
  <c r="L361"/>
  <c r="L360" s="1"/>
  <c r="L359" s="1"/>
  <c r="L358" s="1"/>
  <c r="C78" i="2"/>
  <c r="L258" i="19" l="1"/>
  <c r="L250" s="1"/>
  <c r="L166"/>
  <c r="L165" s="1"/>
  <c r="L72"/>
  <c r="L339"/>
  <c r="L338" s="1"/>
  <c r="L337" s="1"/>
  <c r="L336" s="1"/>
  <c r="L54"/>
  <c r="L328" l="1"/>
  <c r="C15" i="8" l="1"/>
  <c r="H109" i="7" l="1"/>
  <c r="H90"/>
  <c r="H89"/>
  <c r="H21"/>
  <c r="H20" s="1"/>
  <c r="H88" l="1"/>
  <c r="H143" l="1"/>
  <c r="H474" l="1"/>
  <c r="H473" l="1"/>
  <c r="H458"/>
  <c r="H457" s="1"/>
  <c r="L121" i="19" l="1"/>
  <c r="L120" s="1"/>
  <c r="L119" s="1"/>
  <c r="L118" s="1"/>
  <c r="L117" s="1"/>
  <c r="L108" s="1"/>
  <c r="H257" i="7" l="1"/>
  <c r="I35" i="18" l="1"/>
  <c r="H35"/>
  <c r="I34"/>
  <c r="H34"/>
  <c r="I65"/>
  <c r="I64" s="1"/>
  <c r="H65"/>
  <c r="H64" s="1"/>
  <c r="I50"/>
  <c r="H50"/>
  <c r="I48"/>
  <c r="H48"/>
  <c r="I47"/>
  <c r="H47"/>
  <c r="I42"/>
  <c r="H42"/>
  <c r="I30"/>
  <c r="H30"/>
  <c r="I29"/>
  <c r="H29"/>
  <c r="I245"/>
  <c r="I244" s="1"/>
  <c r="H245"/>
  <c r="H244" s="1"/>
  <c r="I241"/>
  <c r="H241"/>
  <c r="H353" i="7" l="1"/>
  <c r="H351"/>
  <c r="H157"/>
  <c r="H156"/>
  <c r="H155"/>
  <c r="H108"/>
  <c r="H107" s="1"/>
  <c r="H85"/>
  <c r="H83"/>
  <c r="H82"/>
  <c r="H39"/>
  <c r="H449"/>
  <c r="L22" i="19"/>
  <c r="L21" s="1"/>
  <c r="L20" s="1"/>
  <c r="L19" s="1"/>
  <c r="L18" s="1"/>
  <c r="L372"/>
  <c r="H350" i="7" l="1"/>
  <c r="L27" i="19"/>
  <c r="H154" i="7"/>
  <c r="H153" s="1"/>
  <c r="N210" i="19" l="1"/>
  <c r="M210"/>
  <c r="N199"/>
  <c r="M199"/>
  <c r="M191"/>
  <c r="N191"/>
  <c r="N186"/>
  <c r="M186"/>
  <c r="N40" l="1"/>
  <c r="M40"/>
  <c r="N35"/>
  <c r="M35"/>
  <c r="N143" l="1"/>
  <c r="M143"/>
  <c r="N268" l="1"/>
  <c r="N267" s="1"/>
  <c r="M268"/>
  <c r="M267" l="1"/>
  <c r="N315" l="1"/>
  <c r="H187" i="7"/>
  <c r="N362" i="19"/>
  <c r="M362"/>
  <c r="M315" l="1"/>
  <c r="C71" i="2" l="1"/>
  <c r="N134" i="19" l="1"/>
  <c r="M134"/>
  <c r="C29" i="2" l="1"/>
  <c r="C20" s="1"/>
  <c r="C34" i="5" l="1"/>
  <c r="H453" i="7" l="1"/>
  <c r="H452" s="1"/>
  <c r="H322" l="1"/>
  <c r="H320" l="1"/>
  <c r="H319" s="1"/>
  <c r="H186"/>
  <c r="H58"/>
  <c r="H50"/>
  <c r="H288"/>
  <c r="H287" s="1"/>
  <c r="H40" l="1"/>
  <c r="H47"/>
  <c r="H57" l="1"/>
  <c r="H65" l="1"/>
  <c r="H122" l="1"/>
  <c r="H121" s="1"/>
  <c r="H297" l="1"/>
  <c r="H296" s="1"/>
  <c r="H315"/>
  <c r="H314" s="1"/>
  <c r="I154" i="18" l="1"/>
  <c r="H154"/>
  <c r="H281" i="7"/>
  <c r="H280" s="1"/>
  <c r="H279" s="1"/>
  <c r="M121" i="19" l="1"/>
  <c r="N122"/>
  <c r="N121" s="1"/>
  <c r="I280" i="18" l="1"/>
  <c r="I279" s="1"/>
  <c r="H280"/>
  <c r="H279" s="1"/>
  <c r="I277"/>
  <c r="H277"/>
  <c r="I271"/>
  <c r="H271"/>
  <c r="I268"/>
  <c r="H268"/>
  <c r="I248"/>
  <c r="I247" s="1"/>
  <c r="H248"/>
  <c r="H247" s="1"/>
  <c r="I243"/>
  <c r="H243"/>
  <c r="I240"/>
  <c r="I239" s="1"/>
  <c r="H240"/>
  <c r="H239" s="1"/>
  <c r="I238"/>
  <c r="H238"/>
  <c r="I236"/>
  <c r="H236"/>
  <c r="H232"/>
  <c r="I232"/>
  <c r="I231"/>
  <c r="H231"/>
  <c r="I228"/>
  <c r="H228"/>
  <c r="I216"/>
  <c r="H216"/>
  <c r="I210"/>
  <c r="H210"/>
  <c r="I207"/>
  <c r="H207"/>
  <c r="H201"/>
  <c r="I201"/>
  <c r="I200"/>
  <c r="H200"/>
  <c r="H198"/>
  <c r="I198"/>
  <c r="I197"/>
  <c r="H197"/>
  <c r="H195"/>
  <c r="I195"/>
  <c r="I194"/>
  <c r="H194"/>
  <c r="I186"/>
  <c r="H186"/>
  <c r="I184"/>
  <c r="H184"/>
  <c r="I182"/>
  <c r="H182"/>
  <c r="H180"/>
  <c r="I180"/>
  <c r="I179"/>
  <c r="H179"/>
  <c r="H177"/>
  <c r="I177"/>
  <c r="I176"/>
  <c r="H176"/>
  <c r="H174"/>
  <c r="I174"/>
  <c r="I173"/>
  <c r="H173"/>
  <c r="H171"/>
  <c r="I171"/>
  <c r="I170"/>
  <c r="H170"/>
  <c r="I162"/>
  <c r="I161" s="1"/>
  <c r="H162"/>
  <c r="H161" s="1"/>
  <c r="I160"/>
  <c r="H160"/>
  <c r="I150"/>
  <c r="I149" s="1"/>
  <c r="H150"/>
  <c r="H149" s="1"/>
  <c r="H144"/>
  <c r="I144"/>
  <c r="I143"/>
  <c r="H143"/>
  <c r="I183" l="1"/>
  <c r="H183"/>
  <c r="H128"/>
  <c r="I128"/>
  <c r="H129"/>
  <c r="I129"/>
  <c r="I127"/>
  <c r="H127"/>
  <c r="I122"/>
  <c r="H122"/>
  <c r="H108"/>
  <c r="I108"/>
  <c r="H109"/>
  <c r="I109"/>
  <c r="I107"/>
  <c r="H107"/>
  <c r="I102"/>
  <c r="I101" s="1"/>
  <c r="H102"/>
  <c r="H101" s="1"/>
  <c r="I96"/>
  <c r="H96"/>
  <c r="H94"/>
  <c r="I94"/>
  <c r="I93"/>
  <c r="H93"/>
  <c r="I85"/>
  <c r="I84" s="1"/>
  <c r="I83" s="1"/>
  <c r="H85"/>
  <c r="H84" s="1"/>
  <c r="H83" s="1"/>
  <c r="I80"/>
  <c r="H80"/>
  <c r="I77"/>
  <c r="H77"/>
  <c r="I121" l="1"/>
  <c r="I120" s="1"/>
  <c r="H121"/>
  <c r="H120" s="1"/>
  <c r="I68"/>
  <c r="I67" s="1"/>
  <c r="H68"/>
  <c r="H67" s="1"/>
  <c r="H63"/>
  <c r="I63"/>
  <c r="I62"/>
  <c r="H62"/>
  <c r="H59"/>
  <c r="I59"/>
  <c r="H60"/>
  <c r="I60"/>
  <c r="I58"/>
  <c r="H58"/>
  <c r="I54"/>
  <c r="I53" s="1"/>
  <c r="H54"/>
  <c r="H53" s="1"/>
  <c r="I49"/>
  <c r="H49"/>
  <c r="I43"/>
  <c r="I41" s="1"/>
  <c r="H43"/>
  <c r="H41" s="1"/>
  <c r="H39"/>
  <c r="I39"/>
  <c r="H40"/>
  <c r="I40"/>
  <c r="I38"/>
  <c r="H38"/>
  <c r="I36"/>
  <c r="I33" s="1"/>
  <c r="H36"/>
  <c r="H33" s="1"/>
  <c r="H32"/>
  <c r="I32"/>
  <c r="I31"/>
  <c r="H31"/>
  <c r="I26"/>
  <c r="I25" s="1"/>
  <c r="H26"/>
  <c r="H25" s="1"/>
  <c r="I24"/>
  <c r="I23" s="1"/>
  <c r="H24"/>
  <c r="H23" s="1"/>
  <c r="H22"/>
  <c r="I22"/>
  <c r="I21"/>
  <c r="H21"/>
  <c r="I19"/>
  <c r="I18" s="1"/>
  <c r="H19"/>
  <c r="H18" s="1"/>
  <c r="I276"/>
  <c r="I275" s="1"/>
  <c r="I274" s="1"/>
  <c r="I273" s="1"/>
  <c r="I270"/>
  <c r="I269" s="1"/>
  <c r="I267"/>
  <c r="I266" s="1"/>
  <c r="I246"/>
  <c r="I242"/>
  <c r="I237"/>
  <c r="I235"/>
  <c r="I230"/>
  <c r="I227"/>
  <c r="I226" s="1"/>
  <c r="I215"/>
  <c r="I214" s="1"/>
  <c r="I213" s="1"/>
  <c r="I212" s="1"/>
  <c r="I209"/>
  <c r="I208" s="1"/>
  <c r="I206"/>
  <c r="I205" s="1"/>
  <c r="I199"/>
  <c r="I196"/>
  <c r="I193"/>
  <c r="I181"/>
  <c r="I178"/>
  <c r="I175"/>
  <c r="I172"/>
  <c r="I169"/>
  <c r="I159"/>
  <c r="I153"/>
  <c r="I152" s="1"/>
  <c r="I148"/>
  <c r="I142"/>
  <c r="I141" s="1"/>
  <c r="I140" s="1"/>
  <c r="I131" s="1"/>
  <c r="I126"/>
  <c r="I125" s="1"/>
  <c r="I124" s="1"/>
  <c r="I106"/>
  <c r="I105" s="1"/>
  <c r="I100"/>
  <c r="I95"/>
  <c r="I92"/>
  <c r="I79"/>
  <c r="I78" s="1"/>
  <c r="I76"/>
  <c r="I75" s="1"/>
  <c r="H276"/>
  <c r="H275" s="1"/>
  <c r="H274" s="1"/>
  <c r="H273" s="1"/>
  <c r="H270"/>
  <c r="H269" s="1"/>
  <c r="H267"/>
  <c r="H266" s="1"/>
  <c r="H246"/>
  <c r="H242"/>
  <c r="H237"/>
  <c r="H235"/>
  <c r="H230"/>
  <c r="H227"/>
  <c r="H226" s="1"/>
  <c r="H215"/>
  <c r="H214" s="1"/>
  <c r="H213" s="1"/>
  <c r="H212" s="1"/>
  <c r="H209"/>
  <c r="H208" s="1"/>
  <c r="H206"/>
  <c r="H205" s="1"/>
  <c r="H199"/>
  <c r="H196"/>
  <c r="H193"/>
  <c r="H181"/>
  <c r="H178"/>
  <c r="H175"/>
  <c r="H172"/>
  <c r="H169"/>
  <c r="H159"/>
  <c r="H153"/>
  <c r="H152" s="1"/>
  <c r="H148"/>
  <c r="H142"/>
  <c r="H141" s="1"/>
  <c r="H140" s="1"/>
  <c r="H126"/>
  <c r="H125" s="1"/>
  <c r="H124" s="1"/>
  <c r="H106"/>
  <c r="H105" s="1"/>
  <c r="H100"/>
  <c r="H95"/>
  <c r="H92"/>
  <c r="H79"/>
  <c r="H78" s="1"/>
  <c r="H76"/>
  <c r="H75" s="1"/>
  <c r="H132" l="1"/>
  <c r="H131" s="1"/>
  <c r="H229"/>
  <c r="H225" s="1"/>
  <c r="I229"/>
  <c r="I225" s="1"/>
  <c r="I168"/>
  <c r="H168"/>
  <c r="I74"/>
  <c r="H74"/>
  <c r="H46"/>
  <c r="I46"/>
  <c r="H28"/>
  <c r="I28"/>
  <c r="I265"/>
  <c r="I264" s="1"/>
  <c r="H265"/>
  <c r="H264" s="1"/>
  <c r="H91"/>
  <c r="H90" s="1"/>
  <c r="I204"/>
  <c r="I203" s="1"/>
  <c r="H119"/>
  <c r="H118" s="1"/>
  <c r="H147"/>
  <c r="I119"/>
  <c r="I118" s="1"/>
  <c r="I192"/>
  <c r="I61"/>
  <c r="H37"/>
  <c r="H57"/>
  <c r="H61"/>
  <c r="I37"/>
  <c r="I57"/>
  <c r="H20"/>
  <c r="H17" s="1"/>
  <c r="I20"/>
  <c r="I17" s="1"/>
  <c r="I99"/>
  <c r="I98" s="1"/>
  <c r="I91"/>
  <c r="I90" s="1"/>
  <c r="I158"/>
  <c r="I157" s="1"/>
  <c r="I156" s="1"/>
  <c r="H204"/>
  <c r="H203" s="1"/>
  <c r="H158"/>
  <c r="H157" s="1"/>
  <c r="H156" s="1"/>
  <c r="H192"/>
  <c r="H99"/>
  <c r="H98" s="1"/>
  <c r="H506" i="7"/>
  <c r="H371"/>
  <c r="I73" i="18" l="1"/>
  <c r="H73"/>
  <c r="H56"/>
  <c r="H55" s="1"/>
  <c r="I45"/>
  <c r="I44" s="1"/>
  <c r="H45"/>
  <c r="H44" s="1"/>
  <c r="H167"/>
  <c r="H166" s="1"/>
  <c r="I167"/>
  <c r="I166" s="1"/>
  <c r="H146"/>
  <c r="I147"/>
  <c r="I146" s="1"/>
  <c r="I27"/>
  <c r="I16" s="1"/>
  <c r="H27"/>
  <c r="H16" s="1"/>
  <c r="I56"/>
  <c r="I55" s="1"/>
  <c r="H224"/>
  <c r="I224"/>
  <c r="H463" i="7"/>
  <c r="H461"/>
  <c r="H15" i="18" l="1"/>
  <c r="H14" s="1"/>
  <c r="I15"/>
  <c r="I14" s="1"/>
  <c r="H346" i="7"/>
  <c r="H343"/>
  <c r="H340"/>
  <c r="H337"/>
  <c r="H318" l="1"/>
  <c r="H286"/>
  <c r="H285" s="1"/>
  <c r="H284" s="1"/>
  <c r="H93" l="1"/>
  <c r="N372" i="19" l="1"/>
  <c r="E51" i="17" s="1"/>
  <c r="E50" s="1"/>
  <c r="M372" i="19"/>
  <c r="D51" i="17" s="1"/>
  <c r="D50" l="1"/>
  <c r="N368" i="19" l="1"/>
  <c r="N365"/>
  <c r="N350"/>
  <c r="N347"/>
  <c r="N344"/>
  <c r="N341"/>
  <c r="N334"/>
  <c r="N333" s="1"/>
  <c r="N332" s="1"/>
  <c r="N331" s="1"/>
  <c r="N330" s="1"/>
  <c r="N329" s="1"/>
  <c r="N323"/>
  <c r="N322" s="1"/>
  <c r="N321" s="1"/>
  <c r="N320" s="1"/>
  <c r="N319" s="1"/>
  <c r="N304"/>
  <c r="N303" s="1"/>
  <c r="N302" s="1"/>
  <c r="N301" s="1"/>
  <c r="E45" i="17" s="1"/>
  <c r="N290" i="19"/>
  <c r="N289" s="1"/>
  <c r="N263"/>
  <c r="N262" s="1"/>
  <c r="N261" s="1"/>
  <c r="N260" s="1"/>
  <c r="N256"/>
  <c r="N255" s="1"/>
  <c r="N254" s="1"/>
  <c r="N246"/>
  <c r="N245" s="1"/>
  <c r="N244" s="1"/>
  <c r="N243" s="1"/>
  <c r="N242" s="1"/>
  <c r="N231"/>
  <c r="N217"/>
  <c r="N209" s="1"/>
  <c r="N204"/>
  <c r="N203" s="1"/>
  <c r="N202" s="1"/>
  <c r="N195"/>
  <c r="N185" s="1"/>
  <c r="N175"/>
  <c r="N173"/>
  <c r="N171"/>
  <c r="N151"/>
  <c r="N150" s="1"/>
  <c r="N133"/>
  <c r="N131"/>
  <c r="N130" s="1"/>
  <c r="N113"/>
  <c r="N112" s="1"/>
  <c r="N111" s="1"/>
  <c r="N110" s="1"/>
  <c r="N109" s="1"/>
  <c r="N86"/>
  <c r="N85" s="1"/>
  <c r="N84" s="1"/>
  <c r="N83" s="1"/>
  <c r="N82" s="1"/>
  <c r="E29" i="17" s="1"/>
  <c r="N80" i="19"/>
  <c r="N79" s="1"/>
  <c r="N77"/>
  <c r="N76" s="1"/>
  <c r="N52"/>
  <c r="N51" s="1"/>
  <c r="N50" s="1"/>
  <c r="N49" s="1"/>
  <c r="N48" s="1"/>
  <c r="E22" i="17" s="1"/>
  <c r="N38" i="19"/>
  <c r="N33"/>
  <c r="N31"/>
  <c r="N22"/>
  <c r="N21" s="1"/>
  <c r="N20" s="1"/>
  <c r="N19" s="1"/>
  <c r="N18" s="1"/>
  <c r="M368"/>
  <c r="M365"/>
  <c r="M350"/>
  <c r="M347"/>
  <c r="M344"/>
  <c r="M341"/>
  <c r="M334"/>
  <c r="M323"/>
  <c r="M304"/>
  <c r="M290"/>
  <c r="M289" s="1"/>
  <c r="M263"/>
  <c r="M262" s="1"/>
  <c r="M256"/>
  <c r="M246"/>
  <c r="M231"/>
  <c r="M217"/>
  <c r="M209" s="1"/>
  <c r="M204"/>
  <c r="M195"/>
  <c r="M175"/>
  <c r="M173"/>
  <c r="M171"/>
  <c r="M151"/>
  <c r="M133"/>
  <c r="M131"/>
  <c r="M113"/>
  <c r="M86"/>
  <c r="M80"/>
  <c r="M77"/>
  <c r="M68"/>
  <c r="M67" s="1"/>
  <c r="M62" s="1"/>
  <c r="M52"/>
  <c r="M38"/>
  <c r="M33"/>
  <c r="M31"/>
  <c r="M22"/>
  <c r="M21" s="1"/>
  <c r="M20" s="1"/>
  <c r="M19" s="1"/>
  <c r="M18" l="1"/>
  <c r="D18" i="17" s="1"/>
  <c r="N68" i="19"/>
  <c r="N67" s="1"/>
  <c r="N62" s="1"/>
  <c r="N61" s="1"/>
  <c r="M76"/>
  <c r="M130"/>
  <c r="M150"/>
  <c r="M185"/>
  <c r="M208"/>
  <c r="M255"/>
  <c r="M303"/>
  <c r="M333"/>
  <c r="M85"/>
  <c r="L26"/>
  <c r="L25" s="1"/>
  <c r="L24" s="1"/>
  <c r="L17" s="1"/>
  <c r="M51"/>
  <c r="M79"/>
  <c r="M112"/>
  <c r="M203"/>
  <c r="M245"/>
  <c r="M322"/>
  <c r="M230"/>
  <c r="M229" s="1"/>
  <c r="N230"/>
  <c r="N229" s="1"/>
  <c r="N228" s="1"/>
  <c r="N227" s="1"/>
  <c r="N27"/>
  <c r="M27"/>
  <c r="M120"/>
  <c r="N184"/>
  <c r="N183" s="1"/>
  <c r="N182" s="1"/>
  <c r="N208"/>
  <c r="N207" s="1"/>
  <c r="N206" s="1"/>
  <c r="N129"/>
  <c r="N128" s="1"/>
  <c r="N127" s="1"/>
  <c r="N126" s="1"/>
  <c r="N125" s="1"/>
  <c r="M170"/>
  <c r="N170"/>
  <c r="N169" s="1"/>
  <c r="N168" s="1"/>
  <c r="N167" s="1"/>
  <c r="M340"/>
  <c r="M339" s="1"/>
  <c r="N277"/>
  <c r="N276" s="1"/>
  <c r="N275" s="1"/>
  <c r="N274" s="1"/>
  <c r="M142"/>
  <c r="N142"/>
  <c r="N141" s="1"/>
  <c r="N140" s="1"/>
  <c r="N253"/>
  <c r="N252" s="1"/>
  <c r="N251" s="1"/>
  <c r="N288"/>
  <c r="N287" s="1"/>
  <c r="N340"/>
  <c r="M277"/>
  <c r="M314"/>
  <c r="N120"/>
  <c r="N119" s="1"/>
  <c r="N118" s="1"/>
  <c r="M361"/>
  <c r="N75"/>
  <c r="N74" s="1"/>
  <c r="N73" s="1"/>
  <c r="N361"/>
  <c r="N360" s="1"/>
  <c r="N359" s="1"/>
  <c r="N358" s="1"/>
  <c r="E18" i="17"/>
  <c r="N149" i="19"/>
  <c r="L16" l="1"/>
  <c r="L15" s="1"/>
  <c r="N166"/>
  <c r="N339"/>
  <c r="N338" s="1"/>
  <c r="N337" s="1"/>
  <c r="E42" i="17"/>
  <c r="N139" i="19"/>
  <c r="E32" i="17"/>
  <c r="N95" i="19"/>
  <c r="N94" s="1"/>
  <c r="N88" s="1"/>
  <c r="E49" i="17"/>
  <c r="E48" s="1"/>
  <c r="N117" i="19"/>
  <c r="N108" s="1"/>
  <c r="E26" i="17"/>
  <c r="N57" i="19"/>
  <c r="N56" s="1"/>
  <c r="N55" s="1"/>
  <c r="M129"/>
  <c r="M228"/>
  <c r="M227" s="1"/>
  <c r="M288"/>
  <c r="M287" s="1"/>
  <c r="M149"/>
  <c r="M184"/>
  <c r="M75"/>
  <c r="M74" s="1"/>
  <c r="M84"/>
  <c r="M332"/>
  <c r="M302"/>
  <c r="M254"/>
  <c r="M360"/>
  <c r="M276"/>
  <c r="M141"/>
  <c r="M140" s="1"/>
  <c r="M169"/>
  <c r="M207"/>
  <c r="M119"/>
  <c r="M321"/>
  <c r="M244"/>
  <c r="M202"/>
  <c r="M111"/>
  <c r="M50"/>
  <c r="M26"/>
  <c r="N26"/>
  <c r="N25" s="1"/>
  <c r="N24" s="1"/>
  <c r="N17" s="1"/>
  <c r="E36" i="17"/>
  <c r="N314" i="19"/>
  <c r="N313" s="1"/>
  <c r="N312" s="1"/>
  <c r="M313"/>
  <c r="E39" i="17"/>
  <c r="E33"/>
  <c r="E34"/>
  <c r="M261" i="19"/>
  <c r="M260" s="1"/>
  <c r="N286"/>
  <c r="N285" s="1"/>
  <c r="E21" i="17"/>
  <c r="N241" i="19"/>
  <c r="E28" i="17"/>
  <c r="M25" i="19" l="1"/>
  <c r="M24" s="1"/>
  <c r="D19" i="17" s="1"/>
  <c r="N336" i="19"/>
  <c r="N328" s="1"/>
  <c r="N54"/>
  <c r="M139"/>
  <c r="E30" i="17"/>
  <c r="E27" s="1"/>
  <c r="M128" i="19"/>
  <c r="M127" s="1"/>
  <c r="M49"/>
  <c r="M110"/>
  <c r="M243"/>
  <c r="M320"/>
  <c r="M118"/>
  <c r="M206"/>
  <c r="M168"/>
  <c r="M167" s="1"/>
  <c r="M275"/>
  <c r="M73"/>
  <c r="M286"/>
  <c r="M359"/>
  <c r="M253"/>
  <c r="M301"/>
  <c r="M331"/>
  <c r="M83"/>
  <c r="M183"/>
  <c r="M338"/>
  <c r="M337" s="1"/>
  <c r="E19" i="17"/>
  <c r="N259" i="19"/>
  <c r="M312"/>
  <c r="E35" i="17"/>
  <c r="E31" s="1"/>
  <c r="N311" i="19"/>
  <c r="N310" s="1"/>
  <c r="N165"/>
  <c r="N284"/>
  <c r="C60" i="2"/>
  <c r="C54"/>
  <c r="C44" l="1"/>
  <c r="E41" i="17"/>
  <c r="E40" s="1"/>
  <c r="N72" i="19"/>
  <c r="N16" s="1"/>
  <c r="D44" i="17"/>
  <c r="M285" i="19"/>
  <c r="N258"/>
  <c r="N250" s="1"/>
  <c r="M259"/>
  <c r="M82"/>
  <c r="M330"/>
  <c r="D45" i="17"/>
  <c r="M358" i="19"/>
  <c r="D28" i="17"/>
  <c r="M182" i="19"/>
  <c r="M252"/>
  <c r="D34" i="17" s="1"/>
  <c r="M274" i="19"/>
  <c r="M126"/>
  <c r="M117"/>
  <c r="M319"/>
  <c r="M311" s="1"/>
  <c r="M242"/>
  <c r="M109"/>
  <c r="D21" i="17"/>
  <c r="M61" i="19"/>
  <c r="M48"/>
  <c r="M17" s="1"/>
  <c r="E44" i="17"/>
  <c r="E43" s="1"/>
  <c r="E23"/>
  <c r="E17" s="1"/>
  <c r="N138" i="19"/>
  <c r="N137" s="1"/>
  <c r="M166" l="1"/>
  <c r="M336"/>
  <c r="D42" i="17"/>
  <c r="E38"/>
  <c r="E37" s="1"/>
  <c r="M57" i="19"/>
  <c r="M56" s="1"/>
  <c r="M55" s="1"/>
  <c r="M258"/>
  <c r="D23" i="17"/>
  <c r="M310" i="19"/>
  <c r="M138"/>
  <c r="M137" s="1"/>
  <c r="M108"/>
  <c r="M241"/>
  <c r="D41" i="17"/>
  <c r="D36"/>
  <c r="D39"/>
  <c r="M251" i="19"/>
  <c r="D33" i="17"/>
  <c r="D49"/>
  <c r="D48" s="1"/>
  <c r="D32"/>
  <c r="M125" i="19"/>
  <c r="M329"/>
  <c r="N15"/>
  <c r="D26" i="20" s="1"/>
  <c r="D35" i="17"/>
  <c r="M54" i="19" l="1"/>
  <c r="D26" i="17"/>
  <c r="D31"/>
  <c r="D38"/>
  <c r="D37" s="1"/>
  <c r="D29"/>
  <c r="M328" i="19"/>
  <c r="M284"/>
  <c r="D43" i="17"/>
  <c r="M250" i="19"/>
  <c r="D40" i="17"/>
  <c r="D22"/>
  <c r="D17" s="1"/>
  <c r="M165" i="19"/>
  <c r="E25" i="17" l="1"/>
  <c r="E24" s="1"/>
  <c r="D25"/>
  <c r="D24" s="1"/>
  <c r="D30"/>
  <c r="D27" s="1"/>
  <c r="M72" i="19"/>
  <c r="D15" i="17" l="1"/>
  <c r="E15"/>
  <c r="M16" i="19"/>
  <c r="M15" s="1"/>
  <c r="C26" i="20" l="1"/>
  <c r="D25" l="1"/>
  <c r="D24" s="1"/>
  <c r="D23" s="1"/>
  <c r="C25" l="1"/>
  <c r="C24" s="1"/>
  <c r="C23" s="1"/>
  <c r="D21" l="1"/>
  <c r="D20" s="1"/>
  <c r="D19" s="1"/>
  <c r="D18" s="1"/>
  <c r="D13" s="1"/>
  <c r="H505" i="7" l="1"/>
  <c r="H504" s="1"/>
  <c r="H42" l="1"/>
  <c r="H317" l="1"/>
  <c r="H316" s="1"/>
  <c r="H126" l="1"/>
  <c r="H124" s="1"/>
  <c r="H17" l="1"/>
  <c r="H16" s="1"/>
  <c r="H41" l="1"/>
  <c r="H38" s="1"/>
  <c r="H299" l="1"/>
  <c r="H298" s="1"/>
  <c r="H386"/>
  <c r="H385" s="1"/>
  <c r="H384" s="1"/>
  <c r="H383" l="1"/>
  <c r="H376" s="1"/>
  <c r="H392"/>
  <c r="H391" s="1"/>
  <c r="H390" s="1"/>
  <c r="H480"/>
  <c r="H479" s="1"/>
  <c r="H472" s="1"/>
  <c r="H244"/>
  <c r="H243" s="1"/>
  <c r="H254"/>
  <c r="H253" s="1"/>
  <c r="H250" s="1"/>
  <c r="H246"/>
  <c r="H245" s="1"/>
  <c r="H456" l="1"/>
  <c r="H503"/>
  <c r="H502" s="1"/>
  <c r="H497" l="1"/>
  <c r="H462"/>
  <c r="H460"/>
  <c r="H455"/>
  <c r="H454" s="1"/>
  <c r="H448"/>
  <c r="H447" s="1"/>
  <c r="H444"/>
  <c r="H443" s="1"/>
  <c r="H459" l="1"/>
  <c r="H499"/>
  <c r="H498" s="1"/>
  <c r="H370"/>
  <c r="H369" s="1"/>
  <c r="H438" l="1"/>
  <c r="H436"/>
  <c r="H427"/>
  <c r="H426" s="1"/>
  <c r="H425" s="1"/>
  <c r="H424" s="1"/>
  <c r="H423" s="1"/>
  <c r="H418"/>
  <c r="H417" s="1"/>
  <c r="H413"/>
  <c r="H412" s="1"/>
  <c r="H411" s="1"/>
  <c r="H410" s="1"/>
  <c r="H409"/>
  <c r="H408" s="1"/>
  <c r="H401"/>
  <c r="H400" s="1"/>
  <c r="H399" s="1"/>
  <c r="H395"/>
  <c r="H394" s="1"/>
  <c r="H368"/>
  <c r="H367"/>
  <c r="H365"/>
  <c r="H364"/>
  <c r="H362"/>
  <c r="H361"/>
  <c r="H347"/>
  <c r="H345" s="1"/>
  <c r="H344"/>
  <c r="H342" s="1"/>
  <c r="H341"/>
  <c r="H339" s="1"/>
  <c r="H338"/>
  <c r="H336" s="1"/>
  <c r="H335" l="1"/>
  <c r="H416"/>
  <c r="H415" s="1"/>
  <c r="H398"/>
  <c r="H363"/>
  <c r="H366"/>
  <c r="H360"/>
  <c r="H407"/>
  <c r="H406" s="1"/>
  <c r="H294"/>
  <c r="H293" s="1"/>
  <c r="H277"/>
  <c r="H278"/>
  <c r="H276"/>
  <c r="H262"/>
  <c r="H263"/>
  <c r="H261"/>
  <c r="H256"/>
  <c r="H233"/>
  <c r="H234"/>
  <c r="H232"/>
  <c r="H228"/>
  <c r="H227" s="1"/>
  <c r="H226"/>
  <c r="H196"/>
  <c r="H192"/>
  <c r="H193"/>
  <c r="H191"/>
  <c r="H185"/>
  <c r="H183"/>
  <c r="H182" s="1"/>
  <c r="H176"/>
  <c r="H177"/>
  <c r="H175"/>
  <c r="H173"/>
  <c r="H172"/>
  <c r="H171"/>
  <c r="H292" l="1"/>
  <c r="H190"/>
  <c r="H189" s="1"/>
  <c r="H174"/>
  <c r="H231"/>
  <c r="H230" s="1"/>
  <c r="H229" s="1"/>
  <c r="H260"/>
  <c r="H259" s="1"/>
  <c r="H258" s="1"/>
  <c r="H170"/>
  <c r="H359"/>
  <c r="H334" s="1"/>
  <c r="H275"/>
  <c r="H274" s="1"/>
  <c r="H150"/>
  <c r="H149" s="1"/>
  <c r="H148"/>
  <c r="H147" s="1"/>
  <c r="H142"/>
  <c r="H141" s="1"/>
  <c r="H138"/>
  <c r="H137" s="1"/>
  <c r="H136" s="1"/>
  <c r="H114"/>
  <c r="H115"/>
  <c r="H113"/>
  <c r="H98"/>
  <c r="H97" s="1"/>
  <c r="H84"/>
  <c r="H81" s="1"/>
  <c r="H66"/>
  <c r="H64" s="1"/>
  <c r="H62"/>
  <c r="H61"/>
  <c r="H59"/>
  <c r="H56" s="1"/>
  <c r="H46"/>
  <c r="H32"/>
  <c r="H31" s="1"/>
  <c r="H30"/>
  <c r="H29" s="1"/>
  <c r="H28"/>
  <c r="H27"/>
  <c r="H240"/>
  <c r="H239" s="1"/>
  <c r="H80" l="1"/>
  <c r="H79" s="1"/>
  <c r="H112"/>
  <c r="H169"/>
  <c r="H168" s="1"/>
  <c r="H165"/>
  <c r="H163" s="1"/>
  <c r="H162" s="1"/>
  <c r="H146"/>
  <c r="H145" s="1"/>
  <c r="H26"/>
  <c r="H15" s="1"/>
  <c r="H144" l="1"/>
  <c r="H135" s="1"/>
  <c r="H161"/>
  <c r="H466" l="1"/>
  <c r="H307"/>
  <c r="H308" l="1"/>
  <c r="H312"/>
  <c r="H309"/>
  <c r="H313"/>
  <c r="H467"/>
  <c r="H465" s="1"/>
  <c r="H311"/>
  <c r="C70" i="2"/>
  <c r="H464" i="7" l="1"/>
  <c r="H306"/>
  <c r="H310"/>
  <c r="H199"/>
  <c r="H197"/>
  <c r="H305" l="1"/>
  <c r="H195"/>
  <c r="H194" s="1"/>
  <c r="H304" l="1"/>
  <c r="H291" s="1"/>
  <c r="H188"/>
  <c r="H225"/>
  <c r="H224" s="1"/>
  <c r="H120" l="1"/>
  <c r="H118"/>
  <c r="H53"/>
  <c r="H49" s="1"/>
  <c r="H63"/>
  <c r="H60" s="1"/>
  <c r="H117"/>
  <c r="H37" l="1"/>
  <c r="H14" s="1"/>
  <c r="H116"/>
  <c r="H111" s="1"/>
  <c r="H110" s="1"/>
  <c r="H13" l="1"/>
  <c r="H446"/>
  <c r="H445" s="1"/>
  <c r="H451"/>
  <c r="H450" s="1"/>
  <c r="H242"/>
  <c r="H241" s="1"/>
  <c r="H238" s="1"/>
  <c r="H437"/>
  <c r="H435" s="1"/>
  <c r="H434" l="1"/>
  <c r="H496" l="1"/>
  <c r="H492"/>
  <c r="H491" s="1"/>
  <c r="H490" s="1"/>
  <c r="H495"/>
  <c r="H494" l="1"/>
  <c r="H493" s="1"/>
  <c r="H489" s="1"/>
  <c r="H488" s="1"/>
  <c r="H405" l="1"/>
  <c r="H397"/>
  <c r="H393"/>
  <c r="H389" s="1"/>
  <c r="H388" s="1"/>
  <c r="H255"/>
  <c r="H249" s="1"/>
  <c r="H223"/>
  <c r="H222" s="1"/>
  <c r="H184"/>
  <c r="H181"/>
  <c r="H333" l="1"/>
  <c r="H237"/>
  <c r="H236" s="1"/>
  <c r="H180"/>
  <c r="H179" s="1"/>
  <c r="H273"/>
  <c r="H272" l="1"/>
  <c r="H134"/>
  <c r="H221" l="1"/>
  <c r="C43" i="2" l="1"/>
  <c r="C42" s="1"/>
  <c r="C14" s="1"/>
  <c r="C13" s="1"/>
  <c r="C35" i="5" l="1"/>
  <c r="C32" s="1"/>
  <c r="C31" s="1"/>
  <c r="C21" i="20" l="1"/>
  <c r="C20" s="1"/>
  <c r="C19" s="1"/>
  <c r="H433" i="7"/>
  <c r="H432" s="1"/>
  <c r="H431" s="1"/>
  <c r="H430" s="1"/>
  <c r="C39" i="5" l="1"/>
  <c r="C25" i="8" s="1"/>
  <c r="C18" i="20"/>
  <c r="C13" s="1"/>
  <c r="H429" i="7"/>
  <c r="H12" s="1"/>
  <c r="C24" i="8" l="1"/>
  <c r="C23" s="1"/>
  <c r="C22" s="1"/>
  <c r="L293" i="3" l="1"/>
  <c r="L292" s="1"/>
  <c r="L291" s="1"/>
  <c r="L259" s="1"/>
  <c r="M259"/>
  <c r="M258" s="1"/>
  <c r="L258" l="1"/>
  <c r="M257"/>
  <c r="M256" s="1"/>
  <c r="M13" s="1"/>
  <c r="C29" i="8" s="1"/>
  <c r="C28" l="1"/>
  <c r="C27" s="1"/>
  <c r="C26" s="1"/>
  <c r="C21" s="1"/>
  <c r="C14" s="1"/>
  <c r="L257" i="3"/>
  <c r="L256" s="1"/>
  <c r="L583" l="1"/>
  <c r="L578" s="1"/>
  <c r="L577" s="1"/>
  <c r="L576" l="1"/>
  <c r="L575" s="1"/>
  <c r="L13" s="1"/>
</calcChain>
</file>

<file path=xl/sharedStrings.xml><?xml version="1.0" encoding="utf-8"?>
<sst xmlns="http://schemas.openxmlformats.org/spreadsheetml/2006/main" count="12597" uniqueCount="788">
  <si>
    <t>Код бюджетной классификации Российской Федерации</t>
  </si>
  <si>
    <t>главного администратора доходов и источников финансирования дефицита районного бюджета</t>
  </si>
  <si>
    <t>доходов и источников финансирования дефицита районного бюджета</t>
  </si>
  <si>
    <t>Администрация муниципального образования Апшеронский район</t>
  </si>
  <si>
    <t>1 08 07150 01 0000 110</t>
  </si>
  <si>
    <t>1 13 02995 05 0000 130</t>
  </si>
  <si>
    <t>Прочие доходы от компенсации затрат бюджетов муниципальных районов*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</si>
  <si>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</si>
  <si>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 выгодоприобретателями выступают получатели средств  бюджетов муниципальных районов</t>
  </si>
  <si>
    <t>1 16 90050 05 0000 140</t>
  </si>
  <si>
    <t>1 17 01050 05 0000 180</t>
  </si>
  <si>
    <t>Невыясненные поступления, зачисляемые в бюджеты муниципальных районов</t>
  </si>
  <si>
    <t>902</t>
  </si>
  <si>
    <t>1 17 05050 05 0000 180</t>
  </si>
  <si>
    <t>Прочие неналоговые доходы бюджетов муниципальных районов*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</si>
  <si>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</si>
  <si>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</si>
  <si>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</si>
  <si>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</si>
  <si>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</si>
  <si>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Получение кредитов от кредитных организаций  бюджетами муниципальных районов в валюте Российской Федерации</t>
  </si>
  <si>
    <t>01 02 00 00 05 0000 810</t>
  </si>
  <si>
    <t>Погашение  бюджетами муниципальных районов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</si>
  <si>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</si>
  <si>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</si>
  <si>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</si>
  <si>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</si>
  <si>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Финансовое управление администрации муниципального образования Апшеронский район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</si>
  <si>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</si>
  <si>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</si>
  <si>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</si>
  <si>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</si>
  <si>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</si>
  <si>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</si>
  <si>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</si>
  <si>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Управление имущественных отношений администрации муниципального образования Апшеронский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</si>
  <si>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</si>
  <si>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</si>
  <si>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</si>
  <si>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 после уплаты налогов и иных обязательных платежей муниципальных унитарных предприятий, созданных муниципальными районами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</si>
  <si>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</si>
  <si>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</si>
  <si>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</si>
  <si>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</si>
  <si>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</si>
  <si>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</si>
  <si>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</si>
  <si>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</si>
  <si>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</si>
  <si>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</si>
  <si>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</si>
  <si>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01 06 01 00 05 0000 630</t>
  </si>
  <si>
    <t>Средства от продажи акций и иных форм участия в капитале, находящихся в собственности муниципальных районов</t>
  </si>
  <si>
    <t>Управление образования администрации муниципального образования Апшеронский район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</si>
  <si>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</si>
  <si>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</si>
  <si>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Отдел культуры администрации муниципального образования Апшеронский район</t>
  </si>
  <si>
    <t>Отдел по физической культуре и спорту администрации муниципального образования Апшеронский район</t>
  </si>
  <si>
    <t>Отдел по делам молодежи администрации муниципального образования Апшеронский район</t>
  </si>
  <si>
    <t>Отдел по вопросам семьи и детства администрации муниципального образования Апшеронский район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</si>
  <si>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</si>
  <si>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</si>
  <si>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</si>
  <si>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Код</t>
  </si>
  <si>
    <t>Наименование дохода</t>
  </si>
  <si>
    <t>Сумма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</si>
  <si>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</si>
  <si>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</si>
  <si>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</si>
  <si>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</si>
  <si>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</si>
  <si>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</si>
  <si>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</si>
  <si>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</si>
  <si>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(тыс. рублей)</t>
  </si>
  <si>
    <t>№ п\п</t>
  </si>
  <si>
    <t>Наименование</t>
  </si>
  <si>
    <t>Вед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</si>
  <si>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</si>
  <si>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</si>
  <si>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</si>
  <si>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</si>
  <si>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</si>
  <si>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</si>
  <si>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</si>
  <si>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</si>
  <si>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</si>
  <si>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Контрольно-счетная палата муниципального образования Апшеронский район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</si>
  <si>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</si>
  <si>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</si>
  <si>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</si>
  <si>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</si>
  <si>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муниципального образования Апшеронский район "Организация муниципального управления"</t>
  </si>
  <si>
    <t>17</t>
  </si>
  <si>
    <t>0</t>
  </si>
  <si>
    <t>00</t>
  </si>
  <si>
    <t>00000</t>
  </si>
  <si>
    <t>1</t>
  </si>
  <si>
    <t xml:space="preserve">Обеспечение деятельности высшего должностного лица муниципального образования </t>
  </si>
  <si>
    <t>Расходы на обеспечение функций органов местного самоуправления</t>
  </si>
  <si>
    <t>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</si>
  <si>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</si>
  <si>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</si>
  <si>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</si>
  <si>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</si>
  <si>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 Апшеронский район "Организация муниципального управления"</t>
  </si>
  <si>
    <t>Обеспечение деятельности администрации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</si>
  <si>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</si>
  <si>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</si>
  <si>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</si>
  <si>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</si>
  <si>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</si>
  <si>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</si>
  <si>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</si>
  <si>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</si>
  <si>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</si>
  <si>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</si>
  <si>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Развитие муниципального управления</t>
  </si>
  <si>
    <t>03</t>
  </si>
  <si>
    <t>Административная реформа</t>
  </si>
  <si>
    <t>05</t>
  </si>
  <si>
    <t>Резервные фонды</t>
  </si>
  <si>
    <t>11</t>
  </si>
  <si>
    <t>Непрограммные направления деятельности органов местного самоуправления</t>
  </si>
  <si>
    <t>99</t>
  </si>
  <si>
    <t>Финансовое обеспечение непредвиденных расходов</t>
  </si>
  <si>
    <t>Резервные фонды местных администраций</t>
  </si>
  <si>
    <t>90010</t>
  </si>
  <si>
    <t>Другие общегосударственные вопросы</t>
  </si>
  <si>
    <t>13</t>
  </si>
  <si>
    <t>Муниципальная программа муниципального образования Апшеронский район "Поддержка социально ориентированных некоммерческих организаций"</t>
  </si>
  <si>
    <t>15</t>
  </si>
  <si>
    <t>Субсидии на поддержку социально ориентированных некоммерческих организаций</t>
  </si>
  <si>
    <t>11600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</si>
  <si>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</si>
  <si>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</si>
  <si>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</si>
  <si>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</si>
  <si>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</si>
  <si>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муниципального образования Апшеронский район "Обеспечение безопасности населения"</t>
  </si>
  <si>
    <t>06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</si>
  <si>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</si>
  <si>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</si>
  <si>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</si>
  <si>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10600</t>
  </si>
  <si>
    <t>Реализация мероприятий муниципальной программы "Обеспечение безопасности населения"</t>
  </si>
  <si>
    <t>10660</t>
  </si>
  <si>
    <t>Другие вопросы в области национальной безопасности и правоохранительной деятельности</t>
  </si>
  <si>
    <t>14</t>
  </si>
  <si>
    <t>2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</si>
  <si>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</si>
  <si>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10610</t>
  </si>
  <si>
    <t>00590</t>
  </si>
  <si>
    <t>Национальная экономика</t>
  </si>
  <si>
    <t>Сельское хозяйство и рыболовство</t>
  </si>
  <si>
    <t xml:space="preserve">Муниципальная программа муниципального образования  Апшеронский район "Развитие сельского хозяйства" </t>
  </si>
  <si>
    <t>Развитие малых форм хозяйствования в АПК в муниципальном образовании Апшеронский район</t>
  </si>
  <si>
    <t>60090</t>
  </si>
  <si>
    <t>Обеспечение эпизоотического, ветеринарно-санитарного благополучия в муниципальном образовании Апшеронский район</t>
  </si>
  <si>
    <t>61650</t>
  </si>
  <si>
    <t>Дорожное хозяйство (дорожные фонды)</t>
  </si>
  <si>
    <t>Муниципальная программа муниципального образования Апшеронский район "Поддержка дорожного хозяйства"</t>
  </si>
  <si>
    <t>12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</si>
  <si>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</si>
  <si>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</si>
  <si>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11300</t>
  </si>
  <si>
    <t>10</t>
  </si>
  <si>
    <t>11820</t>
  </si>
  <si>
    <t>Другие вопросы в области национальной экономики</t>
  </si>
  <si>
    <t>Муниципальная программа муниципального образования Апшеронский район "Экономическое развитие муниципального образования"</t>
  </si>
  <si>
    <t>Развитие малого и среднего предпринимательства в муниципальном образовании</t>
  </si>
  <si>
    <t>Финансовая поддержка субъектов малого и среднего предпринимательства</t>
  </si>
  <si>
    <t>Развитие и поддержка малого и среднего предпринимательства</t>
  </si>
  <si>
    <t>11400</t>
  </si>
  <si>
    <t>Инвестиционное развитие муниципального образования</t>
  </si>
  <si>
    <t>Создание условий для инвестиционного развития муниципального образования Апшеронский район</t>
  </si>
  <si>
    <t>Формирование и продвижение экономически и инвестиционно привлекательного образа муниципального образования Апшеронский район за его пределами</t>
  </si>
  <si>
    <t>11410</t>
  </si>
  <si>
    <t>Муниципальная программа муниципального образования Апшеронский район "Развитие санаторно-курортного и туристского комплекса"</t>
  </si>
  <si>
    <t xml:space="preserve">Реализация мероприятий муниципальной программы "Развитие санаторно-курортного и туристского комплекса" </t>
  </si>
  <si>
    <t>11500</t>
  </si>
  <si>
    <t>Социальная политика</t>
  </si>
  <si>
    <t>Социальное обеспечение и иные выплаты населению</t>
  </si>
  <si>
    <t>300</t>
  </si>
  <si>
    <t>Другие  вопросы в области социальной политики</t>
  </si>
  <si>
    <t>Межбюджетные трансферты</t>
  </si>
  <si>
    <t>500</t>
  </si>
  <si>
    <t>Профилактика терроризма и экстремизма в муниципальном образовании</t>
  </si>
  <si>
    <t>Организация физической охраны в здании администрации муниципального образования Апшеронский район</t>
  </si>
  <si>
    <t>Мероприятия по профилактике терроризма и экстремизма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</si>
  <si>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</si>
  <si>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</si>
  <si>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</t>
  </si>
  <si>
    <t>51</t>
  </si>
  <si>
    <t>Председатель Контрольно-счетной палаты муниципального образования</t>
  </si>
  <si>
    <t>Непрограммные расходы в рамках обеспечения деятельности Контрольно-счетной палаты муниципального образования</t>
  </si>
  <si>
    <t>Контрольно-счетная палата муниципального образования</t>
  </si>
  <si>
    <t>20010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</si>
  <si>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</si>
  <si>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</si>
  <si>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</si>
  <si>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</si>
  <si>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</si>
  <si>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</si>
  <si>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
1 03 02240 01 0000 110
1 03 02250 01 0000 110
1 03 02260 01 0000 110</t>
  </si>
  <si>
    <t>1 05 02000 02 0000 110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</si>
  <si>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</si>
  <si>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</si>
  <si>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</si>
  <si>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</si>
  <si>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</si>
  <si>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пошлина*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</si>
  <si>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</si>
  <si>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</si>
  <si>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</si>
  <si>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</si>
  <si>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1 11 07015 05 0000 120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</si>
  <si>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</si>
  <si>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</si>
  <si>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</si>
  <si>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</si>
  <si>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</si>
  <si>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</si>
  <si>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</si>
  <si>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Иные межбюджетные трансферты*</t>
  </si>
  <si>
    <t>Всего доходов</t>
  </si>
  <si>
    <t>Распределение бюджетных ассигнований по разделам и подразделам</t>
  </si>
  <si>
    <t>№ п/п</t>
  </si>
  <si>
    <t>Всего расходов</t>
  </si>
  <si>
    <t>в том числе: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</si>
  <si>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</si>
  <si>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</si>
  <si>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 </t>
  </si>
  <si>
    <t>0104</t>
  </si>
  <si>
    <t>0106</t>
  </si>
  <si>
    <t>0111</t>
  </si>
  <si>
    <t>0113</t>
  </si>
  <si>
    <t>0300</t>
  </si>
  <si>
    <t>0309</t>
  </si>
  <si>
    <t>0314</t>
  </si>
  <si>
    <t>0400</t>
  </si>
  <si>
    <t>0405</t>
  </si>
  <si>
    <t>0409</t>
  </si>
  <si>
    <t>0412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</si>
  <si>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</si>
  <si>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</si>
  <si>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</si>
  <si>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</si>
  <si>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</si>
  <si>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</si>
  <si>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</si>
  <si>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</si>
  <si>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</si>
  <si>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</si>
  <si>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</si>
  <si>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</si>
  <si>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</si>
  <si>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</si>
  <si>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</si>
  <si>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</si>
  <si>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</si>
  <si>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</si>
  <si>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</si>
  <si>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0902</t>
  </si>
  <si>
    <t>Амбулаторная помощь</t>
  </si>
  <si>
    <t>Охрана семьи и детства</t>
  </si>
  <si>
    <t>Другие вопросы в области социальной политики</t>
  </si>
  <si>
    <t xml:space="preserve">Физическая культура и спорт </t>
  </si>
  <si>
    <t>1102</t>
  </si>
  <si>
    <t>Массовый спорт</t>
  </si>
  <si>
    <t>1105</t>
  </si>
  <si>
    <t>Другие вопросы в области физической культуры и спорта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</si>
  <si>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</si>
  <si>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</si>
  <si>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</si>
  <si>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Капитальные вложения в объекты государственной (муниципальной) собственности</t>
  </si>
  <si>
    <t>400</t>
  </si>
  <si>
    <t>Муниципальная программа муниципального образования Апшеронский район "Развитие образования"</t>
  </si>
  <si>
    <t>Развитие дошкольного и общего образования детей</t>
  </si>
  <si>
    <t>Мероприятия по повышению уровня безопасности  муниципальных образовательных учреждений</t>
  </si>
  <si>
    <t>Реализация мероприятий муниципальной программы "Развитие образования"</t>
  </si>
  <si>
    <t>Мероприятия по профилактике детского дорожно-транспортного травматизма в муниципальных образовательных учреждениях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</si>
  <si>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</si>
  <si>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Развитие дополнительного образования детей</t>
  </si>
  <si>
    <t>Стипендии главы муниципального образования Апшеронский район для одаренных детей</t>
  </si>
  <si>
    <t>Обеспечение реализации муниципальной программы и прочие мероприятия в области образования</t>
  </si>
  <si>
    <t>Муниципальная программа муниципального образования Апшеронский район "Развитие культуры"</t>
  </si>
  <si>
    <t>Совершенствование деятельности муниципальных учреждений отрасли "Культура и искусство" по предоставлению муниципальных услуг</t>
  </si>
  <si>
    <t>Организация библиотечного обслуживания населения, комплектование библиотечных фондов библиотек поселения</t>
  </si>
  <si>
    <t>Обеспечение реализации муниципальной программы и прочие мероприятия в сфере культуры и искусства</t>
  </si>
  <si>
    <t>Муниципальная программа муниципального образования Апшеронский район "Развитие физической культуры и спорта"</t>
  </si>
  <si>
    <t>Развитие физической культуры и массового спорта</t>
  </si>
  <si>
    <t>Реализация мероприятий муниципальной программы "Развитие физической культуры и спорта"</t>
  </si>
  <si>
    <t>Управление реализацией муниципальной программы</t>
  </si>
  <si>
    <t>Муниципальная программа муниципального образования Апшеронский район "Развитие молодежной политики"</t>
  </si>
  <si>
    <t>Молодежь Апшеронского района</t>
  </si>
  <si>
    <t>Муниципальная программа муниципального образования Апшеронский район "Управление муниципальными финансами"</t>
  </si>
  <si>
    <t>07</t>
  </si>
  <si>
    <t>Муниципальная программа муниципального образования Апшеронский район "Управление муниципальным имуществом"</t>
  </si>
  <si>
    <t>08</t>
  </si>
  <si>
    <t>Повышение эффективности управления муниципальным имуществом и приватизации</t>
  </si>
  <si>
    <t>Оценка недвижимости, признание прав и регулирование отношений по муниципальной собственности</t>
  </si>
  <si>
    <t>Управление реализацией муниципальной программы и прочие мероприятия</t>
  </si>
  <si>
    <t xml:space="preserve">Муниципальная программа муниципального образования Апшеронский район "Социальная поддержка граждан" 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</si>
  <si>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</si>
  <si>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</si>
  <si>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Апшеронский район "Доступная среда"</t>
  </si>
  <si>
    <t>20</t>
  </si>
  <si>
    <t>Реализация мероприятий муниципальной программы "Доступная среда"</t>
  </si>
  <si>
    <t>Осуществление внешнего муниципального финансового контроля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</si>
  <si>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</si>
  <si>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</si>
  <si>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</si>
  <si>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</si>
  <si>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</si>
  <si>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</si>
  <si>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</si>
  <si>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</si>
  <si>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</si>
  <si>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</si>
  <si>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</si>
  <si>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</si>
  <si>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</si>
  <si>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</si>
  <si>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</si>
  <si>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</si>
  <si>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</si>
  <si>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</si>
  <si>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 xml:space="preserve"> (тыс.рублей)</t>
  </si>
  <si>
    <t>№                п/п</t>
  </si>
  <si>
    <t>1.</t>
  </si>
  <si>
    <t>Объем</t>
  </si>
  <si>
    <t>привлечение</t>
  </si>
  <si>
    <t>погашение основной суммы долга</t>
  </si>
  <si>
    <t>Бюджетные кредиты,  привлеченные в бюджет  муниципального образования  Апшеронский район от других  бюджетов бюджетной системы Российской Федерации, всего</t>
  </si>
  <si>
    <t>Дотации на выравнивание бюджетной обеспеченности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</si>
  <si>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</si>
  <si>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из них:</t>
  </si>
  <si>
    <t xml:space="preserve"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</si>
  <si>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муниципальные дошкольные образовательные организации</t>
  </si>
  <si>
    <t>муниципальные общеобразовательные организации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</si>
  <si>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</si>
  <si>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60070</t>
  </si>
  <si>
    <t>Оказание финансовой поддержки социально ориентированным некоммерческим организациям</t>
  </si>
  <si>
    <t>925</t>
  </si>
  <si>
    <t>Содействие развитию дошкольного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</si>
  <si>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</si>
  <si>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60820</t>
  </si>
  <si>
    <t>60860</t>
  </si>
  <si>
    <t>Обеспечение мероприятий по противодействию терроризму и экстремизму</t>
  </si>
  <si>
    <t>Содействие развитию общего образования</t>
  </si>
  <si>
    <t>10200</t>
  </si>
  <si>
    <t>10210</t>
  </si>
  <si>
    <t>10220</t>
  </si>
  <si>
    <t>62370</t>
  </si>
  <si>
    <t>Содействие развитию дополнительного образования детей</t>
  </si>
  <si>
    <t>Выявление и поддержка одаренных детей</t>
  </si>
  <si>
    <t xml:space="preserve">Стипендии главы муниципального образования Апшеронский район для одаренных детей </t>
  </si>
  <si>
    <t>00300</t>
  </si>
  <si>
    <t>12100</t>
  </si>
  <si>
    <t>Создание условий для полноценного и безопасного отдыха детей в каникулярное время</t>
  </si>
  <si>
    <t>Совершенствование управления реализацией Программы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</si>
  <si>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</si>
  <si>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60710</t>
  </si>
  <si>
    <t>Совершенствование социальной поддержки семьи и детей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</si>
  <si>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</si>
  <si>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934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</si>
  <si>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</si>
  <si>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 xml:space="preserve">Реализация мероприятий муниципальной программы "Развитие молодежной политики" </t>
  </si>
  <si>
    <t>10500</t>
  </si>
  <si>
    <t>929</t>
  </si>
  <si>
    <t>Формирование здорового образа жизни и гармоничное воспитание здорового,  физически крепкого поколения</t>
  </si>
  <si>
    <t>10400</t>
  </si>
  <si>
    <t xml:space="preserve">Массовый спорт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</si>
  <si>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</si>
  <si>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</si>
  <si>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</si>
  <si>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числе:</t>
  </si>
  <si>
    <t>953</t>
  </si>
  <si>
    <t>Муниципальная программа муниципального образования Апшеронский район "Социальная поддержка граждан"</t>
  </si>
  <si>
    <t>60840</t>
  </si>
  <si>
    <t>60670</t>
  </si>
  <si>
    <t>60680</t>
  </si>
  <si>
    <t>60720</t>
  </si>
  <si>
    <t>60730</t>
  </si>
  <si>
    <t>Другие вопросы в области социальной политики</t>
  </si>
  <si>
    <t>60880</t>
  </si>
  <si>
    <t>60900</t>
  </si>
  <si>
    <t>62340</t>
  </si>
  <si>
    <t>921</t>
  </si>
  <si>
    <t>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</t>
  </si>
  <si>
    <t>10800</t>
  </si>
  <si>
    <t>Повышение эффективности осуществления закупок товаров, работ, услуг для муниципальных нужд и нужд бюджетных учреждений муниципального образования</t>
  </si>
  <si>
    <t>Государственная поддержка решения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</si>
  <si>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</si>
  <si>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</si>
  <si>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Создание условий для эффективного управления в сфере развития системы управления муниципальным имуществом, находящимся в муниципальной собственности</t>
  </si>
  <si>
    <t>905</t>
  </si>
  <si>
    <t>Создание условий для эффективного и ответственного управления муниципальными финансами</t>
  </si>
  <si>
    <t xml:space="preserve">Выравнивание финансовых возможностей бюджетов </t>
  </si>
  <si>
    <t>Прочие субсидии</t>
  </si>
  <si>
    <t xml:space="preserve">Прочие субсидии бюджетам муниципальных районов, в том числе: </t>
  </si>
  <si>
    <t>Субсидии бюджетам бюджетной системы Российской Федерации (межбюджетные субсидии)*</t>
  </si>
  <si>
    <t>Создание условий для развития санаторно-курортного и туристского комплекса муниципального образования Апшеронский район</t>
  </si>
  <si>
    <t xml:space="preserve">Государственная пошлина  за выдачу разрешения на установку рекламной конструкции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</si>
  <si>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</si>
  <si>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01 02 00 00 05 0000 710</t>
  </si>
  <si>
    <t>1 11 02085 05 0000 120</t>
  </si>
  <si>
    <t>1 11 05075 05 0000 120</t>
  </si>
  <si>
    <t>1 14 02053 05 0000 440</t>
  </si>
  <si>
    <t xml:space="preserve">* В том числе по видам и подвидам доходов.  </t>
  </si>
  <si>
    <t xml:space="preserve">Наименование </t>
  </si>
  <si>
    <t>Перечень главных администраторов доходов районного бюджета и закрепляемые за ними                                                                                                                                                                                                                              виды (подвиды) доходов районного бюджета и перечень главных администраторов                                                                                                                                                                                                                                                     источников финансирования дефицита районного бюджета</t>
  </si>
  <si>
    <t>1 05 01000 00 0000 110</t>
  </si>
  <si>
    <t>Налог, взимаемый в связи с применением упрощенной системы налогообложения*</t>
  </si>
  <si>
    <t>Безвозмездные поступления</t>
  </si>
  <si>
    <t xml:space="preserve">* 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   </t>
  </si>
  <si>
    <t xml:space="preserve">                                Приложение № 2 к решению Совета муниципального образования</t>
  </si>
  <si>
    <t>926</t>
  </si>
  <si>
    <t xml:space="preserve"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 </t>
  </si>
  <si>
    <t>Реализация мероприятий муниципальной программы  "Развитие культуры"</t>
  </si>
  <si>
    <t>10300</t>
  </si>
  <si>
    <t>Содействие развитию библиотечного дела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</si>
  <si>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</si>
  <si>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20020</t>
  </si>
  <si>
    <t>Содействие развитию культурно-досуговых организаций</t>
  </si>
  <si>
    <t>Организация, проведение и участие в конкурсах, фестивалях, концертах, выставках, приемах, конференциях, форумах, акциях, праздниках, семинарах, экспедициях в рамках их организации и поддержки</t>
  </si>
  <si>
    <t xml:space="preserve">Другие вопросы в области культуры, кинематографии </t>
  </si>
  <si>
    <t>Физическая культура и спорт</t>
  </si>
  <si>
    <t>Обеспечение деятельности  муниципального казенного учреждения "Ситуационный центр "Комплексное обеспечение безопасности жизнедеятельности"</t>
  </si>
  <si>
    <t>Осуществление части полномочий по решению вопросов местного значения в соответствии с заключенными соглашениями</t>
  </si>
  <si>
    <t>Рз,Пр</t>
  </si>
  <si>
    <t>000 01 05 02 01 00 0000 510</t>
  </si>
  <si>
    <t>Сохранение и развитие традиционной народной культуры муниципального образования</t>
  </si>
  <si>
    <t xml:space="preserve">Сохранение и развитие традиционной народной культуры муниципального образования </t>
  </si>
  <si>
    <t>Единый налог на вмененный доход для отдельных видов деятельности</t>
  </si>
  <si>
    <t>10670</t>
  </si>
  <si>
    <t>10690</t>
  </si>
  <si>
    <t>10680</t>
  </si>
  <si>
    <t>Реализация полномочий в области строительства, архитектуры и градостроительства</t>
  </si>
  <si>
    <t>11430</t>
  </si>
  <si>
    <t>Другие вопросы в области жилищно-коммунального хозяйства</t>
  </si>
  <si>
    <t>Реализация полномочий органов местного самоуправления в соответствии с жилищным законодательством</t>
  </si>
  <si>
    <t>11870</t>
  </si>
  <si>
    <t>0505</t>
  </si>
  <si>
    <t>Муниципальная программа муниципального образования Апшеронский район «Развитие топливно-энергетического комплекса и жилищно-коммунального хозяйства»</t>
  </si>
  <si>
    <t xml:space="preserve"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 </t>
  </si>
  <si>
    <t>Коммунальное хозяйство</t>
  </si>
  <si>
    <t>Газификация населенных пунктов поселений муниципального образования Апшеронский район</t>
  </si>
  <si>
    <t>Реализация мероприятий по газификации населенных пунктов поселений муниципального образования Апшеронский район</t>
  </si>
  <si>
    <t>11110</t>
  </si>
  <si>
    <t>0502</t>
  </si>
  <si>
    <t>10820</t>
  </si>
  <si>
    <t>Выполнение других обязательств муниципального образования</t>
  </si>
  <si>
    <t>Содержание имущества, находящегося в муниципальной казне</t>
  </si>
  <si>
    <t>Основные мероприятия муниципальной программы</t>
  </si>
  <si>
    <t>Иные межбюджетные трансферты на организацию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</si>
  <si>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Иные межбюджетные трансферты на реализацию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</si>
  <si>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реализацию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</si>
  <si>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Иные межбюджетные трансферты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</si>
  <si>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                                Приложение № 1 к решению Совета муниципального образования</t>
  </si>
  <si>
    <t xml:space="preserve">                                Приложение № 3 к решению Совета муниципального образования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</si>
  <si>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</si>
  <si>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</si>
  <si>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</si>
  <si>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Федерации* 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</si>
  <si>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</si>
  <si>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</si>
  <si>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62500</t>
  </si>
  <si>
    <t>60590</t>
  </si>
  <si>
    <t>Реализация мероприятий государственной программы Краснодарского края "Дети Кубани"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</si>
  <si>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</si>
  <si>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01 06 05 02 05 0000 540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</si>
  <si>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</si>
  <si>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</si>
  <si>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</si>
  <si>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</si>
  <si>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</si>
  <si>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</si>
  <si>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2019 год</t>
  </si>
  <si>
    <t>0703</t>
  </si>
  <si>
    <t>Дополнительное образование детей</t>
  </si>
  <si>
    <t xml:space="preserve">Молодежная политика </t>
  </si>
  <si>
    <t>Информатизация деятельности органов местного самоуправления</t>
  </si>
  <si>
    <t>Мероприятия по информатизации администрации муниципального образования, ее отраслевых (функциональных) органов</t>
  </si>
  <si>
    <t>11840</t>
  </si>
  <si>
    <t>Обеспечение информационной открытости и доступности информации о деятельности органов местного самоуправления</t>
  </si>
  <si>
    <t>Пенсионное обеспечение</t>
  </si>
  <si>
    <t>11850</t>
  </si>
  <si>
    <t xml:space="preserve">Выплата пенсии за выслугу лет лицам, замещавшим муниципальные должности и муниципальные должности муниципальной службы в органах местного самоуправления 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</si>
  <si>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</si>
  <si>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 xml:space="preserve"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 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</si>
  <si>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</si>
  <si>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субвенции на 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</si>
  <si>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 xml:space="preserve"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 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</si>
  <si>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</si>
  <si>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</si>
  <si>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</si>
  <si>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</si>
  <si>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</si>
  <si>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Физическая культура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</si>
  <si>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</si>
  <si>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60960</t>
  </si>
  <si>
    <t>Содействие развитию спортивных организаций</t>
  </si>
  <si>
    <t>Меры государственной поддержки лиц, замещавших муниципальные должности и муниципальные должности муниципальной службы муниципального образования Апшеронский район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</si>
  <si>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</si>
  <si>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60580</t>
  </si>
  <si>
    <t>61020</t>
  </si>
  <si>
    <t>Условно утвержденные расходы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</si>
  <si>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</si>
  <si>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</si>
  <si>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1 16 42050 05 0000 140</t>
  </si>
  <si>
    <t xml:space="preserve">Денежные взыскания  (штрафы)  за нарушение   условий    договоров (соглашений)  о   предоставлении бюджетных   кредитов   за   счет средств  бюджетов  муниципальных районов
</t>
  </si>
  <si>
    <t>1 14 06025 05 0000 430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</si>
  <si>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</si>
  <si>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</si>
  <si>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Наименование кода группы, подгруппы, статьи, подвида, аналитической группы вида источников финансирования дефицитов бюджетов</t>
  </si>
  <si>
    <t xml:space="preserve">Программа муниципальных заимствований муниципального </t>
  </si>
  <si>
    <t>Вид заимствований</t>
  </si>
  <si>
    <t>Система комплексного обеспечения безопасности жизнедеятельности муниципального образования. Построение и развитие АПК "Безопасный город"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</si>
  <si>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</si>
  <si>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</si>
  <si>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</si>
  <si>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</si>
  <si>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</si>
  <si>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 учетом изменений</t>
  </si>
  <si>
    <t>10810</t>
  </si>
  <si>
    <t>Мероприятия по землеустройству и землепользованию</t>
  </si>
  <si>
    <t>Обеспечение строительства газопроводов на территории муниципального образования Апшеронский район</t>
  </si>
  <si>
    <t xml:space="preserve">                                Приложение № 5 к решению Совета муниципального образования</t>
  </si>
  <si>
    <t>Поддержка социально ориентированных некоммерческих организаций, осуществляющих свою деятельность в области физической культуры и спорта</t>
  </si>
  <si>
    <t>20030</t>
  </si>
  <si>
    <t>Осуществление части полномочий по исполнению бюджета поселения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</si>
  <si>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</si>
  <si>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</si>
  <si>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</si>
  <si>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</t>
  </si>
  <si>
    <t>Прочие обязательства муниципального образования</t>
  </si>
  <si>
    <t>Субсидия бюджетам муниципальных районов на поддержку отрасли культуры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</si>
  <si>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</si>
  <si>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</si>
  <si>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</si>
  <si>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</si>
  <si>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</si>
  <si>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Начальник Финансового управления</t>
  </si>
  <si>
    <t xml:space="preserve">администрации муниципального образования </t>
  </si>
  <si>
    <t>Апшеронский район</t>
  </si>
  <si>
    <t>2020 год</t>
  </si>
  <si>
    <t xml:space="preserve">                                Приложение № 6 к решению Совета муниципального образования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</si>
  <si>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</si>
  <si>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субвенции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</si>
  <si>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 xml:space="preserve">субвенции на осуществление отдельных государственных полномочий по строительству, в том числе в рамках реализации региональной программы "Модернизация здравоохранения Краснодарского края на 2011-2017 годы",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организациях) в Краснодарском крае 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</si>
  <si>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</si>
  <si>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</si>
  <si>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 xml:space="preserve"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производимые на территории Российской Федерации, подлежащие зачислению в бюджет субъекта Российской Федерации*
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</si>
  <si>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</si>
  <si>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</si>
  <si>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изменения</t>
  </si>
  <si>
    <t>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</si>
  <si>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</si>
  <si>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</si>
  <si>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своевременности и полноты исполнения долговых обязательств муниципального образования</t>
  </si>
  <si>
    <t>Процентные платежи по муниципальному долгу</t>
  </si>
  <si>
    <t>11810</t>
  </si>
  <si>
    <t>Обслуживание государственного (муниципального) долга</t>
  </si>
  <si>
    <t>700</t>
  </si>
  <si>
    <t>11880</t>
  </si>
  <si>
    <t>Материально-техническое обеспечение деятельности органов местного самоуправления муниципального образования</t>
  </si>
  <si>
    <t>Иные межбюджетные трансферты на реализацию полномочий органов местного самоуправления в сфере архитектуры и градостроительства</t>
  </si>
  <si>
    <t>09020</t>
  </si>
  <si>
    <t>Осуществление муниципальными учреждениями капитального ремонта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</si>
  <si>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</si>
  <si>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</si>
  <si>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</si>
  <si>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</si>
  <si>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</si>
  <si>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</si>
  <si>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</si>
  <si>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</si>
  <si>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</si>
  <si>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</si>
  <si>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1300</t>
  </si>
  <si>
    <t>1301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</si>
  <si>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</si>
  <si>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</si>
  <si>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Судебная система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</si>
  <si>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</si>
  <si>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</si>
  <si>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</si>
  <si>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1 13 00000 00 0000 000</t>
  </si>
  <si>
    <t xml:space="preserve">                                Приложение № 13 к решению Совета муниципального образования</t>
  </si>
  <si>
    <t>S0590</t>
  </si>
  <si>
    <t>О.В.Чуйко</t>
  </si>
  <si>
    <t>0105</t>
  </si>
  <si>
    <t>S0570</t>
  </si>
  <si>
    <t>Реализация мероприятий государственной программы Краснодарского края "Развитие санаторно-курортного и туристского комплекса"</t>
  </si>
  <si>
    <t>субсидии на реализацию мероприятий государственной программы Краснодарского края "Развитие санаторно-курортного и туристского комплекса"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</si>
  <si>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</si>
  <si>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                               Приложение № 4 к решению Совета муниципального образования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</si>
  <si>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</si>
  <si>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60740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</si>
  <si>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</si>
  <si>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 xml:space="preserve">                                Приложение № 8 к решению Совета муниципального образования</t>
  </si>
  <si>
    <t xml:space="preserve">                                Приложение № 10 к решению Совета муниципального образования</t>
  </si>
  <si>
    <t xml:space="preserve">                                Приложение № 9 к решению Совета муниципального образования</t>
  </si>
  <si>
    <t>2 02 29999 05 0000 150</t>
  </si>
  <si>
    <t>2 02 30024 05 0000 150</t>
  </si>
  <si>
    <t>2 02 35120 05 0000 150</t>
  </si>
  <si>
    <t>2 02 15001 05 0000 150</t>
  </si>
  <si>
    <t>2 02 15002 05 0000 150</t>
  </si>
  <si>
    <t>2 02 40014 05 0000 150</t>
  </si>
  <si>
    <t>2 02 35082 05 0000 150</t>
  </si>
  <si>
    <t>2 02 39999 05 0000 150</t>
  </si>
  <si>
    <t>2 02 49999 05 0000 150</t>
  </si>
  <si>
    <t>2 02 20051 05 0000 150</t>
  </si>
  <si>
    <t>2 02 30029 05 0000 150</t>
  </si>
  <si>
    <t>2 02 25519 05 0000 150</t>
  </si>
  <si>
    <t>2 02 30027 05 0000 150</t>
  </si>
  <si>
    <t>Объем поступлений доходов в районный бюджет по кодам видов (подвидов) доходов на 2019 год</t>
  </si>
  <si>
    <t>2021 год</t>
  </si>
  <si>
    <t>Безвозмездные поступления из краевого бюджета в 2019 году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</si>
  <si>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</si>
  <si>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</si>
  <si>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</si>
  <si>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</si>
  <si>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</si>
  <si>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</si>
  <si>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2 02 30027 00 0000 150</t>
  </si>
  <si>
    <t>2 02 30029 00 0000 150</t>
  </si>
  <si>
    <t>2 02 35120 00 0000 150</t>
  </si>
  <si>
    <t>2 18 60010 05 0000 150</t>
  </si>
  <si>
    <t>2 18 05010 05 0000 150</t>
  </si>
  <si>
    <t>2 19 60010 05 0000 150</t>
  </si>
  <si>
    <t>субвенции на осуществление управленческих функций органами местного самоуправления по реализации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</si>
  <si>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</si>
  <si>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</si>
  <si>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муниципальные дошкольные образовательные организации, общеобразовательные организации, организации дополнительного образования (в области образования)</t>
  </si>
  <si>
    <t xml:space="preserve">субсидии на организацию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 </t>
  </si>
  <si>
    <t>Доходы от оказания платных услуг и компенсации затрат государства*</t>
  </si>
  <si>
    <t>2 07 05010 05 0000 150</t>
  </si>
  <si>
    <t>2 07 05020 05 0000 150</t>
  </si>
  <si>
    <t>2 07 05030 05 0000 150</t>
  </si>
  <si>
    <t>2 08 05000 05 0000 150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</si>
  <si>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</si>
  <si>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</si>
  <si>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классификации расходов бюджетов на 2019 год</t>
  </si>
  <si>
    <t>классификации расходов бюджетов на 2020 и 2021 годы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</si>
  <si>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на 2019 год</t>
  </si>
  <si>
    <t xml:space="preserve">                                Приложение № 11 к решению Совета муниципального образования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</si>
  <si>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и 2021 годы</t>
  </si>
  <si>
    <t>Ведомственная структура расходов районного бюджета на 2019 год</t>
  </si>
  <si>
    <t xml:space="preserve">                                Приложение № 12 к решению Совета муниципального образования</t>
  </si>
  <si>
    <t>Ведомственная структура расходов районного бюджета на 2020 и 2021 годы</t>
  </si>
  <si>
    <t xml:space="preserve">                                Приложение № 14 к решению Совета муниципального образования</t>
  </si>
  <si>
    <t>Источники внутреннего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2019 год</t>
  </si>
  <si>
    <t xml:space="preserve">                                Приложение № 15 к решению Совета муниципального образования</t>
  </si>
  <si>
    <t>Источники внутреннего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2020 и 2021 годы</t>
  </si>
  <si>
    <t xml:space="preserve">                                Приложение № 20 к решению Совета муниципального образования</t>
  </si>
  <si>
    <t>образования Апшеронский  район на 2019 год и на плановый период 2020 и 2021 годов</t>
  </si>
  <si>
    <r>
      <t xml:space="preserve">Раздел 1. </t>
    </r>
    <r>
      <rPr>
        <sz val="14"/>
        <rFont val="Times New Roman"/>
        <family val="1"/>
        <charset val="204"/>
      </rPr>
      <t>Программа муниципальных заимствований муниципального образования Апшеронский район на 2019 год</t>
    </r>
  </si>
  <si>
    <r>
      <t xml:space="preserve">Раздел 2. </t>
    </r>
    <r>
      <rPr>
        <sz val="14"/>
        <rFont val="Times New Roman"/>
        <family val="1"/>
        <charset val="204"/>
      </rPr>
      <t>Программа муниципальных заимствований муниципального образования Апшеронский  район на 2020 и 2021 годы</t>
    </r>
  </si>
  <si>
    <t xml:space="preserve">Департамент потребительской сферы и регулирования рынка алкоголя Краснодарского края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</si>
  <si>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</si>
  <si>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Министерство экономики Краснодарского края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</si>
  <si>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</si>
  <si>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</si>
  <si>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Министерство сельского хозяйства и перерабатывающей промышленности Краснодарского края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</si>
  <si>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</si>
  <si>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 xml:space="preserve">Департамент имущественных отношений Краснодарского края </t>
  </si>
  <si>
    <t>1 16 51030 02 0000 140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</si>
  <si>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  </t>
  </si>
  <si>
    <t>Министерство здравоохранения Краснодарского края</t>
  </si>
  <si>
    <t>Министерство труда и социального развития Краснодарского края</t>
  </si>
  <si>
    <t>Департамент ветеринарии Краснодарского края</t>
  </si>
  <si>
    <t>Департамент по надзору в строительной сфере Краснодарского края</t>
  </si>
  <si>
    <t>Государственная жилищная инспекция Краснодарского края</t>
  </si>
  <si>
    <t>Министерство природных ресурсов Краснодарского края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</si>
  <si>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</si>
  <si>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</si>
  <si>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</si>
  <si>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</si>
  <si>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</si>
  <si>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</si>
  <si>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</si>
  <si>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</si>
  <si>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</si>
  <si>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</si>
  <si>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</si>
  <si>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</si>
  <si>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</si>
  <si>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</si>
  <si>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</si>
  <si>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</si>
  <si>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10700</t>
  </si>
  <si>
    <t>Осуществление переданных государственных полномочий по строительству и реконструкции объектов здравоохранения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</si>
  <si>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</si>
  <si>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</si>
  <si>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2 02 40000 00 0000 150</t>
  </si>
  <si>
    <t>Меры социальной поддержки отдельным категориям работников здравоохранения</t>
  </si>
  <si>
    <t>Пособия, компенсации, меры социальной поддержки по публичным нормативным обязательствам</t>
  </si>
  <si>
    <t xml:space="preserve">Компенсация за наём жилых помещений отдельным категориям работников, являющихся работниками учреждений здравоохранения </t>
  </si>
  <si>
    <t>10130</t>
  </si>
  <si>
    <t>до изменений (скрыть)</t>
  </si>
  <si>
    <t>Апшеронский район от 27.12.2018 № 286</t>
  </si>
  <si>
    <t>11860</t>
  </si>
  <si>
    <t>Содержание муниципального архива</t>
  </si>
  <si>
    <t>С0820</t>
  </si>
  <si>
    <t xml:space="preserve">                                Приложение № 7 к решению Совета муниципального образования</t>
  </si>
  <si>
    <t>00400</t>
  </si>
  <si>
    <t>Мероприятия по организации отдыха детей в каникулярное время</t>
  </si>
  <si>
    <t>L5190</t>
  </si>
  <si>
    <t>S0060</t>
  </si>
  <si>
    <t>Поддержка отрасли культуры</t>
  </si>
  <si>
    <t>Мероприятия по предупреждению и ликвидации чрезвычайных ситуаций</t>
  </si>
  <si>
    <t>Укрепление правопорядка, профилактика правонарушений, усиление борьбы с преступностью в муниципальном образовании</t>
  </si>
  <si>
    <t>Повышение эффективности мер, принимаемых для охраны общественного порядка и профилактики правонарушений  в муниципальном образовании</t>
  </si>
  <si>
    <t>Субсидия бюджетам на поддержку отрасли культуры</t>
  </si>
  <si>
    <t>2 02 25519 00 0000 150</t>
  </si>
  <si>
    <t>1 13 02065 05 0000 130</t>
  </si>
  <si>
    <t xml:space="preserve">субсидии в целях софинансирования расходных обязательств муниципальных образований Краснодарского края по участию в предупреждении и ликвидации чрезвычайной ситуации 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</si>
  <si>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</si>
  <si>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</si>
  <si>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</si>
  <si>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Е1</t>
  </si>
  <si>
    <t>51690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</si>
  <si>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</si>
  <si>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>Федеральный проект "Современная школа"</t>
  </si>
  <si>
    <t>S0600</t>
  </si>
  <si>
    <t>Реализация мероприятий государственной программы Краснодарского края "Развитие образования"</t>
  </si>
  <si>
    <t>S2620</t>
  </si>
  <si>
    <t xml:space="preserve">субсидии на софинансирование расходных обязательств муниципальных образований Краснодарского края по организации предоставления дополнительного образования детям в муниципальных образовательных организациях, за исключением дополнительного образования детей, финансовое обеспечение которого осуществляется органами государственной власти Краснодарского края (проведение медицинских осмотров лиц, занимающихся физической культурой и спортом по углубленной программе медицинского обследования) </t>
  </si>
  <si>
    <t>2 02 25169 05 0000 150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</si>
  <si>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</si>
  <si>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</si>
  <si>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</si>
  <si>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Строительство малобюджетных спортивных залов шаговой доступности</t>
  </si>
  <si>
    <t>2 02 20077 05 0000 150</t>
  </si>
  <si>
    <t>Субсидии бюджетам муниципальных районов на софинансирование капитальных вложений в обьекты муниципальной собственности</t>
  </si>
  <si>
    <t>Дотации бюджетам на поддержку мер по обеспечению сбалансированности бюджетов</t>
  </si>
  <si>
    <t>2 02 15002 00 0000 150</t>
  </si>
  <si>
    <t>10710</t>
  </si>
  <si>
    <t>Дотации на поддержку мер по обеспечению сбалансированности бюджетов поселений</t>
  </si>
  <si>
    <t>11420</t>
  </si>
  <si>
    <t>Реализация мероприятий в области строительства, архитектуры и градостроительства</t>
  </si>
  <si>
    <t>Построение и развитие АПК "Безопасный город" и системы "112"</t>
  </si>
  <si>
    <t>Создание условий для организации досуга и обеспечения жителей услугами организаций культуры</t>
  </si>
  <si>
    <t>S0560</t>
  </si>
  <si>
    <t>11310</t>
  </si>
  <si>
    <t>Ликвидация последствий чрезвычайных ситуаций на автомобильных дорогах общего пользования местного значения муниципального образования Апшеронский район</t>
  </si>
  <si>
    <t>S0620</t>
  </si>
  <si>
    <t>Субсидии бюджетам на софинансирование капитальных вложений в объекты муниципальной собственности</t>
  </si>
  <si>
    <t>2 02 20077 00 0000 150</t>
  </si>
  <si>
    <t>Организация газоснабжения (поселений) населения</t>
  </si>
  <si>
    <t>Иные дотации</t>
  </si>
  <si>
    <t xml:space="preserve">субсидии на создание условий для организации досуга и обеспечение жителей услугами организаций культуры </t>
  </si>
  <si>
    <t>субсидии на софинансирование расходных обязательств, связанных со строительством малобюджетных спортивных залов шаговой доступности в целях обеспечения условий для развития на территориях муниципальных образований физической культуры и массового спорта</t>
  </si>
  <si>
    <t>субсидии на организацию газоснабжения населения (поселений)</t>
  </si>
  <si>
    <t>90020</t>
  </si>
  <si>
    <t>Иные межбюджетные трансферты за счет средств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</si>
  <si>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</si>
  <si>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</si>
  <si>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</si>
  <si>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</si>
  <si>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субсидии на реализацию мероприятий государственной программы Краснодарского края "Развитие образования"</t>
  </si>
  <si>
    <t>S0050</t>
  </si>
  <si>
    <t>10830</t>
  </si>
  <si>
    <t>Внесение вкладов в имущество</t>
  </si>
  <si>
    <t>Внесение вкладов в имущество ООО "Тепловые сети Апшеронского района"</t>
  </si>
  <si>
    <t>10860</t>
  </si>
  <si>
    <t>Реализация мероприятий муниципальной программы "Управление муниципальным имуществом</t>
  </si>
  <si>
    <t>М0050</t>
  </si>
  <si>
    <t>Решение социально значимых вопросов местного значения</t>
  </si>
  <si>
    <t>S1690</t>
  </si>
  <si>
    <t>Дополнительная помощь местным бюджетам для решения социально значимых вопросов местного значения</t>
  </si>
  <si>
    <t>субсидии на дополнительную помощь местным бюджетам для решения социально значимых вопросов местного значения</t>
  </si>
  <si>
    <t>S2690</t>
  </si>
  <si>
    <t>S2830</t>
  </si>
  <si>
    <t>Приобретение спортивно-технологического оборудования, инвентаря и экипировки для физкультурно-спортивных организаций отрасли "Физическая культура и спорт", осуществляющих спортивную подготовку по базовым видам спорта</t>
  </si>
  <si>
    <t>Реализация мероприятий, направленных на финансирование муниципальных организаций отрасли "Физическая культура и спорт",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</t>
  </si>
  <si>
    <t>субсидии на приобретение спортивно-технологического оборудования, инвентаря и экипировки для физкультурно-спортивных организаций отрасли "Физическая культура и спорт", осуществляющих спортивную подготовку по базовым видам спорта</t>
  </si>
  <si>
    <t>субсидии на реализацию мероприятий, направленных на финансирование муниципальных организаций отрасли "Физическая культура и спорт",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</t>
  </si>
  <si>
    <t>S2820</t>
  </si>
  <si>
    <t>Оплата труда инструкторов по спорту в муниципальных образованиях Краснодарского края</t>
  </si>
  <si>
    <t>субсидии на оплату труда инструкторов по спорту в муниципальных образованиях Краснодарского края</t>
  </si>
  <si>
    <t>Субсидии бюджетам муниципальных районов на софинансирование капитальных вложений в объекты муниципальной собственности, в том числе: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</si>
  <si>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</si>
  <si>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указанной государственной итоговой аттестации</t>
  </si>
  <si>
    <t>Апшеронский район от 19.09.2019 № 344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</si>
</sst>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_ ;[Red]\-0.0\ "/>
    <numFmt numFmtId="168" formatCode="#,##0.00000"/>
    <numFmt numFmtId="169" formatCode="0.000000"/>
    <numFmt numFmtId="170" formatCode="0.00000_ ;[Red]\-0.00000\ "/>
    <numFmt numFmtId="171" formatCode="_-* #,##0.00000_р_._-;\-* #,##0.00000_р_._-;_-* &quot;-&quot;?????_р_._-;_-@_-"/>
    <numFmt numFmtId="172" formatCode="#,##0.0_ ;\-#,##0.0\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</font>
    <font>
      <b/>
      <i/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2060"/>
      <name val="Times New Roman"/>
      <family val="1"/>
    </font>
    <font>
      <sz val="12"/>
      <color rgb="FF002060"/>
      <name val="Times New Roman"/>
      <family val="1"/>
    </font>
    <font>
      <sz val="14"/>
      <color theme="6" tint="-0.249977111117893"/>
      <name val="Times New Roman"/>
      <family val="1"/>
      <charset val="204"/>
    </font>
    <font>
      <sz val="11"/>
      <color theme="6" tint="-0.249977111117893"/>
      <name val="Calibri"/>
      <family val="2"/>
      <scheme val="minor"/>
    </font>
    <font>
      <sz val="14"/>
      <color theme="6" tint="-0.249977111117893"/>
      <name val="Times New Roman"/>
      <family val="1"/>
    </font>
    <font>
      <b/>
      <sz val="14"/>
      <color theme="6" tint="-0.249977111117893"/>
      <name val="Times New Roman"/>
      <family val="1"/>
    </font>
    <font>
      <sz val="12"/>
      <color theme="6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0">
    <xf numFmtId="0" fontId="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11" fillId="0" borderId="0"/>
    <xf numFmtId="0" fontId="11" fillId="0" borderId="0"/>
    <xf numFmtId="41" fontId="22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6" fillId="0" borderId="0"/>
  </cellStyleXfs>
  <cellXfs count="809">
    <xf numFmtId="0" fontId="0" fillId="0" borderId="0" xfId="0"/>
    <xf numFmtId="0" fontId="5" fillId="0" borderId="0" xfId="0" applyFont="1" applyFill="1" applyAlignment="1">
      <alignment horizontal="right"/>
    </xf>
    <xf numFmtId="0" fontId="14" fillId="0" borderId="0" xfId="3" applyFont="1" applyFill="1"/>
    <xf numFmtId="0" fontId="3" fillId="0" borderId="0" xfId="3" applyFont="1" applyFill="1"/>
    <xf numFmtId="0" fontId="3" fillId="0" borderId="1" xfId="3" applyFont="1" applyFill="1" applyBorder="1" applyAlignment="1">
      <alignment horizontal="center" wrapText="1"/>
    </xf>
    <xf numFmtId="0" fontId="4" fillId="0" borderId="1" xfId="3" applyFont="1" applyFill="1" applyBorder="1" applyAlignment="1"/>
    <xf numFmtId="0" fontId="3" fillId="0" borderId="1" xfId="3" applyFont="1" applyFill="1" applyBorder="1" applyAlignment="1">
      <alignment horizontal="left"/>
    </xf>
    <xf numFmtId="164" fontId="3" fillId="0" borderId="1" xfId="3" applyNumberFormat="1" applyFont="1" applyFill="1" applyBorder="1" applyAlignment="1">
      <alignment horizontal="right" wrapText="1"/>
    </xf>
    <xf numFmtId="0" fontId="4" fillId="0" borderId="1" xfId="3" applyFont="1" applyFill="1" applyBorder="1" applyAlignment="1">
      <alignment wrapText="1"/>
    </xf>
    <xf numFmtId="164" fontId="4" fillId="0" borderId="1" xfId="3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0" fontId="5" fillId="0" borderId="1" xfId="3" applyFont="1" applyFill="1" applyBorder="1" applyAlignment="1">
      <alignment wrapText="1"/>
    </xf>
    <xf numFmtId="164" fontId="5" fillId="0" borderId="1" xfId="3" applyNumberFormat="1" applyFont="1" applyFill="1" applyBorder="1" applyAlignment="1">
      <alignment horizontal="right" wrapText="1"/>
    </xf>
    <xf numFmtId="164" fontId="14" fillId="0" borderId="0" xfId="3" applyNumberFormat="1" applyFont="1" applyFill="1"/>
    <xf numFmtId="0" fontId="15" fillId="0" borderId="0" xfId="3" applyFont="1" applyFill="1"/>
    <xf numFmtId="164" fontId="6" fillId="0" borderId="1" xfId="3" applyNumberFormat="1" applyFont="1" applyFill="1" applyBorder="1" applyAlignment="1">
      <alignment horizontal="right" wrapText="1"/>
    </xf>
    <xf numFmtId="49" fontId="5" fillId="0" borderId="1" xfId="9" applyNumberFormat="1" applyFont="1" applyFill="1" applyBorder="1" applyAlignment="1">
      <alignment wrapText="1"/>
    </xf>
    <xf numFmtId="49" fontId="3" fillId="0" borderId="1" xfId="7" applyNumberFormat="1" applyFont="1" applyFill="1" applyBorder="1" applyAlignment="1">
      <alignment horizontal="left" wrapText="1"/>
    </xf>
    <xf numFmtId="164" fontId="4" fillId="0" borderId="1" xfId="3" applyNumberFormat="1" applyFont="1" applyFill="1" applyBorder="1" applyAlignment="1"/>
    <xf numFmtId="164" fontId="3" fillId="0" borderId="1" xfId="3" applyNumberFormat="1" applyFont="1" applyFill="1" applyBorder="1" applyAlignment="1"/>
    <xf numFmtId="166" fontId="3" fillId="0" borderId="0" xfId="7" applyNumberFormat="1" applyFont="1" applyFill="1" applyAlignment="1">
      <alignment horizontal="right"/>
    </xf>
    <xf numFmtId="0" fontId="10" fillId="0" borderId="0" xfId="7" applyFont="1" applyFill="1"/>
    <xf numFmtId="166" fontId="10" fillId="0" borderId="0" xfId="7" applyNumberFormat="1" applyFont="1" applyFill="1"/>
    <xf numFmtId="49" fontId="16" fillId="0" borderId="0" xfId="7" applyNumberFormat="1" applyFont="1" applyFill="1" applyBorder="1" applyAlignment="1">
      <alignment vertical="top" wrapText="1"/>
    </xf>
    <xf numFmtId="49" fontId="10" fillId="0" borderId="0" xfId="7" applyNumberFormat="1" applyFont="1" applyFill="1" applyBorder="1" applyAlignment="1">
      <alignment horizontal="center"/>
    </xf>
    <xf numFmtId="49" fontId="13" fillId="0" borderId="0" xfId="7" applyNumberFormat="1" applyFont="1" applyFill="1" applyBorder="1" applyAlignment="1">
      <alignment horizontal="center"/>
    </xf>
    <xf numFmtId="164" fontId="4" fillId="0" borderId="0" xfId="7" applyNumberFormat="1" applyFont="1" applyFill="1" applyBorder="1" applyAlignment="1"/>
    <xf numFmtId="0" fontId="18" fillId="0" borderId="0" xfId="3" applyFont="1" applyFill="1"/>
    <xf numFmtId="0" fontId="10" fillId="0" borderId="0" xfId="3" applyFont="1" applyFill="1"/>
    <xf numFmtId="168" fontId="3" fillId="0" borderId="0" xfId="7" applyNumberFormat="1" applyFont="1" applyFill="1" applyBorder="1" applyAlignment="1">
      <alignment horizontal="right"/>
    </xf>
    <xf numFmtId="166" fontId="18" fillId="0" borderId="0" xfId="3" applyNumberFormat="1" applyFont="1" applyFill="1"/>
    <xf numFmtId="169" fontId="4" fillId="0" borderId="0" xfId="3" applyNumberFormat="1" applyFont="1" applyFill="1"/>
    <xf numFmtId="0" fontId="16" fillId="0" borderId="0" xfId="3" applyFont="1" applyFill="1"/>
    <xf numFmtId="171" fontId="16" fillId="0" borderId="0" xfId="3" applyNumberFormat="1" applyFont="1" applyFill="1"/>
    <xf numFmtId="166" fontId="16" fillId="0" borderId="0" xfId="3" applyNumberFormat="1" applyFont="1" applyFill="1" applyAlignment="1">
      <alignment shrinkToFit="1"/>
    </xf>
    <xf numFmtId="166" fontId="5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Fill="1" applyBorder="1" applyAlignment="1">
      <alignment horizontal="center" vertical="top"/>
    </xf>
    <xf numFmtId="49" fontId="5" fillId="0" borderId="1" xfId="3" applyNumberFormat="1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vertical="top"/>
    </xf>
    <xf numFmtId="0" fontId="6" fillId="0" borderId="1" xfId="3" applyFont="1" applyFill="1" applyBorder="1" applyAlignment="1">
      <alignment horizontal="center" vertical="top" wrapText="1"/>
    </xf>
    <xf numFmtId="0" fontId="14" fillId="0" borderId="1" xfId="3" applyFont="1" applyFill="1" applyBorder="1" applyAlignment="1">
      <alignment vertical="top"/>
    </xf>
    <xf numFmtId="171" fontId="18" fillId="0" borderId="0" xfId="3" applyNumberFormat="1" applyFont="1" applyFill="1"/>
    <xf numFmtId="10" fontId="3" fillId="0" borderId="0" xfId="3" applyNumberFormat="1" applyFont="1" applyFill="1"/>
    <xf numFmtId="0" fontId="5" fillId="0" borderId="1" xfId="7" applyFont="1" applyFill="1" applyBorder="1" applyAlignment="1">
      <alignment horizontal="center"/>
    </xf>
    <xf numFmtId="1" fontId="5" fillId="0" borderId="1" xfId="7" applyNumberFormat="1" applyFont="1" applyFill="1" applyBorder="1" applyAlignment="1">
      <alignment horizontal="center"/>
    </xf>
    <xf numFmtId="0" fontId="5" fillId="0" borderId="0" xfId="7" applyFont="1" applyFill="1"/>
    <xf numFmtId="0" fontId="5" fillId="0" borderId="1" xfId="3" applyFont="1" applyFill="1" applyBorder="1" applyAlignment="1">
      <alignment horizontal="center" vertical="top" wrapText="1"/>
    </xf>
    <xf numFmtId="0" fontId="5" fillId="0" borderId="9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wrapText="1"/>
    </xf>
    <xf numFmtId="0" fontId="23" fillId="0" borderId="0" xfId="0" applyFont="1" applyFill="1"/>
    <xf numFmtId="0" fontId="6" fillId="0" borderId="5" xfId="3" applyFont="1" applyFill="1" applyBorder="1" applyAlignment="1">
      <alignment horizontal="center" vertical="top"/>
    </xf>
    <xf numFmtId="0" fontId="6" fillId="0" borderId="12" xfId="3" applyFont="1" applyFill="1" applyBorder="1" applyAlignment="1">
      <alignment horizontal="center" vertical="top"/>
    </xf>
    <xf numFmtId="0" fontId="5" fillId="0" borderId="12" xfId="3" applyFont="1" applyFill="1" applyBorder="1" applyAlignment="1">
      <alignment horizontal="center" vertical="top"/>
    </xf>
    <xf numFmtId="0" fontId="3" fillId="0" borderId="1" xfId="3" applyFont="1" applyFill="1" applyBorder="1" applyAlignment="1"/>
    <xf numFmtId="49" fontId="3" fillId="0" borderId="3" xfId="0" applyNumberFormat="1" applyFont="1" applyFill="1" applyBorder="1" applyAlignment="1">
      <alignment wrapText="1"/>
    </xf>
    <xf numFmtId="49" fontId="4" fillId="0" borderId="1" xfId="7" applyNumberFormat="1" applyFont="1" applyFill="1" applyBorder="1" applyAlignment="1">
      <alignment horizontal="left" wrapText="1"/>
    </xf>
    <xf numFmtId="0" fontId="5" fillId="0" borderId="13" xfId="3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top"/>
    </xf>
    <xf numFmtId="0" fontId="6" fillId="0" borderId="8" xfId="3" applyFont="1" applyFill="1" applyBorder="1" applyAlignment="1">
      <alignment vertical="top" wrapText="1"/>
    </xf>
    <xf numFmtId="0" fontId="6" fillId="0" borderId="11" xfId="3" applyFont="1" applyFill="1" applyBorder="1" applyAlignment="1">
      <alignment wrapText="1"/>
    </xf>
    <xf numFmtId="0" fontId="5" fillId="0" borderId="11" xfId="3" applyFont="1" applyFill="1" applyBorder="1" applyAlignment="1">
      <alignment wrapText="1"/>
    </xf>
    <xf numFmtId="0" fontId="3" fillId="0" borderId="0" xfId="7" applyFont="1" applyFill="1" applyBorder="1" applyAlignment="1">
      <alignment horizontal="left"/>
    </xf>
    <xf numFmtId="0" fontId="3" fillId="0" borderId="0" xfId="7" applyFont="1" applyFill="1" applyAlignment="1">
      <alignment horizontal="left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2" fontId="3" fillId="0" borderId="0" xfId="3" applyNumberFormat="1" applyFont="1" applyFill="1" applyAlignment="1">
      <alignment horizontal="center"/>
    </xf>
    <xf numFmtId="0" fontId="6" fillId="0" borderId="11" xfId="3" applyFont="1" applyFill="1" applyBorder="1" applyAlignment="1">
      <alignment vertical="top" wrapText="1"/>
    </xf>
    <xf numFmtId="0" fontId="5" fillId="0" borderId="11" xfId="3" applyFont="1" applyFill="1" applyBorder="1" applyAlignment="1">
      <alignment vertical="top" wrapText="1"/>
    </xf>
    <xf numFmtId="0" fontId="21" fillId="2" borderId="0" xfId="0" applyFont="1" applyFill="1"/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/>
    </xf>
    <xf numFmtId="166" fontId="21" fillId="2" borderId="0" xfId="0" applyNumberFormat="1" applyFont="1" applyFill="1" applyBorder="1" applyAlignment="1"/>
    <xf numFmtId="166" fontId="10" fillId="2" borderId="0" xfId="0" applyNumberFormat="1" applyFont="1" applyFill="1" applyAlignment="1">
      <alignment horizontal="center"/>
    </xf>
    <xf numFmtId="0" fontId="10" fillId="2" borderId="0" xfId="0" applyFont="1" applyFill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49" fontId="3" fillId="2" borderId="3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6" fillId="2" borderId="0" xfId="0" applyFont="1" applyFill="1"/>
    <xf numFmtId="49" fontId="3" fillId="2" borderId="3" xfId="4" applyNumberFormat="1" applyFont="1" applyFill="1" applyBorder="1" applyAlignment="1" applyProtection="1">
      <alignment horizontal="left" wrapText="1"/>
      <protection hidden="1"/>
    </xf>
    <xf numFmtId="49" fontId="3" fillId="2" borderId="3" xfId="5" applyNumberFormat="1" applyFont="1" applyFill="1" applyBorder="1" applyAlignment="1">
      <alignment horizontal="left" wrapText="1"/>
    </xf>
    <xf numFmtId="49" fontId="3" fillId="2" borderId="3" xfId="6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wrapText="1"/>
    </xf>
    <xf numFmtId="49" fontId="3" fillId="2" borderId="3" xfId="5" applyNumberFormat="1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2" fillId="2" borderId="0" xfId="5" applyFont="1" applyFill="1"/>
    <xf numFmtId="0" fontId="3" fillId="2" borderId="1" xfId="5" applyFont="1" applyFill="1" applyBorder="1" applyAlignment="1">
      <alignment horizontal="center" vertical="top"/>
    </xf>
    <xf numFmtId="49" fontId="3" fillId="2" borderId="1" xfId="11" applyNumberFormat="1" applyFont="1" applyFill="1" applyBorder="1" applyAlignment="1">
      <alignment horizontal="center" wrapText="1"/>
    </xf>
    <xf numFmtId="49" fontId="3" fillId="2" borderId="1" xfId="11" applyNumberFormat="1" applyFont="1" applyFill="1" applyBorder="1" applyAlignment="1">
      <alignment horizontal="center"/>
    </xf>
    <xf numFmtId="49" fontId="3" fillId="2" borderId="1" xfId="5" applyNumberFormat="1" applyFont="1" applyFill="1" applyBorder="1" applyAlignment="1">
      <alignment horizontal="center"/>
    </xf>
    <xf numFmtId="49" fontId="3" fillId="2" borderId="9" xfId="5" applyNumberFormat="1" applyFont="1" applyFill="1" applyBorder="1" applyAlignment="1">
      <alignment horizontal="center"/>
    </xf>
    <xf numFmtId="49" fontId="3" fillId="2" borderId="3" xfId="5" applyNumberFormat="1" applyFont="1" applyFill="1" applyBorder="1" applyAlignment="1">
      <alignment horizontal="center"/>
    </xf>
    <xf numFmtId="0" fontId="13" fillId="2" borderId="0" xfId="5" applyFont="1" applyFill="1"/>
    <xf numFmtId="0" fontId="16" fillId="2" borderId="0" xfId="5" applyFont="1" applyFill="1"/>
    <xf numFmtId="49" fontId="3" fillId="2" borderId="6" xfId="6" applyNumberFormat="1" applyFont="1" applyFill="1" applyBorder="1" applyAlignment="1">
      <alignment horizontal="center"/>
    </xf>
    <xf numFmtId="49" fontId="3" fillId="2" borderId="7" xfId="5" applyNumberFormat="1" applyFont="1" applyFill="1" applyBorder="1" applyAlignment="1">
      <alignment horizontal="center"/>
    </xf>
    <xf numFmtId="49" fontId="3" fillId="2" borderId="8" xfId="5" applyNumberFormat="1" applyFont="1" applyFill="1" applyBorder="1" applyAlignment="1">
      <alignment horizontal="center"/>
    </xf>
    <xf numFmtId="49" fontId="3" fillId="2" borderId="2" xfId="11" applyNumberFormat="1" applyFont="1" applyFill="1" applyBorder="1" applyAlignment="1">
      <alignment horizontal="center"/>
    </xf>
    <xf numFmtId="49" fontId="3" fillId="2" borderId="2" xfId="6" applyNumberFormat="1" applyFont="1" applyFill="1" applyBorder="1" applyAlignment="1">
      <alignment horizontal="center"/>
    </xf>
    <xf numFmtId="0" fontId="10" fillId="2" borderId="0" xfId="5" applyFont="1" applyFill="1"/>
    <xf numFmtId="0" fontId="13" fillId="2" borderId="0" xfId="14" applyFont="1" applyFill="1"/>
    <xf numFmtId="0" fontId="3" fillId="2" borderId="1" xfId="14" applyFont="1" applyFill="1" applyBorder="1" applyAlignment="1">
      <alignment horizontal="center" vertical="top"/>
    </xf>
    <xf numFmtId="49" fontId="3" fillId="2" borderId="9" xfId="14" applyNumberFormat="1" applyFont="1" applyFill="1" applyBorder="1" applyAlignment="1">
      <alignment horizontal="center"/>
    </xf>
    <xf numFmtId="49" fontId="3" fillId="2" borderId="9" xfId="6" applyNumberFormat="1" applyFont="1" applyFill="1" applyBorder="1" applyAlignment="1">
      <alignment horizontal="center"/>
    </xf>
    <xf numFmtId="49" fontId="3" fillId="2" borderId="3" xfId="5" applyNumberFormat="1" applyFont="1" applyFill="1" applyBorder="1" applyAlignment="1">
      <alignment horizontal="center" wrapText="1"/>
    </xf>
    <xf numFmtId="49" fontId="3" fillId="2" borderId="13" xfId="14" applyNumberFormat="1" applyFont="1" applyFill="1" applyBorder="1" applyAlignment="1">
      <alignment horizontal="center"/>
    </xf>
    <xf numFmtId="49" fontId="3" fillId="2" borderId="1" xfId="6" applyNumberFormat="1" applyFont="1" applyFill="1" applyBorder="1" applyAlignment="1">
      <alignment horizontal="center" wrapText="1"/>
    </xf>
    <xf numFmtId="49" fontId="3" fillId="2" borderId="1" xfId="6" applyNumberFormat="1" applyFont="1" applyFill="1" applyBorder="1" applyAlignment="1">
      <alignment horizontal="center"/>
    </xf>
    <xf numFmtId="49" fontId="3" fillId="2" borderId="3" xfId="6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wrapText="1"/>
    </xf>
    <xf numFmtId="49" fontId="5" fillId="2" borderId="1" xfId="6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vertical="top" wrapText="1"/>
    </xf>
    <xf numFmtId="49" fontId="3" fillId="2" borderId="1" xfId="5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left"/>
    </xf>
    <xf numFmtId="49" fontId="16" fillId="2" borderId="0" xfId="7" applyNumberFormat="1" applyFont="1" applyFill="1" applyBorder="1" applyAlignment="1">
      <alignment vertical="top" wrapText="1"/>
    </xf>
    <xf numFmtId="49" fontId="10" fillId="2" borderId="0" xfId="7" applyNumberFormat="1" applyFont="1" applyFill="1" applyBorder="1" applyAlignment="1">
      <alignment horizontal="center"/>
    </xf>
    <xf numFmtId="49" fontId="13" fillId="2" borderId="0" xfId="7" applyNumberFormat="1" applyFont="1" applyFill="1" applyBorder="1" applyAlignment="1">
      <alignment horizontal="center"/>
    </xf>
    <xf numFmtId="164" fontId="4" fillId="2" borderId="0" xfId="7" applyNumberFormat="1" applyFont="1" applyFill="1" applyBorder="1" applyAlignment="1"/>
    <xf numFmtId="166" fontId="10" fillId="2" borderId="0" xfId="7" applyNumberFormat="1" applyFont="1" applyFill="1"/>
    <xf numFmtId="0" fontId="10" fillId="2" borderId="0" xfId="7" applyFont="1" applyFill="1"/>
    <xf numFmtId="0" fontId="3" fillId="2" borderId="0" xfId="7" applyFont="1" applyFill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164" fontId="21" fillId="2" borderId="0" xfId="0" applyNumberFormat="1" applyFont="1" applyFill="1"/>
    <xf numFmtId="164" fontId="5" fillId="2" borderId="0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center" wrapText="1"/>
    </xf>
    <xf numFmtId="164" fontId="10" fillId="2" borderId="0" xfId="7" applyNumberFormat="1" applyFont="1" applyFill="1"/>
    <xf numFmtId="164" fontId="3" fillId="2" borderId="0" xfId="7" applyNumberFormat="1" applyFont="1" applyFill="1" applyAlignment="1">
      <alignment horizontal="right"/>
    </xf>
    <xf numFmtId="172" fontId="5" fillId="2" borderId="12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/>
    <xf numFmtId="0" fontId="23" fillId="2" borderId="0" xfId="0" applyFont="1" applyFill="1" applyBorder="1"/>
    <xf numFmtId="0" fontId="23" fillId="2" borderId="0" xfId="0" applyFont="1" applyFill="1"/>
    <xf numFmtId="172" fontId="5" fillId="2" borderId="13" xfId="0" applyNumberFormat="1" applyFont="1" applyFill="1" applyBorder="1"/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15" applyNumberFormat="1" applyFont="1" applyFill="1" applyBorder="1" applyAlignment="1" applyProtection="1">
      <alignment horizontal="center" wrapText="1"/>
      <protection hidden="1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/>
    </xf>
    <xf numFmtId="0" fontId="5" fillId="2" borderId="1" xfId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wrapText="1"/>
    </xf>
    <xf numFmtId="0" fontId="2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166" fontId="3" fillId="2" borderId="0" xfId="7" applyNumberFormat="1" applyFont="1" applyFill="1" applyAlignment="1">
      <alignment horizontal="right"/>
    </xf>
    <xf numFmtId="168" fontId="3" fillId="2" borderId="0" xfId="1" applyNumberFormat="1" applyFont="1" applyFill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165" fontId="6" fillId="2" borderId="1" xfId="0" applyNumberFormat="1" applyFont="1" applyFill="1" applyBorder="1"/>
    <xf numFmtId="0" fontId="5" fillId="2" borderId="0" xfId="0" applyFont="1" applyFill="1" applyAlignment="1">
      <alignment horizontal="left" vertical="top" wrapText="1"/>
    </xf>
    <xf numFmtId="164" fontId="6" fillId="2" borderId="0" xfId="0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2" borderId="1" xfId="7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5" fillId="2" borderId="0" xfId="1" applyFont="1" applyFill="1"/>
    <xf numFmtId="49" fontId="5" fillId="2" borderId="0" xfId="5" applyNumberFormat="1" applyFont="1" applyFill="1" applyBorder="1" applyAlignment="1">
      <alignment horizontal="center" vertical="top" wrapText="1"/>
    </xf>
    <xf numFmtId="0" fontId="5" fillId="2" borderId="0" xfId="5" applyNumberFormat="1" applyFont="1" applyFill="1" applyBorder="1" applyAlignment="1">
      <alignment horizontal="left" wrapText="1"/>
    </xf>
    <xf numFmtId="164" fontId="5" fillId="2" borderId="0" xfId="5" applyNumberFormat="1" applyFont="1" applyFill="1" applyBorder="1" applyAlignment="1">
      <alignment horizontal="right" wrapText="1"/>
    </xf>
    <xf numFmtId="49" fontId="12" fillId="2" borderId="0" xfId="7" applyNumberFormat="1" applyFont="1" applyFill="1" applyBorder="1" applyAlignment="1">
      <alignment vertical="top" wrapText="1"/>
    </xf>
    <xf numFmtId="164" fontId="5" fillId="2" borderId="0" xfId="0" applyNumberFormat="1" applyFont="1" applyFill="1"/>
    <xf numFmtId="0" fontId="5" fillId="2" borderId="0" xfId="7" applyFont="1" applyFill="1" applyBorder="1" applyAlignment="1">
      <alignment horizontal="left"/>
    </xf>
    <xf numFmtId="164" fontId="6" fillId="2" borderId="0" xfId="7" applyNumberFormat="1" applyFont="1" applyFill="1" applyBorder="1" applyAlignment="1"/>
    <xf numFmtId="166" fontId="13" fillId="2" borderId="0" xfId="7" applyNumberFormat="1" applyFont="1" applyFill="1"/>
    <xf numFmtId="0" fontId="13" fillId="2" borderId="0" xfId="7" applyFont="1" applyFill="1"/>
    <xf numFmtId="0" fontId="5" fillId="2" borderId="0" xfId="7" applyFont="1" applyFill="1" applyAlignment="1">
      <alignment horizontal="left"/>
    </xf>
    <xf numFmtId="166" fontId="5" fillId="2" borderId="0" xfId="7" applyNumberFormat="1" applyFont="1" applyFill="1" applyAlignment="1">
      <alignment horizontal="right"/>
    </xf>
    <xf numFmtId="0" fontId="14" fillId="2" borderId="0" xfId="3" applyFont="1" applyFill="1"/>
    <xf numFmtId="0" fontId="3" fillId="2" borderId="0" xfId="3" applyFont="1" applyFill="1"/>
    <xf numFmtId="166" fontId="14" fillId="2" borderId="0" xfId="3" applyNumberFormat="1" applyFont="1" applyFill="1"/>
    <xf numFmtId="0" fontId="5" fillId="2" borderId="1" xfId="7" applyFont="1" applyFill="1" applyBorder="1" applyAlignment="1">
      <alignment horizontal="center"/>
    </xf>
    <xf numFmtId="1" fontId="5" fillId="2" borderId="1" xfId="7" applyNumberFormat="1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wrapText="1"/>
    </xf>
    <xf numFmtId="0" fontId="3" fillId="2" borderId="0" xfId="3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49" fontId="5" fillId="2" borderId="1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3" xfId="5" applyNumberFormat="1" applyFont="1" applyFill="1" applyBorder="1" applyAlignment="1">
      <alignment wrapText="1"/>
    </xf>
    <xf numFmtId="49" fontId="5" fillId="2" borderId="2" xfId="11" applyNumberFormat="1" applyFont="1" applyFill="1" applyBorder="1" applyAlignment="1">
      <alignment horizontal="center"/>
    </xf>
    <xf numFmtId="49" fontId="5" fillId="2" borderId="9" xfId="5" applyNumberFormat="1" applyFont="1" applyFill="1" applyBorder="1" applyAlignment="1">
      <alignment horizontal="center"/>
    </xf>
    <xf numFmtId="49" fontId="5" fillId="2" borderId="3" xfId="5" applyNumberFormat="1" applyFont="1" applyFill="1" applyBorder="1" applyAlignment="1">
      <alignment horizontal="center"/>
    </xf>
    <xf numFmtId="49" fontId="5" fillId="2" borderId="1" xfId="5" applyNumberFormat="1" applyFont="1" applyFill="1" applyBorder="1" applyAlignment="1">
      <alignment horizontal="center"/>
    </xf>
    <xf numFmtId="2" fontId="5" fillId="2" borderId="23" xfId="14" applyNumberFormat="1" applyFont="1" applyFill="1" applyBorder="1" applyAlignment="1">
      <alignment wrapText="1"/>
    </xf>
    <xf numFmtId="49" fontId="5" fillId="2" borderId="23" xfId="14" applyNumberFormat="1" applyFont="1" applyFill="1" applyBorder="1" applyAlignment="1">
      <alignment horizontal="center"/>
    </xf>
    <xf numFmtId="49" fontId="5" fillId="2" borderId="22" xfId="14" applyNumberFormat="1" applyFont="1" applyFill="1" applyBorder="1" applyAlignment="1">
      <alignment horizontal="center"/>
    </xf>
    <xf numFmtId="49" fontId="5" fillId="2" borderId="19" xfId="14" applyNumberFormat="1" applyFont="1" applyFill="1" applyBorder="1" applyAlignment="1">
      <alignment wrapText="1"/>
    </xf>
    <xf numFmtId="49" fontId="5" fillId="2" borderId="19" xfId="14" applyNumberFormat="1" applyFont="1" applyFill="1" applyBorder="1" applyAlignment="1">
      <alignment horizontal="center"/>
    </xf>
    <xf numFmtId="49" fontId="5" fillId="2" borderId="16" xfId="14" applyNumberFormat="1" applyFont="1" applyFill="1" applyBorder="1" applyAlignment="1">
      <alignment horizontal="center"/>
    </xf>
    <xf numFmtId="0" fontId="13" fillId="2" borderId="0" xfId="7" applyFont="1" applyFill="1" applyAlignment="1">
      <alignment horizontal="center"/>
    </xf>
    <xf numFmtId="49" fontId="13" fillId="2" borderId="0" xfId="7" applyNumberFormat="1" applyFont="1" applyFill="1" applyAlignment="1">
      <alignment vertical="top" wrapText="1"/>
    </xf>
    <xf numFmtId="49" fontId="13" fillId="2" borderId="0" xfId="7" applyNumberFormat="1" applyFont="1" applyFill="1" applyAlignment="1">
      <alignment horizontal="center"/>
    </xf>
    <xf numFmtId="164" fontId="13" fillId="2" borderId="0" xfId="7" applyNumberFormat="1" applyFont="1" applyFill="1" applyAlignment="1">
      <alignment horizontal="center"/>
    </xf>
    <xf numFmtId="164" fontId="13" fillId="2" borderId="0" xfId="7" applyNumberFormat="1" applyFont="1" applyFill="1"/>
    <xf numFmtId="0" fontId="13" fillId="2" borderId="0" xfId="7" applyFont="1" applyFill="1" applyBorder="1" applyAlignment="1">
      <alignment horizontal="center" vertical="top"/>
    </xf>
    <xf numFmtId="164" fontId="5" fillId="2" borderId="4" xfId="7" applyNumberFormat="1" applyFont="1" applyFill="1" applyBorder="1" applyAlignment="1">
      <alignment horizontal="right"/>
    </xf>
    <xf numFmtId="164" fontId="5" fillId="2" borderId="1" xfId="7" applyNumberFormat="1" applyFont="1" applyFill="1" applyBorder="1" applyAlignment="1">
      <alignment horizontal="center" vertical="center"/>
    </xf>
    <xf numFmtId="49" fontId="5" fillId="2" borderId="1" xfId="7" applyNumberFormat="1" applyFont="1" applyFill="1" applyBorder="1" applyAlignment="1">
      <alignment horizontal="center" vertical="top" wrapText="1"/>
    </xf>
    <xf numFmtId="49" fontId="5" fillId="2" borderId="1" xfId="7" applyNumberFormat="1" applyFont="1" applyFill="1" applyBorder="1" applyAlignment="1">
      <alignment horizontal="center"/>
    </xf>
    <xf numFmtId="0" fontId="5" fillId="2" borderId="1" xfId="7" applyFont="1" applyFill="1" applyBorder="1" applyAlignment="1">
      <alignment horizontal="center" vertical="top"/>
    </xf>
    <xf numFmtId="49" fontId="6" fillId="2" borderId="1" xfId="7" applyNumberFormat="1" applyFont="1" applyFill="1" applyBorder="1" applyAlignment="1">
      <alignment horizontal="left" vertical="top" wrapText="1"/>
    </xf>
    <xf numFmtId="49" fontId="5" fillId="2" borderId="9" xfId="7" applyNumberFormat="1" applyFont="1" applyFill="1" applyBorder="1" applyAlignment="1">
      <alignment horizontal="center" vertical="top"/>
    </xf>
    <xf numFmtId="49" fontId="5" fillId="2" borderId="1" xfId="7" applyNumberFormat="1" applyFont="1" applyFill="1" applyBorder="1" applyAlignment="1">
      <alignment horizontal="center" vertical="top"/>
    </xf>
    <xf numFmtId="164" fontId="6" fillId="2" borderId="1" xfId="7" applyNumberFormat="1" applyFont="1" applyFill="1" applyBorder="1" applyAlignment="1">
      <alignment horizontal="right" vertical="top"/>
    </xf>
    <xf numFmtId="170" fontId="17" fillId="2" borderId="0" xfId="7" applyNumberFormat="1" applyFont="1" applyFill="1"/>
    <xf numFmtId="0" fontId="6" fillId="2" borderId="1" xfId="5" applyFont="1" applyFill="1" applyBorder="1" applyAlignment="1">
      <alignment horizontal="center" vertical="top"/>
    </xf>
    <xf numFmtId="49" fontId="6" fillId="2" borderId="1" xfId="7" applyNumberFormat="1" applyFont="1" applyFill="1" applyBorder="1" applyAlignment="1">
      <alignment horizontal="left" wrapText="1"/>
    </xf>
    <xf numFmtId="49" fontId="6" fillId="2" borderId="4" xfId="7" applyNumberFormat="1" applyFont="1" applyFill="1" applyBorder="1" applyAlignment="1">
      <alignment horizontal="center"/>
    </xf>
    <xf numFmtId="49" fontId="6" fillId="2" borderId="10" xfId="7" applyNumberFormat="1" applyFont="1" applyFill="1" applyBorder="1" applyAlignment="1">
      <alignment horizontal="center"/>
    </xf>
    <xf numFmtId="49" fontId="6" fillId="2" borderId="1" xfId="7" applyNumberFormat="1" applyFont="1" applyFill="1" applyBorder="1" applyAlignment="1">
      <alignment horizontal="center"/>
    </xf>
    <xf numFmtId="164" fontId="6" fillId="2" borderId="1" xfId="7" applyNumberFormat="1" applyFont="1" applyFill="1" applyBorder="1" applyAlignment="1">
      <alignment horizontal="right"/>
    </xf>
    <xf numFmtId="0" fontId="12" fillId="2" borderId="0" xfId="7" applyFont="1" applyFill="1"/>
    <xf numFmtId="49" fontId="5" fillId="2" borderId="1" xfId="0" applyNumberFormat="1" applyFont="1" applyFill="1" applyBorder="1" applyAlignment="1">
      <alignment wrapText="1"/>
    </xf>
    <xf numFmtId="164" fontId="5" fillId="2" borderId="1" xfId="7" applyNumberFormat="1" applyFont="1" applyFill="1" applyBorder="1" applyAlignment="1">
      <alignment horizontal="right"/>
    </xf>
    <xf numFmtId="49" fontId="5" fillId="2" borderId="1" xfId="5" applyNumberFormat="1" applyFont="1" applyFill="1" applyBorder="1" applyAlignment="1">
      <alignment horizontal="left" wrapText="1"/>
    </xf>
    <xf numFmtId="2" fontId="5" fillId="2" borderId="3" xfId="0" applyNumberFormat="1" applyFont="1" applyFill="1" applyBorder="1" applyAlignment="1">
      <alignment wrapText="1"/>
    </xf>
    <xf numFmtId="49" fontId="5" fillId="2" borderId="1" xfId="7" applyNumberFormat="1" applyFont="1" applyFill="1" applyBorder="1" applyAlignment="1">
      <alignment wrapText="1"/>
    </xf>
    <xf numFmtId="0" fontId="6" fillId="2" borderId="1" xfId="7" applyFont="1" applyFill="1" applyBorder="1" applyAlignment="1">
      <alignment horizontal="center" vertical="top"/>
    </xf>
    <xf numFmtId="49" fontId="6" fillId="2" borderId="9" xfId="7" applyNumberFormat="1" applyFont="1" applyFill="1" applyBorder="1" applyAlignment="1">
      <alignment horizontal="center"/>
    </xf>
    <xf numFmtId="49" fontId="6" fillId="2" borderId="3" xfId="7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4" applyNumberFormat="1" applyFont="1" applyFill="1" applyBorder="1" applyAlignment="1" applyProtection="1">
      <alignment horizontal="left" wrapText="1"/>
      <protection hidden="1"/>
    </xf>
    <xf numFmtId="0" fontId="13" fillId="2" borderId="1" xfId="7" applyFont="1" applyFill="1" applyBorder="1" applyAlignment="1">
      <alignment horizontal="center" vertical="top"/>
    </xf>
    <xf numFmtId="164" fontId="5" fillId="2" borderId="1" xfId="7" applyNumberFormat="1" applyFont="1" applyFill="1" applyBorder="1" applyAlignment="1"/>
    <xf numFmtId="49" fontId="5" fillId="2" borderId="2" xfId="6" applyNumberFormat="1" applyFont="1" applyFill="1" applyBorder="1" applyAlignment="1">
      <alignment horizontal="center"/>
    </xf>
    <xf numFmtId="49" fontId="5" fillId="2" borderId="9" xfId="6" applyNumberFormat="1" applyFont="1" applyFill="1" applyBorder="1" applyAlignment="1">
      <alignment horizontal="center"/>
    </xf>
    <xf numFmtId="49" fontId="5" fillId="2" borderId="3" xfId="6" applyNumberFormat="1" applyFont="1" applyFill="1" applyBorder="1" applyAlignment="1">
      <alignment horizontal="center"/>
    </xf>
    <xf numFmtId="49" fontId="5" fillId="2" borderId="1" xfId="6" applyNumberFormat="1" applyFont="1" applyFill="1" applyBorder="1" applyAlignment="1">
      <alignment horizontal="center"/>
    </xf>
    <xf numFmtId="49" fontId="5" fillId="2" borderId="4" xfId="7" applyNumberFormat="1" applyFont="1" applyFill="1" applyBorder="1" applyAlignment="1">
      <alignment horizontal="center"/>
    </xf>
    <xf numFmtId="49" fontId="5" fillId="2" borderId="0" xfId="7" applyNumberFormat="1" applyFont="1" applyFill="1" applyBorder="1" applyAlignment="1">
      <alignment horizontal="center"/>
    </xf>
    <xf numFmtId="49" fontId="5" fillId="2" borderId="11" xfId="7" applyNumberFormat="1" applyFont="1" applyFill="1" applyBorder="1" applyAlignment="1">
      <alignment horizontal="center"/>
    </xf>
    <xf numFmtId="49" fontId="6" fillId="2" borderId="1" xfId="7" applyNumberFormat="1" applyFont="1" applyFill="1" applyBorder="1" applyAlignment="1">
      <alignment wrapText="1"/>
    </xf>
    <xf numFmtId="49" fontId="5" fillId="2" borderId="9" xfId="14" applyNumberFormat="1" applyFont="1" applyFill="1" applyBorder="1" applyAlignment="1">
      <alignment horizontal="center"/>
    </xf>
    <xf numFmtId="49" fontId="5" fillId="2" borderId="1" xfId="14" applyNumberFormat="1" applyFont="1" applyFill="1" applyBorder="1" applyAlignment="1">
      <alignment horizontal="center"/>
    </xf>
    <xf numFmtId="49" fontId="5" fillId="2" borderId="1" xfId="6" applyNumberFormat="1" applyFont="1" applyFill="1" applyBorder="1" applyAlignment="1">
      <alignment horizontal="left" wrapText="1"/>
    </xf>
    <xf numFmtId="49" fontId="5" fillId="2" borderId="3" xfId="6" applyNumberFormat="1" applyFont="1" applyFill="1" applyBorder="1" applyAlignment="1">
      <alignment horizontal="left" wrapText="1"/>
    </xf>
    <xf numFmtId="0" fontId="5" fillId="2" borderId="1" xfId="5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/>
    </xf>
    <xf numFmtId="49" fontId="6" fillId="2" borderId="1" xfId="5" applyNumberFormat="1" applyFont="1" applyFill="1" applyBorder="1" applyAlignment="1">
      <alignment horizontal="left" wrapText="1"/>
    </xf>
    <xf numFmtId="49" fontId="6" fillId="2" borderId="9" xfId="6" applyNumberFormat="1" applyFont="1" applyFill="1" applyBorder="1" applyAlignment="1">
      <alignment horizontal="center"/>
    </xf>
    <xf numFmtId="166" fontId="6" fillId="2" borderId="1" xfId="7" applyNumberFormat="1" applyFont="1" applyFill="1" applyBorder="1" applyAlignment="1">
      <alignment horizontal="center"/>
    </xf>
    <xf numFmtId="49" fontId="5" fillId="2" borderId="1" xfId="5" applyNumberFormat="1" applyFont="1" applyFill="1" applyBorder="1" applyAlignment="1">
      <alignment wrapText="1"/>
    </xf>
    <xf numFmtId="49" fontId="5" fillId="2" borderId="6" xfId="11" applyNumberFormat="1" applyFont="1" applyFill="1" applyBorder="1" applyAlignment="1">
      <alignment horizontal="center"/>
    </xf>
    <xf numFmtId="49" fontId="5" fillId="2" borderId="7" xfId="5" applyNumberFormat="1" applyFont="1" applyFill="1" applyBorder="1" applyAlignment="1">
      <alignment horizontal="center"/>
    </xf>
    <xf numFmtId="49" fontId="5" fillId="2" borderId="8" xfId="5" applyNumberFormat="1" applyFont="1" applyFill="1" applyBorder="1" applyAlignment="1">
      <alignment horizontal="center"/>
    </xf>
    <xf numFmtId="49" fontId="5" fillId="2" borderId="6" xfId="6" applyNumberFormat="1" applyFont="1" applyFill="1" applyBorder="1" applyAlignment="1">
      <alignment horizontal="center"/>
    </xf>
    <xf numFmtId="49" fontId="5" fillId="2" borderId="0" xfId="5" applyNumberFormat="1" applyFont="1" applyFill="1" applyBorder="1" applyAlignment="1">
      <alignment horizontal="center"/>
    </xf>
    <xf numFmtId="49" fontId="5" fillId="2" borderId="22" xfId="14" applyNumberFormat="1" applyFont="1" applyFill="1" applyBorder="1" applyAlignment="1">
      <alignment wrapText="1"/>
    </xf>
    <xf numFmtId="49" fontId="5" fillId="2" borderId="17" xfId="6" applyNumberFormat="1" applyFont="1" applyFill="1" applyBorder="1" applyAlignment="1">
      <alignment horizontal="center"/>
    </xf>
    <xf numFmtId="49" fontId="5" fillId="2" borderId="18" xfId="14" applyNumberFormat="1" applyFont="1" applyFill="1" applyBorder="1" applyAlignment="1">
      <alignment horizontal="center"/>
    </xf>
    <xf numFmtId="49" fontId="5" fillId="2" borderId="16" xfId="14" applyNumberFormat="1" applyFont="1" applyFill="1" applyBorder="1" applyAlignment="1">
      <alignment wrapText="1"/>
    </xf>
    <xf numFmtId="49" fontId="5" fillId="2" borderId="17" xfId="5" applyNumberFormat="1" applyFont="1" applyFill="1" applyBorder="1" applyAlignment="1">
      <alignment wrapText="1"/>
    </xf>
    <xf numFmtId="49" fontId="5" fillId="2" borderId="26" xfId="6" applyNumberFormat="1" applyFont="1" applyFill="1" applyBorder="1" applyAlignment="1">
      <alignment horizontal="center"/>
    </xf>
    <xf numFmtId="49" fontId="5" fillId="2" borderId="20" xfId="6" applyNumberFormat="1" applyFont="1" applyFill="1" applyBorder="1" applyAlignment="1">
      <alignment horizontal="center"/>
    </xf>
    <xf numFmtId="49" fontId="5" fillId="2" borderId="20" xfId="14" applyNumberFormat="1" applyFont="1" applyFill="1" applyBorder="1" applyAlignment="1">
      <alignment horizontal="center"/>
    </xf>
    <xf numFmtId="49" fontId="5" fillId="2" borderId="3" xfId="14" applyNumberFormat="1" applyFont="1" applyFill="1" applyBorder="1" applyAlignment="1">
      <alignment horizontal="center"/>
    </xf>
    <xf numFmtId="49" fontId="5" fillId="2" borderId="7" xfId="14" applyNumberFormat="1" applyFont="1" applyFill="1" applyBorder="1" applyAlignment="1">
      <alignment horizontal="center"/>
    </xf>
    <xf numFmtId="49" fontId="5" fillId="2" borderId="8" xfId="14" applyNumberFormat="1" applyFont="1" applyFill="1" applyBorder="1" applyAlignment="1">
      <alignment horizontal="center"/>
    </xf>
    <xf numFmtId="49" fontId="5" fillId="2" borderId="9" xfId="5" applyNumberFormat="1" applyFont="1" applyFill="1" applyBorder="1" applyAlignment="1">
      <alignment wrapText="1"/>
    </xf>
    <xf numFmtId="49" fontId="5" fillId="2" borderId="3" xfId="5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wrapText="1"/>
    </xf>
    <xf numFmtId="49" fontId="5" fillId="2" borderId="16" xfId="5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vertical="top" wrapText="1"/>
    </xf>
    <xf numFmtId="49" fontId="5" fillId="2" borderId="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3" xfId="4" applyNumberFormat="1" applyFont="1" applyFill="1" applyBorder="1" applyAlignment="1" applyProtection="1">
      <alignment horizontal="left" wrapText="1"/>
      <protection hidden="1"/>
    </xf>
    <xf numFmtId="49" fontId="5" fillId="2" borderId="3" xfId="5" applyNumberFormat="1" applyFont="1" applyFill="1" applyBorder="1" applyAlignment="1">
      <alignment horizontal="left" wrapText="1"/>
    </xf>
    <xf numFmtId="49" fontId="6" fillId="2" borderId="1" xfId="6" applyNumberFormat="1" applyFont="1" applyFill="1" applyBorder="1" applyAlignment="1">
      <alignment horizontal="center"/>
    </xf>
    <xf numFmtId="49" fontId="6" fillId="2" borderId="1" xfId="4" applyNumberFormat="1" applyFont="1" applyFill="1" applyBorder="1" applyAlignment="1" applyProtection="1">
      <alignment horizontal="left" wrapText="1"/>
      <protection hidden="1"/>
    </xf>
    <xf numFmtId="0" fontId="5" fillId="2" borderId="0" xfId="7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center"/>
    </xf>
    <xf numFmtId="164" fontId="5" fillId="2" borderId="0" xfId="7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left" wrapText="1"/>
    </xf>
    <xf numFmtId="49" fontId="5" fillId="2" borderId="13" xfId="14" applyNumberFormat="1" applyFont="1" applyFill="1" applyBorder="1" applyAlignment="1">
      <alignment horizontal="center"/>
    </xf>
    <xf numFmtId="0" fontId="5" fillId="0" borderId="10" xfId="3" applyFont="1" applyFill="1" applyBorder="1" applyAlignment="1">
      <alignment vertical="top" wrapText="1"/>
    </xf>
    <xf numFmtId="172" fontId="6" fillId="0" borderId="11" xfId="13" applyNumberFormat="1" applyFont="1" applyFill="1" applyBorder="1" applyAlignment="1">
      <alignment horizontal="center" vertical="center"/>
    </xf>
    <xf numFmtId="172" fontId="6" fillId="0" borderId="12" xfId="13" applyNumberFormat="1" applyFont="1" applyFill="1" applyBorder="1" applyAlignment="1">
      <alignment horizontal="center" vertical="center"/>
    </xf>
    <xf numFmtId="172" fontId="5" fillId="0" borderId="11" xfId="13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172" fontId="6" fillId="2" borderId="11" xfId="13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right"/>
    </xf>
    <xf numFmtId="49" fontId="3" fillId="2" borderId="23" xfId="6" applyNumberFormat="1" applyFont="1" applyFill="1" applyBorder="1" applyAlignment="1">
      <alignment horizontal="left" wrapText="1"/>
    </xf>
    <xf numFmtId="49" fontId="3" fillId="2" borderId="19" xfId="5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18" fillId="2" borderId="0" xfId="3" applyFont="1" applyFill="1"/>
    <xf numFmtId="1" fontId="3" fillId="2" borderId="1" xfId="0" applyNumberFormat="1" applyFon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5" fillId="2" borderId="0" xfId="1" applyFont="1" applyFill="1" applyBorder="1" applyAlignment="1">
      <alignment wrapText="1"/>
    </xf>
    <xf numFmtId="168" fontId="5" fillId="2" borderId="0" xfId="1" applyNumberFormat="1" applyFont="1" applyFill="1" applyAlignment="1">
      <alignment horizontal="right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8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5" fontId="5" fillId="2" borderId="0" xfId="1" applyNumberFormat="1" applyFont="1" applyFill="1"/>
    <xf numFmtId="165" fontId="5" fillId="2" borderId="1" xfId="0" applyNumberFormat="1" applyFont="1" applyFill="1" applyBorder="1"/>
    <xf numFmtId="164" fontId="5" fillId="2" borderId="0" xfId="1" applyNumberFormat="1" applyFont="1" applyFill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1" xfId="7" applyFont="1" applyFill="1" applyBorder="1" applyAlignment="1">
      <alignment vertical="top" wrapText="1"/>
    </xf>
    <xf numFmtId="165" fontId="5" fillId="2" borderId="1" xfId="1" applyNumberFormat="1" applyFont="1" applyFill="1" applyBorder="1" applyAlignment="1"/>
    <xf numFmtId="0" fontId="8" fillId="2" borderId="0" xfId="1" applyFont="1" applyFill="1"/>
    <xf numFmtId="0" fontId="5" fillId="2" borderId="1" xfId="1" applyFont="1" applyFill="1" applyBorder="1" applyAlignment="1">
      <alignment vertical="top"/>
    </xf>
    <xf numFmtId="2" fontId="5" fillId="2" borderId="0" xfId="1" applyNumberFormat="1" applyFont="1" applyFill="1"/>
    <xf numFmtId="0" fontId="5" fillId="2" borderId="0" xfId="7" applyFont="1" applyFill="1" applyBorder="1"/>
    <xf numFmtId="168" fontId="5" fillId="2" borderId="0" xfId="1" applyNumberFormat="1" applyFont="1" applyFill="1"/>
    <xf numFmtId="0" fontId="5" fillId="2" borderId="0" xfId="7" applyFont="1" applyFill="1" applyAlignment="1">
      <alignment wrapText="1"/>
    </xf>
    <xf numFmtId="168" fontId="5" fillId="2" borderId="0" xfId="7" applyNumberFormat="1" applyFont="1" applyFill="1" applyBorder="1"/>
    <xf numFmtId="165" fontId="6" fillId="2" borderId="1" xfId="10" applyNumberFormat="1" applyFont="1" applyFill="1" applyBorder="1" applyAlignment="1">
      <alignment vertical="top"/>
    </xf>
    <xf numFmtId="168" fontId="3" fillId="2" borderId="0" xfId="1" applyNumberFormat="1" applyFont="1" applyFill="1" applyBorder="1" applyAlignment="1">
      <alignment horizontal="center"/>
    </xf>
    <xf numFmtId="166" fontId="5" fillId="2" borderId="1" xfId="3" applyNumberFormat="1" applyFont="1" applyFill="1" applyBorder="1" applyAlignment="1">
      <alignment horizontal="center" vertical="center"/>
    </xf>
    <xf numFmtId="166" fontId="5" fillId="2" borderId="0" xfId="3" applyNumberFormat="1" applyFont="1" applyFill="1" applyBorder="1" applyAlignment="1">
      <alignment horizontal="center" vertical="center"/>
    </xf>
    <xf numFmtId="1" fontId="5" fillId="2" borderId="0" xfId="7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/>
    <xf numFmtId="164" fontId="4" fillId="2" borderId="1" xfId="10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left"/>
    </xf>
    <xf numFmtId="164" fontId="3" fillId="2" borderId="1" xfId="3" applyNumberFormat="1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center" vertical="top" wrapText="1"/>
    </xf>
    <xf numFmtId="49" fontId="4" fillId="2" borderId="1" xfId="3" applyNumberFormat="1" applyFont="1" applyFill="1" applyBorder="1" applyAlignment="1">
      <alignment horizontal="center" vertical="top"/>
    </xf>
    <xf numFmtId="0" fontId="4" fillId="2" borderId="1" xfId="3" applyFont="1" applyFill="1" applyBorder="1" applyAlignment="1">
      <alignment wrapText="1"/>
    </xf>
    <xf numFmtId="164" fontId="4" fillId="2" borderId="1" xfId="3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 vertical="top" wrapText="1"/>
    </xf>
    <xf numFmtId="49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wrapText="1"/>
    </xf>
    <xf numFmtId="0" fontId="6" fillId="2" borderId="1" xfId="3" applyFont="1" applyFill="1" applyBorder="1" applyAlignment="1">
      <alignment horizontal="center" vertical="top" wrapText="1"/>
    </xf>
    <xf numFmtId="0" fontId="15" fillId="2" borderId="0" xfId="3" applyFont="1" applyFill="1"/>
    <xf numFmtId="164" fontId="5" fillId="2" borderId="1" xfId="3" applyNumberFormat="1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center" vertical="top"/>
    </xf>
    <xf numFmtId="164" fontId="6" fillId="2" borderId="1" xfId="3" applyNumberFormat="1" applyFont="1" applyFill="1" applyBorder="1" applyAlignment="1">
      <alignment horizontal="right" wrapText="1"/>
    </xf>
    <xf numFmtId="0" fontId="5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center" vertical="top"/>
    </xf>
    <xf numFmtId="0" fontId="3" fillId="2" borderId="1" xfId="3" applyFont="1" applyFill="1" applyBorder="1" applyAlignment="1"/>
    <xf numFmtId="49" fontId="3" fillId="2" borderId="1" xfId="7" applyNumberFormat="1" applyFont="1" applyFill="1" applyBorder="1" applyAlignment="1">
      <alignment horizontal="left" wrapText="1"/>
    </xf>
    <xf numFmtId="49" fontId="4" fillId="2" borderId="1" xfId="7" applyNumberFormat="1" applyFont="1" applyFill="1" applyBorder="1" applyAlignment="1">
      <alignment horizontal="left" wrapText="1"/>
    </xf>
    <xf numFmtId="164" fontId="4" fillId="2" borderId="1" xfId="3" applyNumberFormat="1" applyFont="1" applyFill="1" applyBorder="1" applyAlignment="1"/>
    <xf numFmtId="0" fontId="14" fillId="2" borderId="1" xfId="3" applyFont="1" applyFill="1" applyBorder="1" applyAlignment="1">
      <alignment vertical="top"/>
    </xf>
    <xf numFmtId="164" fontId="3" fillId="2" borderId="1" xfId="3" applyNumberFormat="1" applyFont="1" applyFill="1" applyBorder="1" applyAlignment="1"/>
    <xf numFmtId="166" fontId="5" fillId="2" borderId="0" xfId="7" applyNumberFormat="1" applyFont="1" applyFill="1" applyBorder="1" applyAlignment="1">
      <alignment horizontal="right"/>
    </xf>
    <xf numFmtId="49" fontId="5" fillId="2" borderId="14" xfId="7" applyNumberFormat="1" applyFont="1" applyFill="1" applyBorder="1" applyAlignment="1">
      <alignment horizontal="center"/>
    </xf>
    <xf numFmtId="49" fontId="5" fillId="2" borderId="10" xfId="7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top" wrapText="1"/>
    </xf>
    <xf numFmtId="164" fontId="5" fillId="2" borderId="1" xfId="7" applyNumberFormat="1" applyFont="1" applyFill="1" applyBorder="1"/>
    <xf numFmtId="49" fontId="4" fillId="2" borderId="3" xfId="0" applyNumberFormat="1" applyFont="1" applyFill="1" applyBorder="1" applyAlignment="1">
      <alignment vertical="top" wrapText="1"/>
    </xf>
    <xf numFmtId="49" fontId="3" fillId="2" borderId="1" xfId="6" applyNumberFormat="1" applyFont="1" applyFill="1" applyBorder="1" applyAlignment="1">
      <alignment horizontal="center" vertical="top" wrapText="1"/>
    </xf>
    <xf numFmtId="49" fontId="3" fillId="2" borderId="1" xfId="6" applyNumberFormat="1" applyFont="1" applyFill="1" applyBorder="1" applyAlignment="1">
      <alignment horizontal="center" vertical="top"/>
    </xf>
    <xf numFmtId="49" fontId="3" fillId="2" borderId="2" xfId="6" applyNumberFormat="1" applyFont="1" applyFill="1" applyBorder="1" applyAlignment="1">
      <alignment horizontal="center" vertical="top"/>
    </xf>
    <xf numFmtId="49" fontId="3" fillId="2" borderId="9" xfId="6" applyNumberFormat="1" applyFont="1" applyFill="1" applyBorder="1" applyAlignment="1">
      <alignment horizontal="center" vertical="top"/>
    </xf>
    <xf numFmtId="49" fontId="3" fillId="2" borderId="3" xfId="6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right" vertical="top"/>
    </xf>
    <xf numFmtId="164" fontId="3" fillId="2" borderId="1" xfId="5" applyNumberFormat="1" applyFont="1" applyFill="1" applyBorder="1" applyAlignment="1">
      <alignment horizontal="right"/>
    </xf>
    <xf numFmtId="49" fontId="5" fillId="2" borderId="3" xfId="7" applyNumberFormat="1" applyFont="1" applyFill="1" applyBorder="1" applyAlignment="1">
      <alignment wrapText="1"/>
    </xf>
    <xf numFmtId="0" fontId="4" fillId="2" borderId="1" xfId="5" applyFont="1" applyFill="1" applyBorder="1" applyAlignment="1">
      <alignment horizontal="center" vertical="top"/>
    </xf>
    <xf numFmtId="49" fontId="4" fillId="2" borderId="3" xfId="5" applyNumberFormat="1" applyFont="1" applyFill="1" applyBorder="1" applyAlignment="1">
      <alignment wrapText="1"/>
    </xf>
    <xf numFmtId="49" fontId="4" fillId="2" borderId="1" xfId="5" applyNumberFormat="1" applyFont="1" applyFill="1" applyBorder="1" applyAlignment="1">
      <alignment horizontal="center" wrapText="1"/>
    </xf>
    <xf numFmtId="49" fontId="4" fillId="2" borderId="1" xfId="5" applyNumberFormat="1" applyFont="1" applyFill="1" applyBorder="1" applyAlignment="1">
      <alignment horizontal="center"/>
    </xf>
    <xf numFmtId="49" fontId="4" fillId="2" borderId="2" xfId="5" applyNumberFormat="1" applyFont="1" applyFill="1" applyBorder="1" applyAlignment="1">
      <alignment horizontal="center"/>
    </xf>
    <xf numFmtId="49" fontId="4" fillId="2" borderId="9" xfId="5" applyNumberFormat="1" applyFont="1" applyFill="1" applyBorder="1" applyAlignment="1">
      <alignment horizontal="center"/>
    </xf>
    <xf numFmtId="49" fontId="4" fillId="2" borderId="3" xfId="5" applyNumberFormat="1" applyFont="1" applyFill="1" applyBorder="1" applyAlignment="1">
      <alignment horizontal="center"/>
    </xf>
    <xf numFmtId="164" fontId="4" fillId="2" borderId="1" xfId="5" applyNumberFormat="1" applyFont="1" applyFill="1" applyBorder="1" applyAlignment="1">
      <alignment horizontal="right"/>
    </xf>
    <xf numFmtId="49" fontId="3" fillId="2" borderId="2" xfId="5" applyNumberFormat="1" applyFont="1" applyFill="1" applyBorder="1" applyAlignment="1">
      <alignment horizontal="center"/>
    </xf>
    <xf numFmtId="49" fontId="3" fillId="2" borderId="6" xfId="11" applyNumberFormat="1" applyFont="1" applyFill="1" applyBorder="1" applyAlignment="1">
      <alignment horizontal="center"/>
    </xf>
    <xf numFmtId="49" fontId="3" fillId="2" borderId="0" xfId="5" applyNumberFormat="1" applyFont="1" applyFill="1" applyBorder="1" applyAlignment="1">
      <alignment horizontal="center"/>
    </xf>
    <xf numFmtId="0" fontId="3" fillId="2" borderId="13" xfId="14" applyFont="1" applyFill="1" applyBorder="1" applyAlignment="1">
      <alignment horizontal="center" vertical="top"/>
    </xf>
    <xf numFmtId="49" fontId="3" fillId="2" borderId="23" xfId="14" applyNumberFormat="1" applyFont="1" applyFill="1" applyBorder="1" applyAlignment="1">
      <alignment wrapText="1"/>
    </xf>
    <xf numFmtId="49" fontId="3" fillId="2" borderId="25" xfId="11" applyNumberFormat="1" applyFont="1" applyFill="1" applyBorder="1" applyAlignment="1">
      <alignment horizontal="center" wrapText="1"/>
    </xf>
    <xf numFmtId="49" fontId="3" fillId="2" borderId="25" xfId="11" applyNumberFormat="1" applyFont="1" applyFill="1" applyBorder="1" applyAlignment="1">
      <alignment horizontal="center"/>
    </xf>
    <xf numFmtId="49" fontId="3" fillId="2" borderId="17" xfId="6" applyNumberFormat="1" applyFont="1" applyFill="1" applyBorder="1" applyAlignment="1">
      <alignment horizontal="center"/>
    </xf>
    <xf numFmtId="49" fontId="3" fillId="2" borderId="18" xfId="14" applyNumberFormat="1" applyFont="1" applyFill="1" applyBorder="1" applyAlignment="1">
      <alignment horizontal="center"/>
    </xf>
    <xf numFmtId="49" fontId="3" fillId="2" borderId="19" xfId="14" applyNumberFormat="1" applyFont="1" applyFill="1" applyBorder="1" applyAlignment="1">
      <alignment horizontal="center"/>
    </xf>
    <xf numFmtId="49" fontId="3" fillId="2" borderId="22" xfId="14" applyNumberFormat="1" applyFont="1" applyFill="1" applyBorder="1" applyAlignment="1">
      <alignment horizontal="center"/>
    </xf>
    <xf numFmtId="164" fontId="3" fillId="2" borderId="22" xfId="14" applyNumberFormat="1" applyFont="1" applyFill="1" applyBorder="1" applyAlignment="1">
      <alignment horizontal="right"/>
    </xf>
    <xf numFmtId="49" fontId="3" fillId="2" borderId="18" xfId="14" applyNumberFormat="1" applyFont="1" applyFill="1" applyBorder="1" applyAlignment="1">
      <alignment wrapText="1"/>
    </xf>
    <xf numFmtId="49" fontId="3" fillId="2" borderId="18" xfId="6" applyNumberFormat="1" applyFont="1" applyFill="1" applyBorder="1" applyAlignment="1">
      <alignment horizontal="center"/>
    </xf>
    <xf numFmtId="49" fontId="3" fillId="2" borderId="16" xfId="14" applyNumberFormat="1" applyFont="1" applyFill="1" applyBorder="1" applyAlignment="1">
      <alignment horizontal="center"/>
    </xf>
    <xf numFmtId="164" fontId="3" fillId="2" borderId="16" xfId="14" applyNumberFormat="1" applyFont="1" applyFill="1" applyBorder="1" applyAlignment="1">
      <alignment horizontal="right"/>
    </xf>
    <xf numFmtId="0" fontId="3" fillId="2" borderId="5" xfId="14" applyFont="1" applyFill="1" applyBorder="1" applyAlignment="1">
      <alignment horizontal="center" vertical="top"/>
    </xf>
    <xf numFmtId="49" fontId="3" fillId="2" borderId="5" xfId="11" applyNumberFormat="1" applyFont="1" applyFill="1" applyBorder="1" applyAlignment="1">
      <alignment horizontal="center" wrapText="1"/>
    </xf>
    <xf numFmtId="49" fontId="3" fillId="2" borderId="20" xfId="6" applyNumberFormat="1" applyFont="1" applyFill="1" applyBorder="1" applyAlignment="1">
      <alignment horizontal="center"/>
    </xf>
    <xf numFmtId="49" fontId="3" fillId="2" borderId="20" xfId="14" applyNumberFormat="1" applyFont="1" applyFill="1" applyBorder="1" applyAlignment="1">
      <alignment horizontal="center"/>
    </xf>
    <xf numFmtId="49" fontId="3" fillId="2" borderId="21" xfId="14" applyNumberFormat="1" applyFont="1" applyFill="1" applyBorder="1" applyAlignment="1">
      <alignment horizontal="center"/>
    </xf>
    <xf numFmtId="49" fontId="3" fillId="2" borderId="24" xfId="14" applyNumberFormat="1" applyFont="1" applyFill="1" applyBorder="1" applyAlignment="1">
      <alignment horizontal="center"/>
    </xf>
    <xf numFmtId="164" fontId="3" fillId="2" borderId="24" xfId="14" applyNumberFormat="1" applyFont="1" applyFill="1" applyBorder="1" applyAlignment="1">
      <alignment horizontal="right"/>
    </xf>
    <xf numFmtId="49" fontId="3" fillId="2" borderId="1" xfId="5" applyNumberFormat="1" applyFont="1" applyFill="1" applyBorder="1" applyAlignment="1">
      <alignment wrapText="1"/>
    </xf>
    <xf numFmtId="49" fontId="3" fillId="2" borderId="3" xfId="14" applyNumberFormat="1" applyFont="1" applyFill="1" applyBorder="1" applyAlignment="1">
      <alignment horizontal="center"/>
    </xf>
    <xf numFmtId="49" fontId="3" fillId="2" borderId="1" xfId="14" applyNumberFormat="1" applyFont="1" applyFill="1" applyBorder="1" applyAlignment="1">
      <alignment horizontal="center"/>
    </xf>
    <xf numFmtId="164" fontId="3" fillId="2" borderId="1" xfId="14" applyNumberFormat="1" applyFont="1" applyFill="1" applyBorder="1" applyAlignment="1">
      <alignment horizontal="right"/>
    </xf>
    <xf numFmtId="49" fontId="3" fillId="2" borderId="7" xfId="14" applyNumberFormat="1" applyFont="1" applyFill="1" applyBorder="1" applyAlignment="1">
      <alignment horizontal="center"/>
    </xf>
    <xf numFmtId="49" fontId="3" fillId="2" borderId="8" xfId="14" applyNumberFormat="1" applyFont="1" applyFill="1" applyBorder="1" applyAlignment="1">
      <alignment horizontal="center"/>
    </xf>
    <xf numFmtId="49" fontId="3" fillId="2" borderId="9" xfId="5" applyNumberFormat="1" applyFont="1" applyFill="1" applyBorder="1" applyAlignment="1">
      <alignment wrapText="1"/>
    </xf>
    <xf numFmtId="2" fontId="3" fillId="2" borderId="23" xfId="14" applyNumberFormat="1" applyFont="1" applyFill="1" applyBorder="1" applyAlignment="1">
      <alignment wrapText="1"/>
    </xf>
    <xf numFmtId="49" fontId="3" fillId="2" borderId="22" xfId="11" applyNumberFormat="1" applyFont="1" applyFill="1" applyBorder="1" applyAlignment="1">
      <alignment horizontal="center" wrapText="1"/>
    </xf>
    <xf numFmtId="49" fontId="3" fillId="2" borderId="22" xfId="11" applyNumberFormat="1" applyFont="1" applyFill="1" applyBorder="1" applyAlignment="1">
      <alignment horizontal="center"/>
    </xf>
    <xf numFmtId="49" fontId="3" fillId="2" borderId="23" xfId="14" applyNumberFormat="1" applyFont="1" applyFill="1" applyBorder="1" applyAlignment="1">
      <alignment horizontal="center"/>
    </xf>
    <xf numFmtId="49" fontId="3" fillId="2" borderId="19" xfId="14" applyNumberFormat="1" applyFont="1" applyFill="1" applyBorder="1" applyAlignment="1">
      <alignment wrapText="1"/>
    </xf>
    <xf numFmtId="49" fontId="3" fillId="2" borderId="16" xfId="11" applyNumberFormat="1" applyFont="1" applyFill="1" applyBorder="1" applyAlignment="1">
      <alignment horizontal="center" wrapText="1"/>
    </xf>
    <xf numFmtId="49" fontId="3" fillId="2" borderId="16" xfId="11" applyNumberFormat="1" applyFont="1" applyFill="1" applyBorder="1" applyAlignment="1">
      <alignment horizontal="center"/>
    </xf>
    <xf numFmtId="49" fontId="3" fillId="2" borderId="5" xfId="14" applyNumberFormat="1" applyFont="1" applyFill="1" applyBorder="1" applyAlignment="1">
      <alignment horizontal="center"/>
    </xf>
    <xf numFmtId="164" fontId="3" fillId="2" borderId="5" xfId="14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49" fontId="3" fillId="0" borderId="3" xfId="6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vertical="top" wrapText="1"/>
    </xf>
    <xf numFmtId="49" fontId="3" fillId="2" borderId="3" xfId="4" applyNumberFormat="1" applyFont="1" applyFill="1" applyBorder="1" applyAlignment="1" applyProtection="1">
      <alignment horizontal="left" vertical="top" wrapText="1"/>
      <protection hidden="1"/>
    </xf>
    <xf numFmtId="49" fontId="3" fillId="2" borderId="3" xfId="5" applyNumberFormat="1" applyFont="1" applyFill="1" applyBorder="1" applyAlignment="1">
      <alignment vertical="top" wrapText="1"/>
    </xf>
    <xf numFmtId="49" fontId="3" fillId="2" borderId="20" xfId="5" applyNumberFormat="1" applyFont="1" applyFill="1" applyBorder="1" applyAlignment="1">
      <alignment vertical="top" wrapText="1"/>
    </xf>
    <xf numFmtId="49" fontId="3" fillId="2" borderId="3" xfId="5" applyNumberFormat="1" applyFont="1" applyFill="1" applyBorder="1" applyAlignment="1">
      <alignment horizontal="left" vertical="top" wrapText="1"/>
    </xf>
    <xf numFmtId="49" fontId="3" fillId="0" borderId="1" xfId="11" applyNumberFormat="1" applyFont="1" applyFill="1" applyBorder="1" applyAlignment="1">
      <alignment horizontal="center" wrapText="1"/>
    </xf>
    <xf numFmtId="49" fontId="3" fillId="0" borderId="1" xfId="11" applyNumberFormat="1" applyFont="1" applyFill="1" applyBorder="1" applyAlignment="1">
      <alignment horizontal="center"/>
    </xf>
    <xf numFmtId="49" fontId="3" fillId="0" borderId="2" xfId="11" applyNumberFormat="1" applyFont="1" applyFill="1" applyBorder="1" applyAlignment="1">
      <alignment horizontal="center"/>
    </xf>
    <xf numFmtId="49" fontId="3" fillId="0" borderId="3" xfId="5" applyNumberFormat="1" applyFont="1" applyFill="1" applyBorder="1" applyAlignment="1">
      <alignment horizontal="center" wrapText="1"/>
    </xf>
    <xf numFmtId="2" fontId="14" fillId="0" borderId="0" xfId="3" applyNumberFormat="1" applyFont="1" applyFill="1"/>
    <xf numFmtId="165" fontId="8" fillId="2" borderId="0" xfId="1" applyNumberFormat="1" applyFont="1" applyFill="1"/>
    <xf numFmtId="0" fontId="5" fillId="2" borderId="2" xfId="7" applyFont="1" applyFill="1" applyBorder="1" applyAlignment="1">
      <alignment horizontal="center" vertical="top"/>
    </xf>
    <xf numFmtId="164" fontId="5" fillId="2" borderId="5" xfId="7" applyNumberFormat="1" applyFont="1" applyFill="1" applyBorder="1" applyAlignment="1">
      <alignment horizontal="right"/>
    </xf>
    <xf numFmtId="49" fontId="5" fillId="2" borderId="21" xfId="14" applyNumberFormat="1" applyFont="1" applyFill="1" applyBorder="1" applyAlignment="1">
      <alignment wrapText="1"/>
    </xf>
    <xf numFmtId="49" fontId="5" fillId="2" borderId="24" xfId="14" applyNumberFormat="1" applyFont="1" applyFill="1" applyBorder="1" applyAlignment="1">
      <alignment horizontal="center"/>
    </xf>
    <xf numFmtId="49" fontId="5" fillId="2" borderId="4" xfId="5" applyNumberFormat="1" applyFont="1" applyFill="1" applyBorder="1" applyAlignment="1">
      <alignment horizontal="center"/>
    </xf>
    <xf numFmtId="49" fontId="3" fillId="0" borderId="3" xfId="5" applyNumberFormat="1" applyFont="1" applyFill="1" applyBorder="1" applyAlignment="1">
      <alignment wrapText="1"/>
    </xf>
    <xf numFmtId="49" fontId="3" fillId="0" borderId="9" xfId="14" applyNumberFormat="1" applyFont="1" applyFill="1" applyBorder="1" applyAlignment="1">
      <alignment horizontal="center"/>
    </xf>
    <xf numFmtId="49" fontId="3" fillId="0" borderId="13" xfId="14" applyNumberFormat="1" applyFont="1" applyFill="1" applyBorder="1" applyAlignment="1">
      <alignment horizontal="center"/>
    </xf>
    <xf numFmtId="164" fontId="3" fillId="0" borderId="1" xfId="14" applyNumberFormat="1" applyFont="1" applyFill="1" applyBorder="1" applyAlignment="1">
      <alignment horizontal="right"/>
    </xf>
    <xf numFmtId="164" fontId="5" fillId="2" borderId="3" xfId="7" applyNumberFormat="1" applyFont="1" applyFill="1" applyBorder="1" applyAlignment="1">
      <alignment horizontal="right"/>
    </xf>
    <xf numFmtId="164" fontId="27" fillId="2" borderId="1" xfId="0" applyNumberFormat="1" applyFont="1" applyFill="1" applyBorder="1" applyAlignment="1">
      <alignment horizontal="right"/>
    </xf>
    <xf numFmtId="49" fontId="5" fillId="2" borderId="27" xfId="11" applyNumberFormat="1" applyFont="1" applyFill="1" applyBorder="1" applyAlignment="1">
      <alignment horizontal="center"/>
    </xf>
    <xf numFmtId="49" fontId="5" fillId="2" borderId="28" xfId="14" applyNumberFormat="1" applyFont="1" applyFill="1" applyBorder="1" applyAlignment="1">
      <alignment horizontal="center"/>
    </xf>
    <xf numFmtId="164" fontId="23" fillId="2" borderId="0" xfId="0" applyNumberFormat="1" applyFont="1" applyFill="1"/>
    <xf numFmtId="164" fontId="10" fillId="2" borderId="0" xfId="0" applyNumberFormat="1" applyFont="1" applyFill="1"/>
    <xf numFmtId="164" fontId="3" fillId="2" borderId="13" xfId="0" applyNumberFormat="1" applyFont="1" applyFill="1" applyBorder="1" applyAlignment="1">
      <alignment horizontal="center" vertical="center"/>
    </xf>
    <xf numFmtId="0" fontId="3" fillId="2" borderId="0" xfId="3" applyFont="1" applyFill="1" applyAlignment="1">
      <alignment wrapText="1"/>
    </xf>
    <xf numFmtId="0" fontId="10" fillId="2" borderId="0" xfId="3" applyFont="1" applyFill="1"/>
    <xf numFmtId="0" fontId="10" fillId="2" borderId="0" xfId="3" applyFont="1" applyFill="1" applyAlignment="1">
      <alignment wrapText="1"/>
    </xf>
    <xf numFmtId="166" fontId="10" fillId="2" borderId="0" xfId="3" applyNumberFormat="1" applyFont="1" applyFill="1" applyAlignment="1">
      <alignment horizontal="right"/>
    </xf>
    <xf numFmtId="0" fontId="3" fillId="2" borderId="6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justify" vertical="top" wrapText="1"/>
    </xf>
    <xf numFmtId="0" fontId="3" fillId="2" borderId="8" xfId="3" applyFont="1" applyFill="1" applyBorder="1" applyAlignment="1">
      <alignment horizontal="justify" vertical="top" wrapText="1"/>
    </xf>
    <xf numFmtId="165" fontId="3" fillId="2" borderId="5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3" fillId="2" borderId="15" xfId="3" applyFont="1" applyFill="1" applyBorder="1" applyAlignment="1">
      <alignment horizontal="left" wrapText="1"/>
    </xf>
    <xf numFmtId="0" fontId="3" fillId="2" borderId="11" xfId="3" applyFont="1" applyFill="1" applyBorder="1" applyAlignment="1">
      <alignment horizontal="left" wrapText="1"/>
    </xf>
    <xf numFmtId="165" fontId="3" fillId="2" borderId="12" xfId="3" applyNumberFormat="1" applyFont="1" applyFill="1" applyBorder="1" applyAlignment="1">
      <alignment horizontal="center"/>
    </xf>
    <xf numFmtId="0" fontId="3" fillId="2" borderId="14" xfId="3" applyFont="1" applyFill="1" applyBorder="1" applyAlignment="1">
      <alignment horizontal="left" wrapText="1"/>
    </xf>
    <xf numFmtId="0" fontId="3" fillId="2" borderId="10" xfId="3" applyFont="1" applyFill="1" applyBorder="1" applyAlignment="1">
      <alignment horizontal="left" wrapText="1"/>
    </xf>
    <xf numFmtId="165" fontId="3" fillId="2" borderId="13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justify" vertical="top" wrapText="1"/>
    </xf>
    <xf numFmtId="1" fontId="3" fillId="2" borderId="5" xfId="3" applyNumberFormat="1" applyFont="1" applyFill="1" applyBorder="1" applyAlignment="1">
      <alignment horizontal="center"/>
    </xf>
    <xf numFmtId="0" fontId="3" fillId="2" borderId="12" xfId="3" applyFont="1" applyFill="1" applyBorder="1" applyAlignment="1">
      <alignment horizontal="left" wrapText="1"/>
    </xf>
    <xf numFmtId="1" fontId="3" fillId="2" borderId="12" xfId="3" applyNumberFormat="1" applyFont="1" applyFill="1" applyBorder="1" applyAlignment="1">
      <alignment horizontal="center"/>
    </xf>
    <xf numFmtId="0" fontId="3" fillId="2" borderId="13" xfId="3" applyFont="1" applyFill="1" applyBorder="1" applyAlignment="1">
      <alignment horizontal="left" wrapText="1"/>
    </xf>
    <xf numFmtId="1" fontId="3" fillId="2" borderId="13" xfId="3" applyNumberFormat="1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 vertical="justify"/>
    </xf>
    <xf numFmtId="0" fontId="3" fillId="2" borderId="0" xfId="3" applyFont="1" applyFill="1" applyBorder="1" applyAlignment="1">
      <alignment horizontal="left" wrapText="1"/>
    </xf>
    <xf numFmtId="0" fontId="3" fillId="2" borderId="0" xfId="3" applyFont="1" applyFill="1" applyBorder="1" applyAlignment="1">
      <alignment horizontal="center"/>
    </xf>
    <xf numFmtId="49" fontId="5" fillId="2" borderId="2" xfId="7" applyNumberFormat="1" applyFont="1" applyFill="1" applyBorder="1" applyAlignment="1">
      <alignment horizontal="center"/>
    </xf>
    <xf numFmtId="49" fontId="5" fillId="2" borderId="9" xfId="7" applyNumberFormat="1" applyFont="1" applyFill="1" applyBorder="1" applyAlignment="1">
      <alignment horizontal="center"/>
    </xf>
    <xf numFmtId="49" fontId="5" fillId="2" borderId="3" xfId="7" applyNumberFormat="1" applyFont="1" applyFill="1" applyBorder="1" applyAlignment="1">
      <alignment horizontal="center"/>
    </xf>
    <xf numFmtId="166" fontId="5" fillId="2" borderId="1" xfId="7" applyNumberFormat="1" applyFont="1" applyFill="1" applyBorder="1" applyAlignment="1">
      <alignment horizontal="center"/>
    </xf>
    <xf numFmtId="49" fontId="5" fillId="2" borderId="1" xfId="7" applyNumberFormat="1" applyFont="1" applyFill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right"/>
    </xf>
    <xf numFmtId="0" fontId="28" fillId="2" borderId="0" xfId="14" applyFont="1" applyFill="1"/>
    <xf numFmtId="49" fontId="3" fillId="4" borderId="3" xfId="0" applyNumberFormat="1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0" fontId="5" fillId="3" borderId="1" xfId="7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wrapText="1"/>
    </xf>
    <xf numFmtId="49" fontId="3" fillId="3" borderId="2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164" fontId="5" fillId="3" borderId="1" xfId="7" applyNumberFormat="1" applyFont="1" applyFill="1" applyBorder="1" applyAlignment="1">
      <alignment horizontal="right"/>
    </xf>
    <xf numFmtId="0" fontId="13" fillId="3" borderId="0" xfId="7" applyFont="1" applyFill="1"/>
    <xf numFmtId="0" fontId="29" fillId="2" borderId="0" xfId="0" applyFont="1" applyFill="1" applyAlignment="1">
      <alignment horizontal="right"/>
    </xf>
    <xf numFmtId="164" fontId="29" fillId="2" borderId="0" xfId="0" applyNumberFormat="1" applyFont="1" applyFill="1" applyAlignment="1">
      <alignment horizontal="right"/>
    </xf>
    <xf numFmtId="0" fontId="30" fillId="2" borderId="0" xfId="0" applyFont="1" applyFill="1"/>
    <xf numFmtId="164" fontId="29" fillId="2" borderId="0" xfId="0" applyNumberFormat="1" applyFont="1" applyFill="1" applyBorder="1" applyAlignment="1">
      <alignment horizontal="right"/>
    </xf>
    <xf numFmtId="49" fontId="31" fillId="2" borderId="13" xfId="0" applyNumberFormat="1" applyFont="1" applyFill="1" applyBorder="1" applyAlignment="1">
      <alignment vertical="center" wrapText="1"/>
    </xf>
    <xf numFmtId="164" fontId="32" fillId="2" borderId="1" xfId="0" applyNumberFormat="1" applyFont="1" applyFill="1" applyBorder="1" applyAlignment="1">
      <alignment horizontal="right" vertical="top"/>
    </xf>
    <xf numFmtId="164" fontId="32" fillId="2" borderId="1" xfId="0" applyNumberFormat="1" applyFont="1" applyFill="1" applyBorder="1" applyAlignment="1">
      <alignment horizontal="right"/>
    </xf>
    <xf numFmtId="164" fontId="31" fillId="2" borderId="1" xfId="0" applyNumberFormat="1" applyFont="1" applyFill="1" applyBorder="1" applyAlignment="1">
      <alignment horizontal="right"/>
    </xf>
    <xf numFmtId="164" fontId="31" fillId="2" borderId="1" xfId="5" applyNumberFormat="1" applyFont="1" applyFill="1" applyBorder="1" applyAlignment="1">
      <alignment horizontal="right"/>
    </xf>
    <xf numFmtId="164" fontId="32" fillId="2" borderId="1" xfId="5" applyNumberFormat="1" applyFont="1" applyFill="1" applyBorder="1" applyAlignment="1">
      <alignment horizontal="right"/>
    </xf>
    <xf numFmtId="164" fontId="31" fillId="2" borderId="22" xfId="14" applyNumberFormat="1" applyFont="1" applyFill="1" applyBorder="1" applyAlignment="1">
      <alignment horizontal="right"/>
    </xf>
    <xf numFmtId="164" fontId="31" fillId="2" borderId="16" xfId="14" applyNumberFormat="1" applyFont="1" applyFill="1" applyBorder="1" applyAlignment="1">
      <alignment horizontal="right"/>
    </xf>
    <xf numFmtId="164" fontId="31" fillId="2" borderId="24" xfId="14" applyNumberFormat="1" applyFont="1" applyFill="1" applyBorder="1" applyAlignment="1">
      <alignment horizontal="right"/>
    </xf>
    <xf numFmtId="164" fontId="31" fillId="2" borderId="1" xfId="14" applyNumberFormat="1" applyFont="1" applyFill="1" applyBorder="1" applyAlignment="1">
      <alignment horizontal="right"/>
    </xf>
    <xf numFmtId="164" fontId="31" fillId="2" borderId="5" xfId="14" applyNumberFormat="1" applyFont="1" applyFill="1" applyBorder="1" applyAlignment="1">
      <alignment horizontal="right"/>
    </xf>
    <xf numFmtId="164" fontId="31" fillId="2" borderId="5" xfId="0" applyNumberFormat="1" applyFont="1" applyFill="1" applyBorder="1" applyAlignment="1">
      <alignment horizontal="right"/>
    </xf>
    <xf numFmtId="164" fontId="33" fillId="2" borderId="0" xfId="7" applyNumberFormat="1" applyFont="1" applyFill="1"/>
    <xf numFmtId="164" fontId="31" fillId="2" borderId="0" xfId="7" applyNumberFormat="1" applyFont="1" applyFill="1" applyAlignment="1">
      <alignment horizontal="right"/>
    </xf>
    <xf numFmtId="164" fontId="30" fillId="2" borderId="0" xfId="0" applyNumberFormat="1" applyFont="1" applyFill="1"/>
    <xf numFmtId="0" fontId="5" fillId="2" borderId="12" xfId="3" applyFont="1" applyFill="1" applyBorder="1" applyAlignment="1">
      <alignment horizontal="center" vertical="top"/>
    </xf>
    <xf numFmtId="0" fontId="5" fillId="2" borderId="12" xfId="3" applyFont="1" applyFill="1" applyBorder="1" applyAlignment="1">
      <alignment vertical="top" wrapText="1"/>
    </xf>
    <xf numFmtId="172" fontId="5" fillId="2" borderId="12" xfId="13" applyNumberFormat="1" applyFont="1" applyFill="1" applyBorder="1" applyAlignment="1">
      <alignment horizontal="right" vertical="center"/>
    </xf>
    <xf numFmtId="0" fontId="24" fillId="2" borderId="0" xfId="3" applyFont="1" applyFill="1"/>
    <xf numFmtId="166" fontId="24" fillId="2" borderId="0" xfId="3" applyNumberFormat="1" applyFont="1" applyFill="1" applyBorder="1"/>
    <xf numFmtId="169" fontId="6" fillId="2" borderId="0" xfId="3" applyNumberFormat="1" applyFont="1" applyFill="1"/>
    <xf numFmtId="0" fontId="21" fillId="0" borderId="0" xfId="0" applyFont="1" applyFill="1"/>
    <xf numFmtId="166" fontId="21" fillId="0" borderId="0" xfId="0" applyNumberFormat="1" applyFont="1" applyFill="1"/>
    <xf numFmtId="1" fontId="4" fillId="0" borderId="0" xfId="2" applyNumberFormat="1" applyFont="1" applyFill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/>
    <xf numFmtId="166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166" fontId="5" fillId="0" borderId="0" xfId="0" applyNumberFormat="1" applyFont="1" applyFill="1" applyBorder="1" applyAlignment="1">
      <alignment horizontal="right"/>
    </xf>
    <xf numFmtId="166" fontId="3" fillId="0" borderId="13" xfId="0" applyNumberFormat="1" applyFont="1" applyFill="1" applyBorder="1" applyAlignment="1">
      <alignment vertical="center" wrapText="1"/>
    </xf>
    <xf numFmtId="167" fontId="5" fillId="0" borderId="1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 wrapText="1"/>
    </xf>
    <xf numFmtId="49" fontId="3" fillId="0" borderId="1" xfId="6" applyNumberFormat="1" applyFont="1" applyFill="1" applyBorder="1" applyAlignment="1">
      <alignment horizontal="center" vertical="top" wrapText="1"/>
    </xf>
    <xf numFmtId="49" fontId="3" fillId="0" borderId="1" xfId="6" applyNumberFormat="1" applyFont="1" applyFill="1" applyBorder="1" applyAlignment="1">
      <alignment horizontal="center" vertical="top"/>
    </xf>
    <xf numFmtId="49" fontId="3" fillId="0" borderId="9" xfId="6" applyNumberFormat="1" applyFont="1" applyFill="1" applyBorder="1" applyAlignment="1">
      <alignment horizontal="center" vertical="top"/>
    </xf>
    <xf numFmtId="49" fontId="3" fillId="0" borderId="3" xfId="6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13" fillId="0" borderId="0" xfId="0" applyFont="1" applyFill="1"/>
    <xf numFmtId="0" fontId="16" fillId="0" borderId="0" xfId="0" applyFont="1" applyFill="1"/>
    <xf numFmtId="49" fontId="3" fillId="0" borderId="1" xfId="4" applyNumberFormat="1" applyFont="1" applyFill="1" applyBorder="1" applyAlignment="1" applyProtection="1">
      <alignment horizontal="left" wrapText="1"/>
      <protection hidden="1"/>
    </xf>
    <xf numFmtId="49" fontId="3" fillId="0" borderId="3" xfId="0" applyNumberFormat="1" applyFont="1" applyFill="1" applyBorder="1" applyAlignment="1">
      <alignment horizontal="left" wrapText="1"/>
    </xf>
    <xf numFmtId="49" fontId="3" fillId="0" borderId="1" xfId="6" applyNumberFormat="1" applyFont="1" applyFill="1" applyBorder="1" applyAlignment="1">
      <alignment horizontal="left" wrapText="1"/>
    </xf>
    <xf numFmtId="49" fontId="3" fillId="0" borderId="3" xfId="4" applyNumberFormat="1" applyFont="1" applyFill="1" applyBorder="1" applyAlignment="1" applyProtection="1">
      <alignment horizontal="left" wrapText="1"/>
      <protection hidden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vertical="top" wrapText="1"/>
    </xf>
    <xf numFmtId="49" fontId="3" fillId="0" borderId="3" xfId="5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vertical="top"/>
    </xf>
    <xf numFmtId="49" fontId="4" fillId="0" borderId="1" xfId="5" applyNumberFormat="1" applyFont="1" applyFill="1" applyBorder="1" applyAlignment="1">
      <alignment wrapText="1"/>
    </xf>
    <xf numFmtId="49" fontId="4" fillId="0" borderId="1" xfId="5" applyNumberFormat="1" applyFont="1" applyFill="1" applyBorder="1" applyAlignment="1">
      <alignment horizontal="center" wrapText="1"/>
    </xf>
    <xf numFmtId="49" fontId="4" fillId="0" borderId="1" xfId="5" applyNumberFormat="1" applyFont="1" applyFill="1" applyBorder="1" applyAlignment="1">
      <alignment horizontal="center"/>
    </xf>
    <xf numFmtId="49" fontId="4" fillId="0" borderId="7" xfId="5" applyNumberFormat="1" applyFont="1" applyFill="1" applyBorder="1" applyAlignment="1">
      <alignment horizontal="center"/>
    </xf>
    <xf numFmtId="49" fontId="4" fillId="0" borderId="8" xfId="5" applyNumberFormat="1" applyFont="1" applyFill="1" applyBorder="1" applyAlignment="1">
      <alignment horizontal="center"/>
    </xf>
    <xf numFmtId="164" fontId="4" fillId="0" borderId="1" xfId="5" applyNumberFormat="1" applyFont="1" applyFill="1" applyBorder="1" applyAlignment="1">
      <alignment horizontal="right"/>
    </xf>
    <xf numFmtId="0" fontId="12" fillId="0" borderId="0" xfId="5" applyFont="1" applyFill="1"/>
    <xf numFmtId="0" fontId="3" fillId="0" borderId="1" xfId="5" applyFont="1" applyFill="1" applyBorder="1" applyAlignment="1">
      <alignment horizontal="center" vertical="top"/>
    </xf>
    <xf numFmtId="49" fontId="3" fillId="0" borderId="1" xfId="5" applyNumberFormat="1" applyFont="1" applyFill="1" applyBorder="1" applyAlignment="1">
      <alignment wrapText="1"/>
    </xf>
    <xf numFmtId="49" fontId="3" fillId="0" borderId="1" xfId="5" applyNumberFormat="1" applyFont="1" applyFill="1" applyBorder="1" applyAlignment="1">
      <alignment horizontal="center"/>
    </xf>
    <xf numFmtId="49" fontId="3" fillId="0" borderId="9" xfId="5" applyNumberFormat="1" applyFont="1" applyFill="1" applyBorder="1" applyAlignment="1">
      <alignment horizontal="center"/>
    </xf>
    <xf numFmtId="49" fontId="3" fillId="0" borderId="3" xfId="5" applyNumberFormat="1" applyFont="1" applyFill="1" applyBorder="1" applyAlignment="1">
      <alignment horizontal="center"/>
    </xf>
    <xf numFmtId="164" fontId="3" fillId="0" borderId="1" xfId="5" applyNumberFormat="1" applyFont="1" applyFill="1" applyBorder="1" applyAlignment="1">
      <alignment horizontal="right"/>
    </xf>
    <xf numFmtId="0" fontId="13" fillId="0" borderId="0" xfId="5" applyFont="1" applyFill="1"/>
    <xf numFmtId="0" fontId="16" fillId="0" borderId="0" xfId="5" applyFont="1" applyFill="1"/>
    <xf numFmtId="49" fontId="3" fillId="0" borderId="9" xfId="6" applyNumberFormat="1" applyFont="1" applyFill="1" applyBorder="1" applyAlignment="1">
      <alignment horizontal="center"/>
    </xf>
    <xf numFmtId="0" fontId="10" fillId="0" borderId="0" xfId="5" applyFont="1" applyFill="1"/>
    <xf numFmtId="49" fontId="3" fillId="0" borderId="7" xfId="6" applyNumberFormat="1" applyFont="1" applyFill="1" applyBorder="1" applyAlignment="1">
      <alignment horizontal="center"/>
    </xf>
    <xf numFmtId="49" fontId="3" fillId="0" borderId="7" xfId="5" applyNumberFormat="1" applyFont="1" applyFill="1" applyBorder="1" applyAlignment="1">
      <alignment horizontal="center"/>
    </xf>
    <xf numFmtId="49" fontId="3" fillId="0" borderId="8" xfId="5" applyNumberFormat="1" applyFont="1" applyFill="1" applyBorder="1" applyAlignment="1">
      <alignment horizontal="center"/>
    </xf>
    <xf numFmtId="170" fontId="13" fillId="0" borderId="0" xfId="5" applyNumberFormat="1" applyFont="1" applyFill="1"/>
    <xf numFmtId="49" fontId="3" fillId="0" borderId="6" xfId="6" applyNumberFormat="1" applyFont="1" applyFill="1" applyBorder="1" applyAlignment="1">
      <alignment horizontal="center"/>
    </xf>
    <xf numFmtId="49" fontId="3" fillId="0" borderId="2" xfId="6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49" fontId="3" fillId="0" borderId="3" xfId="14" applyNumberFormat="1" applyFont="1" applyFill="1" applyBorder="1" applyAlignment="1">
      <alignment horizontal="center"/>
    </xf>
    <xf numFmtId="49" fontId="3" fillId="0" borderId="1" xfId="14" applyNumberFormat="1" applyFont="1" applyFill="1" applyBorder="1" applyAlignment="1">
      <alignment horizontal="center"/>
    </xf>
    <xf numFmtId="0" fontId="13" fillId="0" borderId="0" xfId="14" applyFont="1" applyFill="1"/>
    <xf numFmtId="170" fontId="13" fillId="0" borderId="0" xfId="14" applyNumberFormat="1" applyFont="1" applyFill="1"/>
    <xf numFmtId="49" fontId="3" fillId="0" borderId="1" xfId="12" applyNumberFormat="1" applyFont="1" applyFill="1" applyBorder="1" applyAlignment="1">
      <alignment horizontal="center" wrapText="1"/>
    </xf>
    <xf numFmtId="49" fontId="3" fillId="0" borderId="1" xfId="12" applyNumberFormat="1" applyFont="1" applyFill="1" applyBorder="1" applyAlignment="1">
      <alignment horizontal="center"/>
    </xf>
    <xf numFmtId="49" fontId="3" fillId="0" borderId="9" xfId="12" applyNumberFormat="1" applyFont="1" applyFill="1" applyBorder="1" applyAlignment="1">
      <alignment horizontal="center"/>
    </xf>
    <xf numFmtId="49" fontId="3" fillId="0" borderId="3" xfId="12" applyNumberFormat="1" applyFont="1" applyFill="1" applyBorder="1" applyAlignment="1">
      <alignment horizontal="center"/>
    </xf>
    <xf numFmtId="164" fontId="12" fillId="0" borderId="0" xfId="0" applyNumberFormat="1" applyFont="1" applyFill="1"/>
    <xf numFmtId="164" fontId="13" fillId="0" borderId="0" xfId="0" applyNumberFormat="1" applyFont="1" applyFill="1"/>
    <xf numFmtId="167" fontId="12" fillId="0" borderId="0" xfId="0" applyNumberFormat="1" applyFont="1" applyFill="1"/>
    <xf numFmtId="167" fontId="16" fillId="0" borderId="0" xfId="0" applyNumberFormat="1" applyFont="1" applyFill="1"/>
    <xf numFmtId="2" fontId="3" fillId="0" borderId="1" xfId="0" applyNumberFormat="1" applyFont="1" applyFill="1" applyBorder="1" applyAlignment="1">
      <alignment wrapText="1"/>
    </xf>
    <xf numFmtId="49" fontId="3" fillId="0" borderId="1" xfId="5" applyNumberFormat="1" applyFont="1" applyFill="1" applyBorder="1" applyAlignment="1">
      <alignment horizontal="left" wrapText="1"/>
    </xf>
    <xf numFmtId="49" fontId="3" fillId="0" borderId="1" xfId="6" applyNumberFormat="1" applyFont="1" applyFill="1" applyBorder="1" applyAlignment="1">
      <alignment horizontal="center" wrapText="1"/>
    </xf>
    <xf numFmtId="49" fontId="3" fillId="0" borderId="1" xfId="6" applyNumberFormat="1" applyFont="1" applyFill="1" applyBorder="1" applyAlignment="1">
      <alignment horizontal="center"/>
    </xf>
    <xf numFmtId="49" fontId="3" fillId="0" borderId="3" xfId="6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170" fontId="13" fillId="0" borderId="0" xfId="0" applyNumberFormat="1" applyFont="1" applyFill="1"/>
    <xf numFmtId="49" fontId="5" fillId="0" borderId="1" xfId="6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 wrapText="1"/>
    </xf>
    <xf numFmtId="164" fontId="21" fillId="0" borderId="0" xfId="0" applyNumberFormat="1" applyFont="1" applyFill="1"/>
    <xf numFmtId="16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wrapText="1"/>
    </xf>
    <xf numFmtId="0" fontId="12" fillId="3" borderId="0" xfId="0" applyFont="1" applyFill="1"/>
    <xf numFmtId="49" fontId="3" fillId="3" borderId="3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right" vertical="top"/>
    </xf>
    <xf numFmtId="164" fontId="8" fillId="2" borderId="1" xfId="1" applyNumberFormat="1" applyFont="1" applyFill="1" applyBorder="1" applyAlignment="1">
      <alignment vertical="top"/>
    </xf>
    <xf numFmtId="0" fontId="8" fillId="2" borderId="5" xfId="1" applyFont="1" applyFill="1" applyBorder="1" applyAlignment="1">
      <alignment horizontal="center" vertical="top"/>
    </xf>
    <xf numFmtId="0" fontId="8" fillId="2" borderId="24" xfId="5" applyFont="1" applyFill="1" applyBorder="1" applyAlignment="1">
      <alignment vertical="top" wrapText="1"/>
    </xf>
    <xf numFmtId="164" fontId="8" fillId="2" borderId="24" xfId="1" applyNumberFormat="1" applyFont="1" applyFill="1" applyBorder="1" applyAlignment="1">
      <alignment vertical="top"/>
    </xf>
    <xf numFmtId="0" fontId="8" fillId="2" borderId="1" xfId="5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1" xfId="0" applyNumberFormat="1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5" fillId="2" borderId="1" xfId="5" applyFont="1" applyFill="1" applyBorder="1" applyAlignment="1">
      <alignment horizontal="left" vertical="top" wrapText="1"/>
    </xf>
    <xf numFmtId="49" fontId="3" fillId="3" borderId="20" xfId="6" applyNumberFormat="1" applyFont="1" applyFill="1" applyBorder="1" applyAlignment="1">
      <alignment horizontal="center"/>
    </xf>
    <xf numFmtId="49" fontId="3" fillId="3" borderId="20" xfId="14" applyNumberFormat="1" applyFont="1" applyFill="1" applyBorder="1" applyAlignment="1">
      <alignment horizontal="center"/>
    </xf>
    <xf numFmtId="49" fontId="3" fillId="3" borderId="7" xfId="14" applyNumberFormat="1" applyFont="1" applyFill="1" applyBorder="1" applyAlignment="1">
      <alignment horizontal="center"/>
    </xf>
    <xf numFmtId="49" fontId="3" fillId="3" borderId="8" xfId="14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164" fontId="3" fillId="0" borderId="0" xfId="7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5" fillId="0" borderId="1" xfId="3" applyNumberFormat="1" applyFont="1" applyFill="1" applyBorder="1" applyAlignment="1">
      <alignment horizontal="center" vertical="center"/>
    </xf>
    <xf numFmtId="164" fontId="10" fillId="0" borderId="0" xfId="7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" xfId="3" applyFont="1" applyFill="1" applyBorder="1" applyAlignment="1">
      <alignment horizontal="center" vertical="center" wrapText="1"/>
    </xf>
    <xf numFmtId="49" fontId="5" fillId="2" borderId="2" xfId="7" applyNumberFormat="1" applyFont="1" applyFill="1" applyBorder="1" applyAlignment="1">
      <alignment horizontal="center"/>
    </xf>
    <xf numFmtId="49" fontId="5" fillId="2" borderId="9" xfId="7" applyNumberFormat="1" applyFont="1" applyFill="1" applyBorder="1" applyAlignment="1">
      <alignment horizontal="center"/>
    </xf>
    <xf numFmtId="49" fontId="5" fillId="2" borderId="3" xfId="7" applyNumberFormat="1" applyFont="1" applyFill="1" applyBorder="1" applyAlignment="1">
      <alignment horizontal="center"/>
    </xf>
    <xf numFmtId="1" fontId="4" fillId="2" borderId="0" xfId="2" applyNumberFormat="1" applyFont="1" applyFill="1" applyAlignment="1">
      <alignment horizontal="center" wrapText="1"/>
    </xf>
    <xf numFmtId="164" fontId="4" fillId="2" borderId="0" xfId="2" applyNumberFormat="1" applyFont="1" applyFill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vertical="top" wrapText="1"/>
    </xf>
    <xf numFmtId="2" fontId="3" fillId="2" borderId="0" xfId="3" applyNumberFormat="1" applyFont="1" applyFill="1" applyAlignment="1">
      <alignment horizontal="center"/>
    </xf>
    <xf numFmtId="171" fontId="18" fillId="2" borderId="0" xfId="3" applyNumberFormat="1" applyFont="1" applyFill="1"/>
    <xf numFmtId="168" fontId="3" fillId="2" borderId="0" xfId="7" applyNumberFormat="1" applyFont="1" applyFill="1" applyBorder="1" applyAlignment="1">
      <alignment horizontal="right"/>
    </xf>
    <xf numFmtId="0" fontId="5" fillId="2" borderId="3" xfId="3" applyFont="1" applyFill="1" applyBorder="1" applyAlignment="1">
      <alignment horizontal="center" vertical="center" wrapText="1"/>
    </xf>
    <xf numFmtId="10" fontId="3" fillId="2" borderId="0" xfId="3" applyNumberFormat="1" applyFont="1" applyFill="1"/>
    <xf numFmtId="0" fontId="5" fillId="2" borderId="9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 wrapText="1"/>
    </xf>
    <xf numFmtId="0" fontId="6" fillId="2" borderId="5" xfId="3" applyFont="1" applyFill="1" applyBorder="1" applyAlignment="1">
      <alignment horizontal="center" vertical="top"/>
    </xf>
    <xf numFmtId="0" fontId="6" fillId="2" borderId="5" xfId="3" applyFont="1" applyFill="1" applyBorder="1" applyAlignment="1">
      <alignment vertical="top" wrapText="1"/>
    </xf>
    <xf numFmtId="172" fontId="6" fillId="2" borderId="5" xfId="13" applyNumberFormat="1" applyFont="1" applyFill="1" applyBorder="1" applyAlignment="1">
      <alignment horizontal="right" vertical="center"/>
    </xf>
    <xf numFmtId="166" fontId="18" fillId="2" borderId="0" xfId="3" applyNumberFormat="1" applyFont="1" applyFill="1" applyBorder="1"/>
    <xf numFmtId="169" fontId="4" fillId="2" borderId="0" xfId="3" applyNumberFormat="1" applyFont="1" applyFill="1"/>
    <xf numFmtId="0" fontId="6" fillId="2" borderId="12" xfId="3" applyFont="1" applyFill="1" applyBorder="1" applyAlignment="1">
      <alignment horizontal="center" vertical="top"/>
    </xf>
    <xf numFmtId="0" fontId="6" fillId="2" borderId="12" xfId="3" applyFont="1" applyFill="1" applyBorder="1" applyAlignment="1">
      <alignment vertical="top" wrapText="1"/>
    </xf>
    <xf numFmtId="172" fontId="6" fillId="2" borderId="12" xfId="13" applyNumberFormat="1" applyFont="1" applyFill="1" applyBorder="1" applyAlignment="1">
      <alignment horizontal="right" vertical="center"/>
    </xf>
    <xf numFmtId="0" fontId="6" fillId="2" borderId="12" xfId="3" applyFont="1" applyFill="1" applyBorder="1" applyAlignment="1">
      <alignment wrapText="1"/>
    </xf>
    <xf numFmtId="0" fontId="16" fillId="2" borderId="0" xfId="3" applyFont="1" applyFill="1"/>
    <xf numFmtId="171" fontId="16" fillId="2" borderId="0" xfId="3" applyNumberFormat="1" applyFont="1" applyFill="1"/>
    <xf numFmtId="166" fontId="16" fillId="2" borderId="0" xfId="3" applyNumberFormat="1" applyFont="1" applyFill="1" applyAlignment="1">
      <alignment shrinkToFit="1"/>
    </xf>
    <xf numFmtId="0" fontId="5" fillId="2" borderId="13" xfId="3" applyFont="1" applyFill="1" applyBorder="1" applyAlignment="1">
      <alignment horizontal="center" vertical="top"/>
    </xf>
    <xf numFmtId="0" fontId="5" fillId="2" borderId="13" xfId="3" applyFont="1" applyFill="1" applyBorder="1" applyAlignment="1">
      <alignment wrapText="1"/>
    </xf>
    <xf numFmtId="0" fontId="5" fillId="2" borderId="0" xfId="3" applyFont="1" applyFill="1" applyBorder="1" applyAlignment="1">
      <alignment horizontal="center" vertical="top"/>
    </xf>
    <xf numFmtId="172" fontId="3" fillId="2" borderId="0" xfId="3" applyNumberFormat="1" applyFont="1" applyFill="1" applyBorder="1" applyAlignment="1"/>
    <xf numFmtId="0" fontId="6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justify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justify" wrapText="1"/>
    </xf>
    <xf numFmtId="0" fontId="6" fillId="2" borderId="0" xfId="0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9" fillId="0" borderId="0" xfId="7" applyFont="1" applyFill="1" applyAlignment="1">
      <alignment horizontal="center"/>
    </xf>
    <xf numFmtId="0" fontId="4" fillId="2" borderId="0" xfId="3" applyFont="1" applyFill="1" applyAlignment="1">
      <alignment horizontal="center"/>
    </xf>
    <xf numFmtId="168" fontId="3" fillId="2" borderId="1" xfId="1" applyNumberFormat="1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" fontId="6" fillId="2" borderId="0" xfId="2" applyNumberFormat="1" applyFont="1" applyFill="1" applyAlignment="1">
      <alignment horizontal="center" wrapText="1"/>
    </xf>
    <xf numFmtId="49" fontId="5" fillId="2" borderId="6" xfId="7" applyNumberFormat="1" applyFont="1" applyFill="1" applyBorder="1" applyAlignment="1">
      <alignment horizontal="center" vertical="center"/>
    </xf>
    <xf numFmtId="49" fontId="5" fillId="2" borderId="7" xfId="7" applyNumberFormat="1" applyFont="1" applyFill="1" applyBorder="1" applyAlignment="1">
      <alignment horizontal="center" vertical="center"/>
    </xf>
    <xf numFmtId="49" fontId="5" fillId="2" borderId="8" xfId="7" applyNumberFormat="1" applyFont="1" applyFill="1" applyBorder="1" applyAlignment="1">
      <alignment horizontal="center" vertical="center"/>
    </xf>
    <xf numFmtId="49" fontId="5" fillId="2" borderId="2" xfId="7" applyNumberFormat="1" applyFont="1" applyFill="1" applyBorder="1" applyAlignment="1">
      <alignment horizontal="center"/>
    </xf>
    <xf numFmtId="49" fontId="5" fillId="2" borderId="9" xfId="7" applyNumberFormat="1" applyFont="1" applyFill="1" applyBorder="1" applyAlignment="1">
      <alignment horizontal="center"/>
    </xf>
    <xf numFmtId="49" fontId="5" fillId="2" borderId="3" xfId="7" applyNumberFormat="1" applyFont="1" applyFill="1" applyBorder="1" applyAlignment="1">
      <alignment horizontal="center"/>
    </xf>
    <xf numFmtId="166" fontId="5" fillId="2" borderId="1" xfId="7" applyNumberFormat="1" applyFont="1" applyFill="1" applyBorder="1" applyAlignment="1">
      <alignment horizontal="center"/>
    </xf>
    <xf numFmtId="49" fontId="5" fillId="2" borderId="1" xfId="7" applyNumberFormat="1" applyFont="1" applyFill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vertical="center"/>
    </xf>
    <xf numFmtId="1" fontId="4" fillId="2" borderId="0" xfId="2" applyNumberFormat="1" applyFont="1" applyFill="1" applyAlignment="1">
      <alignment horizontal="center" wrapText="1"/>
    </xf>
    <xf numFmtId="164" fontId="4" fillId="2" borderId="0" xfId="2" applyNumberFormat="1" applyFont="1" applyFill="1" applyAlignment="1">
      <alignment horizontal="center" wrapText="1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49" fontId="31" fillId="2" borderId="5" xfId="0" applyNumberFormat="1" applyFont="1" applyFill="1" applyBorder="1" applyAlignment="1">
      <alignment horizontal="center" vertical="center" wrapText="1"/>
    </xf>
    <xf numFmtId="49" fontId="31" fillId="2" borderId="1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" fontId="4" fillId="0" borderId="0" xfId="2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top" wrapText="1"/>
    </xf>
    <xf numFmtId="167" fontId="20" fillId="0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 wrapText="1"/>
    </xf>
    <xf numFmtId="0" fontId="20" fillId="2" borderId="0" xfId="7" applyFont="1" applyFill="1" applyAlignment="1">
      <alignment horizontal="center" wrapText="1"/>
    </xf>
    <xf numFmtId="166" fontId="5" fillId="0" borderId="2" xfId="7" applyNumberFormat="1" applyFont="1" applyFill="1" applyBorder="1" applyAlignment="1">
      <alignment horizontal="center"/>
    </xf>
    <xf numFmtId="166" fontId="5" fillId="0" borderId="3" xfId="7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vertical="justify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wrapText="1"/>
    </xf>
    <xf numFmtId="0" fontId="3" fillId="2" borderId="0" xfId="3" applyFont="1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3" fillId="2" borderId="2" xfId="3" applyFont="1" applyFill="1" applyBorder="1" applyAlignment="1">
      <alignment horizontal="center" vertical="justify" wrapText="1"/>
    </xf>
    <xf numFmtId="0" fontId="3" fillId="2" borderId="2" xfId="0" applyFont="1" applyFill="1" applyBorder="1" applyAlignment="1">
      <alignment horizontal="center" vertical="justify" wrapText="1"/>
    </xf>
    <xf numFmtId="0" fontId="3" fillId="2" borderId="0" xfId="3" applyFont="1" applyFill="1" applyAlignment="1">
      <alignment wrapText="1"/>
    </xf>
    <xf numFmtId="0" fontId="20" fillId="2" borderId="0" xfId="0" applyFont="1" applyFill="1" applyAlignment="1">
      <alignment wrapText="1"/>
    </xf>
    <xf numFmtId="0" fontId="3" fillId="2" borderId="1" xfId="3" applyFont="1" applyFill="1" applyBorder="1" applyAlignment="1">
      <alignment horizontal="center" vertical="center" wrapText="1"/>
    </xf>
  </cellXfs>
  <cellStyles count="20">
    <cellStyle name="Excel Built-in Normal" xfId="5"/>
    <cellStyle name="Excel Built-in Normal 1" xfId="11"/>
    <cellStyle name="Excel Built-in Normal 2" xfId="14"/>
    <cellStyle name="Обычный" xfId="0" builtinId="0"/>
    <cellStyle name="Обычный 2" xfId="7"/>
    <cellStyle name="Обычный 2 2" xfId="8"/>
    <cellStyle name="Обычный 2 2 2" xfId="4"/>
    <cellStyle name="Обычный 2 3" xfId="19"/>
    <cellStyle name="Обычный 3" xfId="16"/>
    <cellStyle name="Обычный 4" xfId="17"/>
    <cellStyle name="Обычный 5" xfId="18"/>
    <cellStyle name="Обычный_tmp1" xfId="15"/>
    <cellStyle name="Обычный_ведомственная  и прилож. на 2008 год без краевых-2" xfId="9"/>
    <cellStyle name="Обычный_ведомственная  и прилож. на 2008 год без краевых-2 2" xfId="12"/>
    <cellStyle name="Обычный_ведомственная  и прилож. на 2008 год без краевых-2 2 2" xfId="6"/>
    <cellStyle name="Обычный_Приложение № 2 к проекту бюджета" xfId="1"/>
    <cellStyle name="Обычный_расчеты к бю.джету1" xfId="2"/>
    <cellStyle name="Обычный_Функциональная структура расходов бюджета на 2005 год" xfId="3"/>
    <cellStyle name="Финансовый [0]" xfId="13" builtinId="6"/>
    <cellStyle name="Финансовый 2" xfId="10"/>
  </cellStyles>
  <dxfs count="0"/>
  <tableStyles count="0" defaultTableStyle="TableStyleMedium2" defaultPivotStyle="PivotStyleMedium9"/>
  <colors>
    <mruColors>
      <color rgb="FFFFFFCC"/>
      <color rgb="FFFFFF99"/>
      <color rgb="FFCCFFCC"/>
      <color rgb="FF33CCFF"/>
      <color rgb="FFFFCCFF"/>
      <color rgb="FFFF99CC"/>
      <color rgb="FF66FFFF"/>
      <color rgb="FF99CCFF"/>
      <color rgb="FF99FF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86627</xdr:colOff>
      <xdr:row>38</xdr:row>
      <xdr:rowOff>1166822</xdr:rowOff>
    </xdr:from>
    <xdr:ext cx="65" cy="172227"/>
    <xdr:sp macro="" textlink="">
      <xdr:nvSpPr>
        <xdr:cNvPr id="2" name="TextBox 1"/>
        <xdr:cNvSpPr txBox="1"/>
      </xdr:nvSpPr>
      <xdr:spPr>
        <a:xfrm>
          <a:off x="8547068" y="220517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H170"/>
  <sheetViews>
    <sheetView tabSelected="1" zoomScale="90" zoomScaleNormal="90" workbookViewId="0">
      <selection activeCell="C2" sqref="C2"/>
    </sheetView>
  </sheetViews>
  <sheetFormatPr defaultColWidth="8.85546875" defaultRowHeight="15"/>
  <cols>
    <col min="1" max="1" width="19.140625" style="161" customWidth="1"/>
    <col min="2" max="2" width="28" style="161" customWidth="1"/>
    <col min="3" max="3" width="64.42578125" style="161" customWidth="1"/>
    <col min="4" max="16384" width="8.85546875" style="161"/>
  </cols>
  <sheetData>
    <row r="1" spans="1:6" ht="18.75">
      <c r="C1" s="163" t="s">
        <v>460</v>
      </c>
    </row>
    <row r="2" spans="1:6" ht="18.75">
      <c r="C2" s="163" t="s">
        <v>787</v>
      </c>
    </row>
    <row r="3" spans="1:6" ht="17.25" customHeight="1">
      <c r="C3" s="163"/>
    </row>
    <row r="4" spans="1:6" ht="18.75">
      <c r="C4" s="163" t="s">
        <v>460</v>
      </c>
    </row>
    <row r="5" spans="1:6" ht="18.75">
      <c r="C5" s="163" t="s">
        <v>703</v>
      </c>
    </row>
    <row r="6" spans="1:6" ht="18.75">
      <c r="C6" s="163"/>
    </row>
    <row r="7" spans="1:6" ht="56.45" customHeight="1">
      <c r="A7" s="732" t="s">
        <v>412</v>
      </c>
      <c r="B7" s="732"/>
      <c r="C7" s="732"/>
    </row>
    <row r="9" spans="1:6" ht="15" hidden="1" customHeight="1">
      <c r="A9" s="733"/>
      <c r="B9" s="733"/>
    </row>
    <row r="10" spans="1:6" ht="34.9" customHeight="1">
      <c r="A10" s="736" t="s">
        <v>0</v>
      </c>
      <c r="B10" s="737"/>
      <c r="C10" s="734" t="s">
        <v>411</v>
      </c>
    </row>
    <row r="11" spans="1:6" ht="149.25" customHeight="1">
      <c r="A11" s="164" t="s">
        <v>1</v>
      </c>
      <c r="B11" s="164" t="s">
        <v>2</v>
      </c>
      <c r="C11" s="735"/>
    </row>
    <row r="12" spans="1:6" ht="18.75">
      <c r="A12" s="165">
        <v>1</v>
      </c>
      <c r="B12" s="165">
        <v>2</v>
      </c>
      <c r="C12" s="165">
        <v>3</v>
      </c>
    </row>
    <row r="13" spans="1:6" ht="56.25">
      <c r="A13" s="166">
        <v>804</v>
      </c>
      <c r="B13" s="165"/>
      <c r="C13" s="166" t="s">
        <v>661</v>
      </c>
    </row>
    <row r="14" spans="1:6" ht="56.25">
      <c r="A14" s="165">
        <v>804</v>
      </c>
      <c r="B14" s="165" t="s">
        <v>9</v>
      </c>
      <c r="C14" s="167" t="s">
        <v>662</v>
      </c>
    </row>
    <row r="15" spans="1:6" ht="18.75">
      <c r="A15" s="166">
        <v>816</v>
      </c>
      <c r="B15" s="166"/>
      <c r="C15" s="166" t="s">
        <v>663</v>
      </c>
      <c r="D15" s="160"/>
      <c r="E15" s="160"/>
      <c r="F15" s="160"/>
    </row>
    <row r="16" spans="1:6" ht="97.9" customHeight="1">
      <c r="A16" s="165">
        <v>816</v>
      </c>
      <c r="B16" s="165" t="s">
        <v>664</v>
      </c>
      <c r="C16" s="167" t="s">
        <v>665</v>
      </c>
      <c r="D16" s="160"/>
      <c r="E16" s="160"/>
      <c r="F16" s="160"/>
    </row>
    <row r="17" spans="1:6" ht="56.25">
      <c r="A17" s="166">
        <v>819</v>
      </c>
      <c r="B17" s="165"/>
      <c r="C17" s="166" t="s">
        <v>666</v>
      </c>
      <c r="D17" s="160"/>
      <c r="E17" s="160"/>
      <c r="F17" s="160"/>
    </row>
    <row r="18" spans="1:6" ht="56.25">
      <c r="A18" s="165">
        <v>819</v>
      </c>
      <c r="B18" s="165" t="s">
        <v>9</v>
      </c>
      <c r="C18" s="167" t="s">
        <v>662</v>
      </c>
      <c r="D18" s="160"/>
      <c r="E18" s="160"/>
      <c r="F18" s="160"/>
    </row>
    <row r="19" spans="1:6" ht="37.5">
      <c r="A19" s="166">
        <v>821</v>
      </c>
      <c r="B19" s="165"/>
      <c r="C19" s="166" t="s">
        <v>668</v>
      </c>
      <c r="D19" s="160"/>
      <c r="E19" s="160"/>
      <c r="F19" s="160"/>
    </row>
    <row r="20" spans="1:6" ht="75">
      <c r="A20" s="165">
        <v>821</v>
      </c>
      <c r="B20" s="165" t="s">
        <v>669</v>
      </c>
      <c r="C20" s="167" t="s">
        <v>670</v>
      </c>
      <c r="D20" s="160"/>
      <c r="E20" s="160"/>
      <c r="F20" s="160"/>
    </row>
    <row r="21" spans="1:6" ht="37.5">
      <c r="A21" s="166">
        <v>828</v>
      </c>
      <c r="B21" s="165"/>
      <c r="C21" s="166" t="s">
        <v>671</v>
      </c>
      <c r="D21" s="160"/>
      <c r="E21" s="160"/>
      <c r="F21" s="160"/>
    </row>
    <row r="22" spans="1:6" ht="56.25">
      <c r="A22" s="165">
        <v>828</v>
      </c>
      <c r="B22" s="165" t="s">
        <v>9</v>
      </c>
      <c r="C22" s="167" t="s">
        <v>667</v>
      </c>
      <c r="D22" s="160"/>
      <c r="E22" s="160"/>
      <c r="F22" s="160"/>
    </row>
    <row r="23" spans="1:6" ht="37.5">
      <c r="A23" s="168">
        <v>830</v>
      </c>
      <c r="B23" s="165"/>
      <c r="C23" s="166" t="s">
        <v>672</v>
      </c>
      <c r="D23" s="160"/>
      <c r="E23" s="160"/>
      <c r="F23" s="160"/>
    </row>
    <row r="24" spans="1:6" ht="56.25">
      <c r="A24" s="165">
        <v>830</v>
      </c>
      <c r="B24" s="165" t="s">
        <v>9</v>
      </c>
      <c r="C24" s="167" t="s">
        <v>662</v>
      </c>
      <c r="D24" s="160"/>
      <c r="E24" s="160"/>
      <c r="F24" s="160"/>
    </row>
    <row r="25" spans="1:6" ht="18.75">
      <c r="A25" s="168">
        <v>833</v>
      </c>
      <c r="B25" s="165"/>
      <c r="C25" s="166" t="s">
        <v>673</v>
      </c>
      <c r="D25" s="160"/>
      <c r="E25" s="160"/>
      <c r="F25" s="160"/>
    </row>
    <row r="26" spans="1:6" ht="56.25">
      <c r="A26" s="165">
        <v>833</v>
      </c>
      <c r="B26" s="165" t="s">
        <v>9</v>
      </c>
      <c r="C26" s="167" t="s">
        <v>662</v>
      </c>
      <c r="D26" s="160"/>
      <c r="E26" s="160"/>
      <c r="F26" s="160"/>
    </row>
    <row r="27" spans="1:6" ht="37.5">
      <c r="A27" s="166">
        <v>835</v>
      </c>
      <c r="B27" s="165"/>
      <c r="C27" s="166" t="s">
        <v>674</v>
      </c>
      <c r="D27" s="160"/>
      <c r="E27" s="160"/>
      <c r="F27" s="160"/>
    </row>
    <row r="28" spans="1:6" ht="56.25">
      <c r="A28" s="165">
        <v>835</v>
      </c>
      <c r="B28" s="165" t="s">
        <v>9</v>
      </c>
      <c r="C28" s="167" t="s">
        <v>662</v>
      </c>
      <c r="D28" s="160"/>
      <c r="E28" s="160"/>
      <c r="F28" s="160"/>
    </row>
    <row r="29" spans="1:6" ht="37.5">
      <c r="A29" s="166">
        <v>840</v>
      </c>
      <c r="B29" s="165"/>
      <c r="C29" s="166" t="s">
        <v>675</v>
      </c>
      <c r="D29" s="160"/>
      <c r="E29" s="160"/>
      <c r="F29" s="160"/>
    </row>
    <row r="30" spans="1:6" ht="56.25">
      <c r="A30" s="165">
        <v>840</v>
      </c>
      <c r="B30" s="165" t="s">
        <v>9</v>
      </c>
      <c r="C30" s="167" t="s">
        <v>662</v>
      </c>
      <c r="D30" s="160"/>
      <c r="E30" s="160"/>
      <c r="F30" s="160"/>
    </row>
    <row r="31" spans="1:6" ht="37.5">
      <c r="A31" s="166">
        <v>854</v>
      </c>
      <c r="B31" s="165"/>
      <c r="C31" s="169" t="s">
        <v>676</v>
      </c>
      <c r="D31" s="160"/>
      <c r="E31" s="160"/>
      <c r="F31" s="160"/>
    </row>
    <row r="32" spans="1:6" ht="37.5">
      <c r="A32" s="165">
        <v>854</v>
      </c>
      <c r="B32" s="165" t="s">
        <v>677</v>
      </c>
      <c r="C32" s="167" t="s">
        <v>678</v>
      </c>
      <c r="D32" s="160"/>
      <c r="E32" s="160"/>
      <c r="F32" s="160"/>
    </row>
    <row r="33" spans="1:6" ht="56.25">
      <c r="A33" s="165">
        <v>854</v>
      </c>
      <c r="B33" s="165" t="s">
        <v>679</v>
      </c>
      <c r="C33" s="167" t="s">
        <v>680</v>
      </c>
      <c r="D33" s="160"/>
      <c r="E33" s="160"/>
      <c r="F33" s="160"/>
    </row>
    <row r="34" spans="1:6" ht="56.25">
      <c r="A34" s="165">
        <v>854</v>
      </c>
      <c r="B34" s="165" t="s">
        <v>681</v>
      </c>
      <c r="C34" s="167" t="s">
        <v>682</v>
      </c>
      <c r="D34" s="160"/>
      <c r="E34" s="160"/>
      <c r="F34" s="160"/>
    </row>
    <row r="35" spans="1:6" ht="37.5">
      <c r="A35" s="165">
        <v>854</v>
      </c>
      <c r="B35" s="165" t="s">
        <v>683</v>
      </c>
      <c r="C35" s="167" t="s">
        <v>684</v>
      </c>
      <c r="D35" s="160"/>
      <c r="E35" s="160"/>
      <c r="F35" s="160"/>
    </row>
    <row r="36" spans="1:6" ht="56.25">
      <c r="A36" s="165">
        <v>854</v>
      </c>
      <c r="B36" s="165" t="s">
        <v>685</v>
      </c>
      <c r="C36" s="167" t="s">
        <v>686</v>
      </c>
      <c r="D36" s="160"/>
      <c r="E36" s="160"/>
      <c r="F36" s="160"/>
    </row>
    <row r="37" spans="1:6" ht="75">
      <c r="A37" s="165">
        <v>854</v>
      </c>
      <c r="B37" s="165" t="s">
        <v>687</v>
      </c>
      <c r="C37" s="167" t="s">
        <v>688</v>
      </c>
      <c r="D37" s="160"/>
      <c r="E37" s="160"/>
      <c r="F37" s="160"/>
    </row>
    <row r="38" spans="1:6" ht="56.25">
      <c r="A38" s="165">
        <v>854</v>
      </c>
      <c r="B38" s="165" t="s">
        <v>689</v>
      </c>
      <c r="C38" s="167" t="s">
        <v>690</v>
      </c>
      <c r="D38" s="160"/>
      <c r="E38" s="160"/>
      <c r="F38" s="160"/>
    </row>
    <row r="39" spans="1:6" ht="112.5">
      <c r="A39" s="165">
        <v>854</v>
      </c>
      <c r="B39" s="165" t="s">
        <v>691</v>
      </c>
      <c r="C39" s="167" t="s">
        <v>692</v>
      </c>
      <c r="D39" s="160"/>
      <c r="E39" s="160"/>
      <c r="F39" s="160"/>
    </row>
    <row r="40" spans="1:6" ht="56.25">
      <c r="A40" s="165">
        <v>854</v>
      </c>
      <c r="B40" s="165" t="s">
        <v>9</v>
      </c>
      <c r="C40" s="167" t="s">
        <v>405</v>
      </c>
      <c r="D40" s="160"/>
      <c r="E40" s="160"/>
      <c r="F40" s="160"/>
    </row>
    <row r="41" spans="1:6" ht="37.5">
      <c r="A41" s="170">
        <v>902</v>
      </c>
      <c r="B41" s="171"/>
      <c r="C41" s="172" t="s">
        <v>3</v>
      </c>
    </row>
    <row r="42" spans="1:6" s="159" customFormat="1" ht="37.5">
      <c r="A42" s="171">
        <v>902</v>
      </c>
      <c r="B42" s="171" t="s">
        <v>4</v>
      </c>
      <c r="C42" s="173" t="s">
        <v>404</v>
      </c>
      <c r="D42" s="158"/>
      <c r="E42" s="158"/>
      <c r="F42" s="158"/>
    </row>
    <row r="43" spans="1:6" s="159" customFormat="1" ht="56.25">
      <c r="A43" s="171">
        <v>902</v>
      </c>
      <c r="B43" s="171" t="s">
        <v>509</v>
      </c>
      <c r="C43" s="173" t="s">
        <v>510</v>
      </c>
      <c r="D43" s="158"/>
      <c r="E43" s="158"/>
      <c r="F43" s="158"/>
    </row>
    <row r="44" spans="1:6" s="159" customFormat="1" ht="56.25">
      <c r="A44" s="171">
        <v>902</v>
      </c>
      <c r="B44" s="171" t="s">
        <v>61</v>
      </c>
      <c r="C44" s="173" t="s">
        <v>62</v>
      </c>
      <c r="D44" s="158"/>
      <c r="E44" s="158"/>
      <c r="F44" s="158"/>
    </row>
    <row r="45" spans="1:6" s="159" customFormat="1" ht="37.5">
      <c r="A45" s="171">
        <v>902</v>
      </c>
      <c r="B45" s="171" t="s">
        <v>5</v>
      </c>
      <c r="C45" s="173" t="s">
        <v>6</v>
      </c>
      <c r="D45" s="158"/>
      <c r="E45" s="158"/>
      <c r="F45" s="158"/>
    </row>
    <row r="46" spans="1:6" s="159" customFormat="1" ht="93.75">
      <c r="A46" s="164">
        <v>902</v>
      </c>
      <c r="B46" s="164" t="s">
        <v>7</v>
      </c>
      <c r="C46" s="173" t="s">
        <v>8</v>
      </c>
      <c r="D46" s="158"/>
      <c r="E46" s="158"/>
      <c r="F46" s="158"/>
    </row>
    <row r="47" spans="1:6" s="159" customFormat="1" ht="76.5" customHeight="1">
      <c r="A47" s="164">
        <v>902</v>
      </c>
      <c r="B47" s="164" t="s">
        <v>511</v>
      </c>
      <c r="C47" s="173" t="s">
        <v>512</v>
      </c>
      <c r="D47" s="158"/>
      <c r="E47" s="158"/>
      <c r="F47" s="158"/>
    </row>
    <row r="48" spans="1:6" s="159" customFormat="1" ht="56.25">
      <c r="A48" s="164">
        <v>902</v>
      </c>
      <c r="B48" s="164" t="s">
        <v>9</v>
      </c>
      <c r="C48" s="173" t="s">
        <v>405</v>
      </c>
      <c r="D48" s="158"/>
      <c r="E48" s="158"/>
      <c r="F48" s="158"/>
    </row>
    <row r="49" spans="1:6" s="159" customFormat="1" ht="37.5">
      <c r="A49" s="164">
        <v>902</v>
      </c>
      <c r="B49" s="164" t="s">
        <v>10</v>
      </c>
      <c r="C49" s="173" t="s">
        <v>11</v>
      </c>
      <c r="D49" s="158"/>
      <c r="E49" s="158"/>
      <c r="F49" s="158"/>
    </row>
    <row r="50" spans="1:6" s="159" customFormat="1" ht="37.5">
      <c r="A50" s="174" t="s">
        <v>12</v>
      </c>
      <c r="B50" s="171" t="s">
        <v>13</v>
      </c>
      <c r="C50" s="175" t="s">
        <v>14</v>
      </c>
      <c r="D50" s="158"/>
      <c r="E50" s="158"/>
      <c r="F50" s="158"/>
    </row>
    <row r="51" spans="1:6" ht="37.5">
      <c r="A51" s="164">
        <v>902</v>
      </c>
      <c r="B51" s="176" t="s">
        <v>605</v>
      </c>
      <c r="C51" s="173" t="s">
        <v>15</v>
      </c>
    </row>
    <row r="52" spans="1:6" ht="56.25">
      <c r="A52" s="164">
        <v>902</v>
      </c>
      <c r="B52" s="171" t="s">
        <v>606</v>
      </c>
      <c r="C52" s="173" t="s">
        <v>16</v>
      </c>
    </row>
    <row r="53" spans="1:6" ht="93.75">
      <c r="A53" s="164">
        <v>902</v>
      </c>
      <c r="B53" s="171" t="s">
        <v>607</v>
      </c>
      <c r="C53" s="177" t="s">
        <v>522</v>
      </c>
    </row>
    <row r="54" spans="1:6" s="159" customFormat="1" ht="112.5">
      <c r="A54" s="171">
        <v>902</v>
      </c>
      <c r="B54" s="171" t="s">
        <v>639</v>
      </c>
      <c r="C54" s="175" t="s">
        <v>17</v>
      </c>
      <c r="D54" s="158"/>
      <c r="E54" s="158"/>
      <c r="F54" s="158"/>
    </row>
    <row r="55" spans="1:6" s="159" customFormat="1" ht="57.75" customHeight="1">
      <c r="A55" s="171">
        <v>902</v>
      </c>
      <c r="B55" s="171" t="s">
        <v>640</v>
      </c>
      <c r="C55" s="175" t="s">
        <v>18</v>
      </c>
      <c r="D55" s="158"/>
      <c r="E55" s="158"/>
      <c r="F55" s="158"/>
    </row>
    <row r="56" spans="1:6" s="159" customFormat="1" ht="37.5">
      <c r="A56" s="171">
        <v>902</v>
      </c>
      <c r="B56" s="171" t="s">
        <v>641</v>
      </c>
      <c r="C56" s="175" t="s">
        <v>19</v>
      </c>
      <c r="D56" s="158"/>
      <c r="E56" s="158"/>
      <c r="F56" s="158"/>
    </row>
    <row r="57" spans="1:6" ht="93.75">
      <c r="A57" s="164">
        <v>902</v>
      </c>
      <c r="B57" s="171" t="s">
        <v>630</v>
      </c>
      <c r="C57" s="173" t="s">
        <v>523</v>
      </c>
    </row>
    <row r="58" spans="1:6" ht="75">
      <c r="A58" s="164">
        <v>902</v>
      </c>
      <c r="B58" s="171" t="s">
        <v>632</v>
      </c>
      <c r="C58" s="173" t="s">
        <v>524</v>
      </c>
    </row>
    <row r="59" spans="1:6" s="159" customFormat="1" ht="56.25">
      <c r="A59" s="171">
        <v>902</v>
      </c>
      <c r="B59" s="171" t="s">
        <v>406</v>
      </c>
      <c r="C59" s="173" t="s">
        <v>20</v>
      </c>
      <c r="D59" s="158"/>
      <c r="E59" s="158"/>
      <c r="F59" s="158"/>
    </row>
    <row r="60" spans="1:6" s="159" customFormat="1" ht="56.25">
      <c r="A60" s="171">
        <v>902</v>
      </c>
      <c r="B60" s="171" t="s">
        <v>21</v>
      </c>
      <c r="C60" s="173" t="s">
        <v>22</v>
      </c>
      <c r="D60" s="158"/>
      <c r="E60" s="158"/>
      <c r="F60" s="158"/>
    </row>
    <row r="61" spans="1:6" s="159" customFormat="1" ht="75">
      <c r="A61" s="171">
        <v>902</v>
      </c>
      <c r="B61" s="171" t="s">
        <v>23</v>
      </c>
      <c r="C61" s="173" t="s">
        <v>24</v>
      </c>
      <c r="D61" s="158"/>
      <c r="E61" s="158"/>
      <c r="F61" s="158"/>
    </row>
    <row r="62" spans="1:6" s="159" customFormat="1" ht="55.9" customHeight="1">
      <c r="A62" s="164">
        <v>902</v>
      </c>
      <c r="B62" s="171" t="s">
        <v>25</v>
      </c>
      <c r="C62" s="173" t="s">
        <v>26</v>
      </c>
      <c r="D62" s="158"/>
      <c r="E62" s="158"/>
      <c r="F62" s="158"/>
    </row>
    <row r="63" spans="1:6" s="159" customFormat="1" ht="77.25" customHeight="1">
      <c r="A63" s="164">
        <v>902</v>
      </c>
      <c r="B63" s="171" t="s">
        <v>472</v>
      </c>
      <c r="C63" s="173" t="s">
        <v>471</v>
      </c>
      <c r="D63" s="158"/>
      <c r="E63" s="158"/>
      <c r="F63" s="158"/>
    </row>
    <row r="64" spans="1:6" s="159" customFormat="1" ht="77.25" customHeight="1">
      <c r="A64" s="164">
        <v>902</v>
      </c>
      <c r="B64" s="171" t="s">
        <v>473</v>
      </c>
      <c r="C64" s="173" t="s">
        <v>474</v>
      </c>
      <c r="D64" s="158"/>
      <c r="E64" s="158"/>
      <c r="F64" s="158"/>
    </row>
    <row r="65" spans="1:6" ht="56.25">
      <c r="A65" s="170">
        <v>905</v>
      </c>
      <c r="B65" s="171"/>
      <c r="C65" s="172" t="s">
        <v>27</v>
      </c>
    </row>
    <row r="66" spans="1:6" ht="56.25">
      <c r="A66" s="171">
        <v>905</v>
      </c>
      <c r="B66" s="171" t="s">
        <v>61</v>
      </c>
      <c r="C66" s="173" t="s">
        <v>62</v>
      </c>
      <c r="D66" s="160"/>
      <c r="E66" s="160"/>
      <c r="F66" s="160"/>
    </row>
    <row r="67" spans="1:6" ht="37.5">
      <c r="A67" s="171">
        <v>905</v>
      </c>
      <c r="B67" s="171" t="s">
        <v>5</v>
      </c>
      <c r="C67" s="173" t="s">
        <v>6</v>
      </c>
      <c r="D67" s="160"/>
      <c r="E67" s="160"/>
      <c r="F67" s="160"/>
    </row>
    <row r="68" spans="1:6" ht="56.25">
      <c r="A68" s="171">
        <v>905</v>
      </c>
      <c r="B68" s="171" t="s">
        <v>477</v>
      </c>
      <c r="C68" s="173" t="s">
        <v>478</v>
      </c>
      <c r="D68" s="160"/>
      <c r="E68" s="160"/>
      <c r="F68" s="160"/>
    </row>
    <row r="69" spans="1:6" s="159" customFormat="1" ht="99" customHeight="1">
      <c r="A69" s="164">
        <v>905</v>
      </c>
      <c r="B69" s="164" t="s">
        <v>7</v>
      </c>
      <c r="C69" s="173" t="s">
        <v>8</v>
      </c>
      <c r="D69" s="158"/>
      <c r="E69" s="158"/>
      <c r="F69" s="158"/>
    </row>
    <row r="70" spans="1:6" s="159" customFormat="1" ht="37.5">
      <c r="A70" s="164">
        <v>905</v>
      </c>
      <c r="B70" s="164" t="s">
        <v>10</v>
      </c>
      <c r="C70" s="173" t="s">
        <v>11</v>
      </c>
      <c r="D70" s="158"/>
      <c r="E70" s="158"/>
      <c r="F70" s="158"/>
    </row>
    <row r="71" spans="1:6" ht="37.5">
      <c r="A71" s="171">
        <v>905</v>
      </c>
      <c r="B71" s="171" t="s">
        <v>608</v>
      </c>
      <c r="C71" s="173" t="s">
        <v>28</v>
      </c>
    </row>
    <row r="72" spans="1:6" ht="55.15" customHeight="1">
      <c r="A72" s="171">
        <v>905</v>
      </c>
      <c r="B72" s="171" t="s">
        <v>609</v>
      </c>
      <c r="C72" s="173" t="s">
        <v>29</v>
      </c>
    </row>
    <row r="73" spans="1:6" ht="37.5">
      <c r="A73" s="171">
        <v>905</v>
      </c>
      <c r="B73" s="171" t="s">
        <v>605</v>
      </c>
      <c r="C73" s="173" t="s">
        <v>15</v>
      </c>
    </row>
    <row r="74" spans="1:6" ht="93.75">
      <c r="A74" s="171">
        <v>905</v>
      </c>
      <c r="B74" s="171" t="s">
        <v>610</v>
      </c>
      <c r="C74" s="173" t="s">
        <v>34</v>
      </c>
    </row>
    <row r="75" spans="1:6" ht="150">
      <c r="A75" s="171">
        <v>905</v>
      </c>
      <c r="B75" s="171" t="s">
        <v>642</v>
      </c>
      <c r="C75" s="178" t="s">
        <v>588</v>
      </c>
    </row>
    <row r="76" spans="1:6" ht="75">
      <c r="A76" s="164">
        <v>905</v>
      </c>
      <c r="B76" s="171" t="s">
        <v>632</v>
      </c>
      <c r="C76" s="173" t="s">
        <v>524</v>
      </c>
    </row>
    <row r="77" spans="1:6" ht="37.5">
      <c r="A77" s="171">
        <v>905</v>
      </c>
      <c r="B77" s="171" t="s">
        <v>30</v>
      </c>
      <c r="C77" s="173" t="s">
        <v>31</v>
      </c>
    </row>
    <row r="78" spans="1:6" ht="37.5">
      <c r="A78" s="171">
        <v>905</v>
      </c>
      <c r="B78" s="171" t="s">
        <v>32</v>
      </c>
      <c r="C78" s="173" t="s">
        <v>33</v>
      </c>
    </row>
    <row r="79" spans="1:6" ht="37.5">
      <c r="A79" s="170">
        <v>910</v>
      </c>
      <c r="B79" s="171"/>
      <c r="C79" s="172" t="s">
        <v>87</v>
      </c>
    </row>
    <row r="80" spans="1:6" ht="37.5">
      <c r="A80" s="164">
        <v>910</v>
      </c>
      <c r="B80" s="164" t="s">
        <v>5</v>
      </c>
      <c r="C80" s="173" t="s">
        <v>6</v>
      </c>
    </row>
    <row r="81" spans="1:6" ht="56.25">
      <c r="A81" s="171">
        <v>910</v>
      </c>
      <c r="B81" s="164" t="s">
        <v>477</v>
      </c>
      <c r="C81" s="173" t="s">
        <v>478</v>
      </c>
      <c r="D81" s="160"/>
      <c r="E81" s="160"/>
      <c r="F81" s="160"/>
    </row>
    <row r="82" spans="1:6" s="159" customFormat="1" ht="56.25">
      <c r="A82" s="164">
        <v>910</v>
      </c>
      <c r="B82" s="164" t="s">
        <v>9</v>
      </c>
      <c r="C82" s="173" t="s">
        <v>405</v>
      </c>
      <c r="D82" s="158"/>
      <c r="E82" s="158"/>
      <c r="F82" s="158"/>
    </row>
    <row r="83" spans="1:6" s="159" customFormat="1" ht="37.5">
      <c r="A83" s="171">
        <v>910</v>
      </c>
      <c r="B83" s="164" t="s">
        <v>10</v>
      </c>
      <c r="C83" s="173" t="s">
        <v>11</v>
      </c>
      <c r="D83" s="158"/>
      <c r="E83" s="158"/>
      <c r="F83" s="158"/>
    </row>
    <row r="84" spans="1:6" ht="93.75">
      <c r="A84" s="171">
        <v>910</v>
      </c>
      <c r="B84" s="171" t="s">
        <v>610</v>
      </c>
      <c r="C84" s="173" t="s">
        <v>34</v>
      </c>
    </row>
    <row r="85" spans="1:6" ht="75">
      <c r="A85" s="171">
        <v>910</v>
      </c>
      <c r="B85" s="171" t="s">
        <v>632</v>
      </c>
      <c r="C85" s="173" t="s">
        <v>524</v>
      </c>
    </row>
    <row r="86" spans="1:6" ht="56.25">
      <c r="A86" s="172">
        <v>921</v>
      </c>
      <c r="B86" s="164"/>
      <c r="C86" s="172" t="s">
        <v>35</v>
      </c>
    </row>
    <row r="87" spans="1:6" s="159" customFormat="1" ht="80.25" customHeight="1">
      <c r="A87" s="171">
        <v>921</v>
      </c>
      <c r="B87" s="171" t="s">
        <v>212</v>
      </c>
      <c r="C87" s="173" t="s">
        <v>36</v>
      </c>
      <c r="D87" s="158"/>
      <c r="E87" s="158"/>
      <c r="F87" s="158"/>
    </row>
    <row r="88" spans="1:6" s="159" customFormat="1" ht="75">
      <c r="A88" s="171">
        <v>921</v>
      </c>
      <c r="B88" s="171" t="s">
        <v>407</v>
      </c>
      <c r="C88" s="173" t="s">
        <v>37</v>
      </c>
      <c r="D88" s="158"/>
      <c r="E88" s="158"/>
      <c r="F88" s="158"/>
    </row>
    <row r="89" spans="1:6" s="159" customFormat="1" ht="131.25">
      <c r="A89" s="171">
        <v>921</v>
      </c>
      <c r="B89" s="164" t="s">
        <v>533</v>
      </c>
      <c r="C89" s="173" t="s">
        <v>534</v>
      </c>
      <c r="D89" s="158"/>
      <c r="E89" s="158"/>
      <c r="F89" s="158"/>
    </row>
    <row r="90" spans="1:6" s="159" customFormat="1" ht="56.25">
      <c r="A90" s="171">
        <v>921</v>
      </c>
      <c r="B90" s="171" t="s">
        <v>408</v>
      </c>
      <c r="C90" s="173" t="s">
        <v>38</v>
      </c>
      <c r="D90" s="158"/>
      <c r="E90" s="158"/>
      <c r="F90" s="158"/>
    </row>
    <row r="91" spans="1:6" s="159" customFormat="1" ht="77.25" customHeight="1">
      <c r="A91" s="171">
        <v>921</v>
      </c>
      <c r="B91" s="171" t="s">
        <v>216</v>
      </c>
      <c r="C91" s="173" t="s">
        <v>39</v>
      </c>
      <c r="D91" s="158"/>
      <c r="E91" s="158"/>
      <c r="F91" s="158"/>
    </row>
    <row r="92" spans="1:6" s="159" customFormat="1" ht="112.5">
      <c r="A92" s="171">
        <v>921</v>
      </c>
      <c r="B92" s="171" t="s">
        <v>475</v>
      </c>
      <c r="C92" s="173" t="s">
        <v>476</v>
      </c>
      <c r="D92" s="158"/>
      <c r="E92" s="158"/>
      <c r="F92" s="158"/>
    </row>
    <row r="93" spans="1:6" s="159" customFormat="1" ht="56.25">
      <c r="A93" s="171">
        <v>921</v>
      </c>
      <c r="B93" s="171" t="s">
        <v>718</v>
      </c>
      <c r="C93" s="173" t="s">
        <v>597</v>
      </c>
      <c r="D93" s="158"/>
      <c r="E93" s="158"/>
      <c r="F93" s="158"/>
    </row>
    <row r="94" spans="1:6" s="159" customFormat="1" ht="37.5">
      <c r="A94" s="171">
        <v>921</v>
      </c>
      <c r="B94" s="171" t="s">
        <v>5</v>
      </c>
      <c r="C94" s="173" t="s">
        <v>6</v>
      </c>
      <c r="D94" s="158"/>
      <c r="E94" s="158"/>
      <c r="F94" s="158"/>
    </row>
    <row r="95" spans="1:6" s="159" customFormat="1" ht="111" customHeight="1">
      <c r="A95" s="171">
        <v>921</v>
      </c>
      <c r="B95" s="171" t="s">
        <v>40</v>
      </c>
      <c r="C95" s="173" t="s">
        <v>41</v>
      </c>
      <c r="D95" s="158"/>
      <c r="E95" s="158"/>
      <c r="F95" s="158"/>
    </row>
    <row r="96" spans="1:6" s="159" customFormat="1" ht="126" customHeight="1">
      <c r="A96" s="171">
        <v>921</v>
      </c>
      <c r="B96" s="171" t="s">
        <v>42</v>
      </c>
      <c r="C96" s="173" t="s">
        <v>43</v>
      </c>
      <c r="D96" s="158"/>
      <c r="E96" s="158"/>
      <c r="F96" s="158"/>
    </row>
    <row r="97" spans="1:6" s="159" customFormat="1" ht="110.45" customHeight="1">
      <c r="A97" s="171">
        <v>921</v>
      </c>
      <c r="B97" s="171" t="s">
        <v>44</v>
      </c>
      <c r="C97" s="173" t="s">
        <v>45</v>
      </c>
      <c r="D97" s="158"/>
      <c r="E97" s="158"/>
      <c r="F97" s="158"/>
    </row>
    <row r="98" spans="1:6" s="159" customFormat="1" ht="132" customHeight="1">
      <c r="A98" s="171">
        <v>921</v>
      </c>
      <c r="B98" s="171" t="s">
        <v>409</v>
      </c>
      <c r="C98" s="173" t="s">
        <v>46</v>
      </c>
      <c r="D98" s="158"/>
      <c r="E98" s="158"/>
      <c r="F98" s="158"/>
    </row>
    <row r="99" spans="1:6" s="159" customFormat="1" ht="99" customHeight="1">
      <c r="A99" s="171">
        <v>921</v>
      </c>
      <c r="B99" s="164" t="s">
        <v>535</v>
      </c>
      <c r="C99" s="173" t="s">
        <v>536</v>
      </c>
      <c r="D99" s="158"/>
      <c r="E99" s="158"/>
      <c r="F99" s="158"/>
    </row>
    <row r="100" spans="1:6" s="159" customFormat="1" ht="93.75">
      <c r="A100" s="171">
        <v>921</v>
      </c>
      <c r="B100" s="164" t="s">
        <v>513</v>
      </c>
      <c r="C100" s="173" t="s">
        <v>521</v>
      </c>
      <c r="D100" s="158"/>
      <c r="E100" s="158"/>
      <c r="F100" s="158"/>
    </row>
    <row r="101" spans="1:6" s="159" customFormat="1" ht="150">
      <c r="A101" s="171">
        <v>921</v>
      </c>
      <c r="B101" s="164" t="s">
        <v>643</v>
      </c>
      <c r="C101" s="173" t="s">
        <v>644</v>
      </c>
      <c r="D101" s="158"/>
      <c r="E101" s="158"/>
      <c r="F101" s="158"/>
    </row>
    <row r="102" spans="1:6" s="159" customFormat="1" ht="75">
      <c r="A102" s="171">
        <v>921</v>
      </c>
      <c r="B102" s="164" t="s">
        <v>761</v>
      </c>
      <c r="C102" s="173" t="s">
        <v>762</v>
      </c>
      <c r="D102" s="158"/>
      <c r="E102" s="158"/>
      <c r="F102" s="158"/>
    </row>
    <row r="103" spans="1:6" s="159" customFormat="1" ht="93.75">
      <c r="A103" s="164">
        <v>921</v>
      </c>
      <c r="B103" s="164" t="s">
        <v>7</v>
      </c>
      <c r="C103" s="173" t="s">
        <v>8</v>
      </c>
      <c r="D103" s="158"/>
      <c r="E103" s="158"/>
      <c r="F103" s="158"/>
    </row>
    <row r="104" spans="1:6" s="159" customFormat="1" ht="56.25">
      <c r="A104" s="164">
        <v>921</v>
      </c>
      <c r="B104" s="164" t="s">
        <v>9</v>
      </c>
      <c r="C104" s="173" t="s">
        <v>405</v>
      </c>
      <c r="D104" s="158"/>
      <c r="E104" s="158"/>
      <c r="F104" s="158"/>
    </row>
    <row r="105" spans="1:6" s="159" customFormat="1" ht="37.5">
      <c r="A105" s="164">
        <v>921</v>
      </c>
      <c r="B105" s="164" t="s">
        <v>10</v>
      </c>
      <c r="C105" s="173" t="s">
        <v>11</v>
      </c>
      <c r="D105" s="158"/>
      <c r="E105" s="158"/>
      <c r="F105" s="158"/>
    </row>
    <row r="106" spans="1:6" s="159" customFormat="1" ht="37.5">
      <c r="A106" s="171">
        <v>921</v>
      </c>
      <c r="B106" s="171" t="s">
        <v>13</v>
      </c>
      <c r="C106" s="175" t="s">
        <v>14</v>
      </c>
      <c r="D106" s="158"/>
      <c r="E106" s="158"/>
      <c r="F106" s="158"/>
    </row>
    <row r="107" spans="1:6" s="159" customFormat="1" ht="56.25">
      <c r="A107" s="171">
        <v>921</v>
      </c>
      <c r="B107" s="171" t="s">
        <v>736</v>
      </c>
      <c r="C107" s="175" t="s">
        <v>737</v>
      </c>
      <c r="D107" s="158"/>
      <c r="E107" s="158"/>
      <c r="F107" s="158"/>
    </row>
    <row r="108" spans="1:6" ht="37.5">
      <c r="A108" s="164">
        <v>921</v>
      </c>
      <c r="B108" s="171" t="s">
        <v>605</v>
      </c>
      <c r="C108" s="173" t="s">
        <v>15</v>
      </c>
    </row>
    <row r="109" spans="1:6" ht="56.25">
      <c r="A109" s="164">
        <v>921</v>
      </c>
      <c r="B109" s="171" t="s">
        <v>606</v>
      </c>
      <c r="C109" s="173" t="s">
        <v>16</v>
      </c>
    </row>
    <row r="110" spans="1:6" ht="93.75">
      <c r="A110" s="164">
        <v>921</v>
      </c>
      <c r="B110" s="171" t="s">
        <v>611</v>
      </c>
      <c r="C110" s="173" t="s">
        <v>47</v>
      </c>
    </row>
    <row r="111" spans="1:6" ht="37.5">
      <c r="A111" s="164">
        <v>921</v>
      </c>
      <c r="B111" s="171" t="s">
        <v>612</v>
      </c>
      <c r="C111" s="173" t="s">
        <v>48</v>
      </c>
    </row>
    <row r="112" spans="1:6" ht="37.5">
      <c r="A112" s="164">
        <v>921</v>
      </c>
      <c r="B112" s="164" t="s">
        <v>613</v>
      </c>
      <c r="C112" s="173" t="s">
        <v>49</v>
      </c>
    </row>
    <row r="113" spans="1:6" ht="56.25">
      <c r="A113" s="164">
        <v>921</v>
      </c>
      <c r="B113" s="171" t="s">
        <v>631</v>
      </c>
      <c r="C113" s="173" t="s">
        <v>50</v>
      </c>
    </row>
    <row r="114" spans="1:6" ht="75">
      <c r="A114" s="164">
        <v>921</v>
      </c>
      <c r="B114" s="171" t="s">
        <v>632</v>
      </c>
      <c r="C114" s="173" t="s">
        <v>524</v>
      </c>
    </row>
    <row r="115" spans="1:6" s="159" customFormat="1" ht="56.25">
      <c r="A115" s="164">
        <v>921</v>
      </c>
      <c r="B115" s="171" t="s">
        <v>51</v>
      </c>
      <c r="C115" s="173" t="s">
        <v>52</v>
      </c>
      <c r="D115" s="179"/>
      <c r="E115" s="158"/>
      <c r="F115" s="180"/>
    </row>
    <row r="116" spans="1:6" ht="56.25">
      <c r="A116" s="172">
        <v>925</v>
      </c>
      <c r="B116" s="164"/>
      <c r="C116" s="172" t="s">
        <v>53</v>
      </c>
    </row>
    <row r="117" spans="1:6" s="159" customFormat="1" ht="98.25" customHeight="1">
      <c r="A117" s="171">
        <v>925</v>
      </c>
      <c r="B117" s="171" t="s">
        <v>555</v>
      </c>
      <c r="C117" s="173" t="s">
        <v>556</v>
      </c>
      <c r="D117" s="158"/>
      <c r="E117" s="158"/>
      <c r="F117" s="158"/>
    </row>
    <row r="118" spans="1:6" s="159" customFormat="1" ht="56.25">
      <c r="A118" s="171">
        <v>925</v>
      </c>
      <c r="B118" s="171" t="s">
        <v>718</v>
      </c>
      <c r="C118" s="173" t="s">
        <v>597</v>
      </c>
      <c r="D118" s="158"/>
      <c r="E118" s="158"/>
      <c r="F118" s="158"/>
    </row>
    <row r="119" spans="1:6" s="159" customFormat="1" ht="37.5">
      <c r="A119" s="171">
        <v>925</v>
      </c>
      <c r="B119" s="171" t="s">
        <v>5</v>
      </c>
      <c r="C119" s="173" t="s">
        <v>6</v>
      </c>
      <c r="D119" s="158"/>
      <c r="E119" s="158"/>
      <c r="F119" s="158"/>
    </row>
    <row r="120" spans="1:6" s="159" customFormat="1" ht="109.9" customHeight="1">
      <c r="A120" s="171">
        <v>925</v>
      </c>
      <c r="B120" s="171" t="s">
        <v>44</v>
      </c>
      <c r="C120" s="173" t="s">
        <v>45</v>
      </c>
      <c r="D120" s="158"/>
      <c r="E120" s="158"/>
      <c r="F120" s="158"/>
    </row>
    <row r="121" spans="1:6" s="159" customFormat="1" ht="93.75">
      <c r="A121" s="164">
        <v>925</v>
      </c>
      <c r="B121" s="164" t="s">
        <v>7</v>
      </c>
      <c r="C121" s="173" t="s">
        <v>8</v>
      </c>
      <c r="D121" s="158"/>
      <c r="E121" s="158"/>
      <c r="F121" s="158"/>
    </row>
    <row r="122" spans="1:6" s="159" customFormat="1" ht="56.25">
      <c r="A122" s="164">
        <v>925</v>
      </c>
      <c r="B122" s="164" t="s">
        <v>9</v>
      </c>
      <c r="C122" s="173" t="s">
        <v>405</v>
      </c>
      <c r="D122" s="158"/>
      <c r="E122" s="158"/>
      <c r="F122" s="158"/>
    </row>
    <row r="123" spans="1:6" s="159" customFormat="1" ht="37.5">
      <c r="A123" s="164">
        <v>925</v>
      </c>
      <c r="B123" s="164" t="s">
        <v>10</v>
      </c>
      <c r="C123" s="173" t="s">
        <v>11</v>
      </c>
      <c r="D123" s="158"/>
      <c r="E123" s="158"/>
      <c r="F123" s="158"/>
    </row>
    <row r="124" spans="1:6" s="159" customFormat="1" ht="37.5">
      <c r="A124" s="171">
        <v>925</v>
      </c>
      <c r="B124" s="171" t="s">
        <v>13</v>
      </c>
      <c r="C124" s="175" t="s">
        <v>14</v>
      </c>
      <c r="D124" s="158"/>
      <c r="E124" s="158"/>
      <c r="F124" s="158"/>
    </row>
    <row r="125" spans="1:6" ht="37.5">
      <c r="A125" s="164">
        <v>925</v>
      </c>
      <c r="B125" s="171" t="s">
        <v>614</v>
      </c>
      <c r="C125" s="173" t="s">
        <v>54</v>
      </c>
    </row>
    <row r="126" spans="1:6" ht="75">
      <c r="A126" s="164">
        <v>925</v>
      </c>
      <c r="B126" s="171" t="s">
        <v>731</v>
      </c>
      <c r="C126" s="173" t="s">
        <v>734</v>
      </c>
    </row>
    <row r="127" spans="1:6" ht="37.5">
      <c r="A127" s="164">
        <v>925</v>
      </c>
      <c r="B127" s="171" t="s">
        <v>605</v>
      </c>
      <c r="C127" s="173" t="s">
        <v>15</v>
      </c>
    </row>
    <row r="128" spans="1:6" ht="56.25">
      <c r="A128" s="164">
        <v>925</v>
      </c>
      <c r="B128" s="171" t="s">
        <v>606</v>
      </c>
      <c r="C128" s="173" t="s">
        <v>16</v>
      </c>
    </row>
    <row r="129" spans="1:6" ht="112.5">
      <c r="A129" s="164">
        <v>925</v>
      </c>
      <c r="B129" s="171" t="s">
        <v>615</v>
      </c>
      <c r="C129" s="173" t="s">
        <v>55</v>
      </c>
    </row>
    <row r="130" spans="1:6" ht="37.5">
      <c r="A130" s="164">
        <v>925</v>
      </c>
      <c r="B130" s="164" t="s">
        <v>613</v>
      </c>
      <c r="C130" s="173" t="s">
        <v>49</v>
      </c>
    </row>
    <row r="131" spans="1:6" ht="56.25">
      <c r="A131" s="164">
        <v>925</v>
      </c>
      <c r="B131" s="171" t="s">
        <v>640</v>
      </c>
      <c r="C131" s="173" t="s">
        <v>18</v>
      </c>
    </row>
    <row r="132" spans="1:6" ht="56.25">
      <c r="A132" s="164">
        <v>925</v>
      </c>
      <c r="B132" s="171" t="s">
        <v>631</v>
      </c>
      <c r="C132" s="173" t="s">
        <v>50</v>
      </c>
    </row>
    <row r="133" spans="1:6" ht="75">
      <c r="A133" s="164">
        <v>925</v>
      </c>
      <c r="B133" s="171" t="s">
        <v>632</v>
      </c>
      <c r="C133" s="173" t="s">
        <v>524</v>
      </c>
    </row>
    <row r="134" spans="1:6" ht="56.25">
      <c r="A134" s="172">
        <v>926</v>
      </c>
      <c r="B134" s="164"/>
      <c r="C134" s="172" t="s">
        <v>56</v>
      </c>
    </row>
    <row r="135" spans="1:6" ht="56.25">
      <c r="A135" s="171">
        <v>926</v>
      </c>
      <c r="B135" s="171" t="s">
        <v>61</v>
      </c>
      <c r="C135" s="173" t="s">
        <v>62</v>
      </c>
    </row>
    <row r="136" spans="1:6" s="159" customFormat="1" ht="37.5">
      <c r="A136" s="171">
        <v>926</v>
      </c>
      <c r="B136" s="171" t="s">
        <v>5</v>
      </c>
      <c r="C136" s="173" t="s">
        <v>6</v>
      </c>
      <c r="D136" s="158"/>
      <c r="E136" s="158"/>
      <c r="F136" s="158"/>
    </row>
    <row r="137" spans="1:6" s="159" customFormat="1" ht="93.75">
      <c r="A137" s="164">
        <v>926</v>
      </c>
      <c r="B137" s="164" t="s">
        <v>7</v>
      </c>
      <c r="C137" s="173" t="s">
        <v>8</v>
      </c>
      <c r="D137" s="158"/>
      <c r="E137" s="158"/>
      <c r="F137" s="158"/>
    </row>
    <row r="138" spans="1:6" s="159" customFormat="1" ht="37.5">
      <c r="A138" s="164">
        <v>926</v>
      </c>
      <c r="B138" s="164" t="s">
        <v>10</v>
      </c>
      <c r="C138" s="173" t="s">
        <v>11</v>
      </c>
      <c r="D138" s="158"/>
      <c r="E138" s="158"/>
      <c r="F138" s="158"/>
    </row>
    <row r="139" spans="1:6" s="159" customFormat="1" ht="37.5">
      <c r="A139" s="164">
        <v>926</v>
      </c>
      <c r="B139" s="164" t="s">
        <v>616</v>
      </c>
      <c r="C139" s="173" t="s">
        <v>538</v>
      </c>
      <c r="D139" s="158"/>
      <c r="E139" s="158"/>
      <c r="F139" s="158"/>
    </row>
    <row r="140" spans="1:6" ht="37.5">
      <c r="A140" s="164">
        <v>926</v>
      </c>
      <c r="B140" s="171" t="s">
        <v>605</v>
      </c>
      <c r="C140" s="173" t="s">
        <v>15</v>
      </c>
    </row>
    <row r="141" spans="1:6" ht="93.75">
      <c r="A141" s="164">
        <v>926</v>
      </c>
      <c r="B141" s="171" t="s">
        <v>610</v>
      </c>
      <c r="C141" s="173" t="s">
        <v>34</v>
      </c>
    </row>
    <row r="142" spans="1:6" ht="37.5">
      <c r="A142" s="164">
        <v>926</v>
      </c>
      <c r="B142" s="171" t="s">
        <v>613</v>
      </c>
      <c r="C142" s="173" t="s">
        <v>49</v>
      </c>
    </row>
    <row r="143" spans="1:6" ht="57.75" customHeight="1">
      <c r="A143" s="164">
        <v>926</v>
      </c>
      <c r="B143" s="171" t="s">
        <v>640</v>
      </c>
      <c r="C143" s="173" t="s">
        <v>18</v>
      </c>
    </row>
    <row r="144" spans="1:6" ht="56.25">
      <c r="A144" s="164">
        <v>926</v>
      </c>
      <c r="B144" s="171" t="s">
        <v>631</v>
      </c>
      <c r="C144" s="173" t="s">
        <v>50</v>
      </c>
    </row>
    <row r="145" spans="1:6" ht="75">
      <c r="A145" s="164">
        <v>926</v>
      </c>
      <c r="B145" s="171" t="s">
        <v>632</v>
      </c>
      <c r="C145" s="173" t="s">
        <v>524</v>
      </c>
    </row>
    <row r="146" spans="1:6" ht="56.25">
      <c r="A146" s="172">
        <v>929</v>
      </c>
      <c r="B146" s="171"/>
      <c r="C146" s="172" t="s">
        <v>57</v>
      </c>
    </row>
    <row r="147" spans="1:6" ht="37.5">
      <c r="A147" s="164">
        <v>929</v>
      </c>
      <c r="B147" s="164" t="s">
        <v>5</v>
      </c>
      <c r="C147" s="173" t="s">
        <v>6</v>
      </c>
    </row>
    <row r="148" spans="1:6" ht="133.5" customHeight="1">
      <c r="A148" s="171">
        <v>929</v>
      </c>
      <c r="B148" s="171" t="s">
        <v>44</v>
      </c>
      <c r="C148" s="173" t="s">
        <v>45</v>
      </c>
      <c r="D148" s="160"/>
      <c r="E148" s="160"/>
      <c r="F148" s="160"/>
    </row>
    <row r="149" spans="1:6" ht="37.5">
      <c r="A149" s="171">
        <v>929</v>
      </c>
      <c r="B149" s="164" t="s">
        <v>10</v>
      </c>
      <c r="C149" s="173" t="s">
        <v>11</v>
      </c>
      <c r="D149" s="160"/>
      <c r="E149" s="160"/>
      <c r="F149" s="160"/>
    </row>
    <row r="150" spans="1:6" ht="37.5">
      <c r="A150" s="171">
        <v>929</v>
      </c>
      <c r="B150" s="171" t="s">
        <v>13</v>
      </c>
      <c r="C150" s="175" t="s">
        <v>14</v>
      </c>
      <c r="D150" s="160"/>
      <c r="E150" s="160"/>
      <c r="F150" s="160"/>
    </row>
    <row r="151" spans="1:6" ht="37.5">
      <c r="A151" s="164">
        <v>929</v>
      </c>
      <c r="B151" s="171" t="s">
        <v>605</v>
      </c>
      <c r="C151" s="173" t="s">
        <v>15</v>
      </c>
    </row>
    <row r="152" spans="1:6" ht="75">
      <c r="A152" s="164">
        <v>929</v>
      </c>
      <c r="B152" s="171" t="s">
        <v>632</v>
      </c>
      <c r="C152" s="173" t="s">
        <v>524</v>
      </c>
    </row>
    <row r="153" spans="1:6" ht="56.25">
      <c r="A153" s="172">
        <v>934</v>
      </c>
      <c r="B153" s="171"/>
      <c r="C153" s="172" t="s">
        <v>58</v>
      </c>
    </row>
    <row r="154" spans="1:6" s="159" customFormat="1" ht="37.5">
      <c r="A154" s="164">
        <v>934</v>
      </c>
      <c r="B154" s="164" t="s">
        <v>5</v>
      </c>
      <c r="C154" s="173" t="s">
        <v>6</v>
      </c>
      <c r="D154" s="158"/>
      <c r="E154" s="158"/>
      <c r="F154" s="158"/>
    </row>
    <row r="155" spans="1:6" s="159" customFormat="1" ht="93.75">
      <c r="A155" s="164">
        <v>934</v>
      </c>
      <c r="B155" s="164" t="s">
        <v>7</v>
      </c>
      <c r="C155" s="173" t="s">
        <v>8</v>
      </c>
      <c r="D155" s="158"/>
      <c r="E155" s="158"/>
      <c r="F155" s="158"/>
    </row>
    <row r="156" spans="1:6" s="159" customFormat="1" ht="37.5">
      <c r="A156" s="171">
        <v>934</v>
      </c>
      <c r="B156" s="164" t="s">
        <v>10</v>
      </c>
      <c r="C156" s="173" t="s">
        <v>11</v>
      </c>
      <c r="D156" s="158"/>
      <c r="E156" s="158"/>
      <c r="F156" s="158"/>
    </row>
    <row r="157" spans="1:6" ht="75">
      <c r="A157" s="164">
        <v>934</v>
      </c>
      <c r="B157" s="171" t="s">
        <v>632</v>
      </c>
      <c r="C157" s="173" t="s">
        <v>524</v>
      </c>
    </row>
    <row r="158" spans="1:6" ht="38.450000000000003" customHeight="1">
      <c r="A158" s="172">
        <v>953</v>
      </c>
      <c r="B158" s="164"/>
      <c r="C158" s="172" t="s">
        <v>59</v>
      </c>
    </row>
    <row r="159" spans="1:6" ht="37.5">
      <c r="A159" s="171">
        <v>953</v>
      </c>
      <c r="B159" s="164" t="s">
        <v>5</v>
      </c>
      <c r="C159" s="173" t="s">
        <v>6</v>
      </c>
    </row>
    <row r="160" spans="1:6" s="159" customFormat="1" ht="37.5">
      <c r="A160" s="171">
        <v>953</v>
      </c>
      <c r="B160" s="164" t="s">
        <v>10</v>
      </c>
      <c r="C160" s="173" t="s">
        <v>11</v>
      </c>
      <c r="D160" s="158"/>
      <c r="E160" s="158"/>
      <c r="F160" s="158"/>
    </row>
    <row r="161" spans="1:8" ht="56.25">
      <c r="A161" s="164">
        <v>953</v>
      </c>
      <c r="B161" s="171" t="s">
        <v>606</v>
      </c>
      <c r="C161" s="173" t="s">
        <v>16</v>
      </c>
    </row>
    <row r="162" spans="1:8" ht="75">
      <c r="A162" s="164">
        <v>953</v>
      </c>
      <c r="B162" s="171" t="s">
        <v>617</v>
      </c>
      <c r="C162" s="173" t="s">
        <v>60</v>
      </c>
    </row>
    <row r="163" spans="1:8" ht="75">
      <c r="A163" s="164">
        <v>953</v>
      </c>
      <c r="B163" s="171" t="s">
        <v>632</v>
      </c>
      <c r="C163" s="173" t="s">
        <v>524</v>
      </c>
    </row>
    <row r="165" spans="1:8" ht="18.75">
      <c r="A165" s="738" t="s">
        <v>410</v>
      </c>
      <c r="B165" s="738"/>
      <c r="C165" s="738"/>
    </row>
    <row r="166" spans="1:8" hidden="1"/>
    <row r="167" spans="1:8" ht="3.6" customHeight="1"/>
    <row r="168" spans="1:8" s="147" customFormat="1" ht="18.75">
      <c r="A168" s="141" t="s">
        <v>544</v>
      </c>
      <c r="B168" s="142"/>
      <c r="C168" s="143"/>
      <c r="D168" s="143"/>
      <c r="E168" s="143"/>
      <c r="F168" s="144"/>
      <c r="G168" s="145"/>
      <c r="H168" s="146"/>
    </row>
    <row r="169" spans="1:8" s="147" customFormat="1" ht="18.75">
      <c r="A169" s="141" t="s">
        <v>545</v>
      </c>
      <c r="B169" s="142"/>
      <c r="C169" s="143"/>
      <c r="D169" s="143"/>
      <c r="E169" s="143"/>
      <c r="F169" s="144"/>
      <c r="G169" s="145"/>
      <c r="H169" s="146"/>
    </row>
    <row r="170" spans="1:8" s="147" customFormat="1" ht="18.75">
      <c r="A170" s="148" t="s">
        <v>546</v>
      </c>
      <c r="B170" s="142"/>
      <c r="C170" s="181" t="s">
        <v>592</v>
      </c>
      <c r="D170" s="143"/>
      <c r="E170" s="143"/>
      <c r="F170" s="144"/>
    </row>
  </sheetData>
  <mergeCells count="5">
    <mergeCell ref="A7:C7"/>
    <mergeCell ref="A9:B9"/>
    <mergeCell ref="C10:C11"/>
    <mergeCell ref="A10:B10"/>
    <mergeCell ref="A165:C165"/>
  </mergeCells>
  <printOptions horizontalCentered="1"/>
  <pageMargins left="1.1811023622047245" right="0.39370078740157483" top="0.6692913385826772" bottom="0.6692913385826772" header="0.31496062992125984" footer="0.31496062992125984"/>
  <pageSetup paperSize="9" scale="75" fitToHeight="0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>
    <tabColor rgb="FFFFFF00"/>
  </sheetPr>
  <dimension ref="A1:H34"/>
  <sheetViews>
    <sheetView zoomScale="90" zoomScaleNormal="90" workbookViewId="0">
      <selection activeCell="C2" sqref="C2"/>
    </sheetView>
  </sheetViews>
  <sheetFormatPr defaultColWidth="9.140625" defaultRowHeight="12.75"/>
  <cols>
    <col min="1" max="1" width="33.28515625" style="336" customWidth="1"/>
    <col min="2" max="2" width="66.42578125" style="336" customWidth="1"/>
    <col min="3" max="3" width="20" style="336" customWidth="1"/>
    <col min="4" max="4" width="9.140625" style="336"/>
    <col min="5" max="5" width="17.7109375" style="336" customWidth="1"/>
    <col min="6" max="6" width="19.85546875" style="336" customWidth="1"/>
    <col min="7" max="7" width="10.85546875" style="336" bestFit="1" customWidth="1"/>
    <col min="8" max="16384" width="9.140625" style="336"/>
  </cols>
  <sheetData>
    <row r="1" spans="1:6" s="161" customFormat="1" ht="18.75">
      <c r="C1" s="163" t="s">
        <v>603</v>
      </c>
    </row>
    <row r="2" spans="1:6" s="161" customFormat="1" ht="18.75">
      <c r="C2" s="163" t="s">
        <v>787</v>
      </c>
    </row>
    <row r="5" spans="1:6" ht="18.75">
      <c r="C5" s="163" t="s">
        <v>653</v>
      </c>
    </row>
    <row r="6" spans="1:6" ht="18.75">
      <c r="C6" s="163" t="s">
        <v>703</v>
      </c>
    </row>
    <row r="7" spans="1:6" ht="17.45" customHeight="1">
      <c r="A7" s="212"/>
      <c r="B7" s="212"/>
      <c r="C7" s="212"/>
    </row>
    <row r="8" spans="1:6" s="161" customFormat="1" ht="18" customHeight="1">
      <c r="C8" s="163"/>
    </row>
    <row r="9" spans="1:6" s="161" customFormat="1" ht="36" customHeight="1">
      <c r="A9" s="792" t="s">
        <v>654</v>
      </c>
      <c r="B9" s="793"/>
      <c r="C9" s="793"/>
    </row>
    <row r="10" spans="1:6" ht="18.75">
      <c r="A10" s="212"/>
      <c r="B10" s="212"/>
      <c r="C10" s="212"/>
      <c r="E10" s="709"/>
      <c r="F10" s="710"/>
    </row>
    <row r="11" spans="1:6" ht="18.75">
      <c r="A11" s="212"/>
      <c r="B11" s="212"/>
      <c r="C11" s="711" t="s">
        <v>310</v>
      </c>
    </row>
    <row r="12" spans="1:6" ht="58.9" customHeight="1">
      <c r="A12" s="699" t="s">
        <v>63</v>
      </c>
      <c r="B12" s="712" t="s">
        <v>516</v>
      </c>
      <c r="C12" s="712" t="s">
        <v>65</v>
      </c>
      <c r="E12" s="713"/>
      <c r="F12" s="713"/>
    </row>
    <row r="13" spans="1:6" ht="18" customHeight="1">
      <c r="A13" s="381">
        <v>1</v>
      </c>
      <c r="B13" s="714">
        <v>2</v>
      </c>
      <c r="C13" s="715">
        <v>3</v>
      </c>
      <c r="E13" s="713"/>
      <c r="F13" s="713"/>
    </row>
    <row r="14" spans="1:6" ht="37.15" customHeight="1">
      <c r="A14" s="716" t="s">
        <v>311</v>
      </c>
      <c r="B14" s="717" t="s">
        <v>312</v>
      </c>
      <c r="C14" s="718">
        <f>C21+C15</f>
        <v>39365.400850000093</v>
      </c>
      <c r="E14" s="719"/>
      <c r="F14" s="720"/>
    </row>
    <row r="15" spans="1:6" s="565" customFormat="1" ht="37.5">
      <c r="A15" s="721" t="s">
        <v>571</v>
      </c>
      <c r="B15" s="722" t="s">
        <v>572</v>
      </c>
      <c r="C15" s="723">
        <f>C16</f>
        <v>14700</v>
      </c>
      <c r="E15" s="566"/>
      <c r="F15" s="567"/>
    </row>
    <row r="16" spans="1:6" s="565" customFormat="1" ht="56.25">
      <c r="A16" s="562" t="s">
        <v>573</v>
      </c>
      <c r="B16" s="563" t="s">
        <v>574</v>
      </c>
      <c r="C16" s="564">
        <f>C17-C19</f>
        <v>14700</v>
      </c>
      <c r="E16" s="566"/>
      <c r="F16" s="567"/>
    </row>
    <row r="17" spans="1:8" s="565" customFormat="1" ht="56.25">
      <c r="A17" s="562" t="s">
        <v>575</v>
      </c>
      <c r="B17" s="563" t="s">
        <v>576</v>
      </c>
      <c r="C17" s="564">
        <f>C18</f>
        <v>22500</v>
      </c>
      <c r="E17" s="566"/>
      <c r="F17" s="567"/>
    </row>
    <row r="18" spans="1:8" s="565" customFormat="1" ht="75">
      <c r="A18" s="562" t="s">
        <v>577</v>
      </c>
      <c r="B18" s="563" t="s">
        <v>24</v>
      </c>
      <c r="C18" s="564">
        <f>6240+1560+14700-7800+7800</f>
        <v>22500</v>
      </c>
      <c r="E18" s="566"/>
      <c r="F18" s="567"/>
    </row>
    <row r="19" spans="1:8" s="565" customFormat="1" ht="56.25">
      <c r="A19" s="562" t="s">
        <v>578</v>
      </c>
      <c r="B19" s="563" t="s">
        <v>579</v>
      </c>
      <c r="C19" s="564">
        <f>C20</f>
        <v>7800</v>
      </c>
      <c r="E19" s="566"/>
      <c r="F19" s="567"/>
    </row>
    <row r="20" spans="1:8" s="565" customFormat="1" ht="75">
      <c r="A20" s="562" t="s">
        <v>580</v>
      </c>
      <c r="B20" s="563" t="s">
        <v>26</v>
      </c>
      <c r="C20" s="564">
        <f>0+7800</f>
        <v>7800</v>
      </c>
      <c r="E20" s="566"/>
      <c r="F20" s="567"/>
    </row>
    <row r="21" spans="1:8" s="725" customFormat="1" ht="34.9" customHeight="1">
      <c r="A21" s="721" t="s">
        <v>313</v>
      </c>
      <c r="B21" s="724" t="s">
        <v>314</v>
      </c>
      <c r="C21" s="723">
        <f>C26-C22</f>
        <v>24665.400850000093</v>
      </c>
      <c r="F21" s="726"/>
      <c r="G21" s="727"/>
    </row>
    <row r="22" spans="1:8" s="491" customFormat="1" ht="18.75">
      <c r="A22" s="562" t="s">
        <v>315</v>
      </c>
      <c r="B22" s="217" t="s">
        <v>316</v>
      </c>
      <c r="C22" s="155">
        <f>C23</f>
        <v>1419011.24339</v>
      </c>
    </row>
    <row r="23" spans="1:8" s="491" customFormat="1" ht="18.75">
      <c r="A23" s="562" t="s">
        <v>317</v>
      </c>
      <c r="B23" s="217" t="s">
        <v>318</v>
      </c>
      <c r="C23" s="155">
        <f>C24</f>
        <v>1419011.24339</v>
      </c>
    </row>
    <row r="24" spans="1:8" s="491" customFormat="1" ht="37.5">
      <c r="A24" s="562" t="s">
        <v>432</v>
      </c>
      <c r="B24" s="217" t="s">
        <v>319</v>
      </c>
      <c r="C24" s="155">
        <f>C25</f>
        <v>1419011.24339</v>
      </c>
    </row>
    <row r="25" spans="1:8" s="491" customFormat="1" ht="37.5" customHeight="1">
      <c r="A25" s="562" t="s">
        <v>320</v>
      </c>
      <c r="B25" s="217" t="s">
        <v>31</v>
      </c>
      <c r="C25" s="155">
        <f>'прил. 2 (поступл.19)'!C39+C18+'прил. 2 (поступл.19)'!C38-0.02</f>
        <v>1419011.24339</v>
      </c>
    </row>
    <row r="26" spans="1:8" s="491" customFormat="1" ht="18.75">
      <c r="A26" s="562" t="s">
        <v>321</v>
      </c>
      <c r="B26" s="217" t="s">
        <v>322</v>
      </c>
      <c r="C26" s="155">
        <f>C27</f>
        <v>1443676.6442400001</v>
      </c>
    </row>
    <row r="27" spans="1:8" s="491" customFormat="1" ht="18.75">
      <c r="A27" s="562" t="s">
        <v>323</v>
      </c>
      <c r="B27" s="217" t="s">
        <v>324</v>
      </c>
      <c r="C27" s="155">
        <f>C28</f>
        <v>1443676.6442400001</v>
      </c>
    </row>
    <row r="28" spans="1:8" s="491" customFormat="1" ht="22.15" customHeight="1">
      <c r="A28" s="562" t="s">
        <v>325</v>
      </c>
      <c r="B28" s="217" t="s">
        <v>326</v>
      </c>
      <c r="C28" s="155">
        <f>C29</f>
        <v>1443676.6442400001</v>
      </c>
    </row>
    <row r="29" spans="1:8" s="491" customFormat="1" ht="37.5">
      <c r="A29" s="728" t="s">
        <v>327</v>
      </c>
      <c r="B29" s="729" t="s">
        <v>33</v>
      </c>
      <c r="C29" s="162">
        <f>'прил12(ведом 19)'!M13+C20+'прил. 2 (поступл.19)'!C38-0.02</f>
        <v>1443676.6442400001</v>
      </c>
    </row>
    <row r="30" spans="1:8" s="491" customFormat="1" ht="18.75">
      <c r="A30" s="730"/>
      <c r="B30" s="218"/>
      <c r="C30" s="731"/>
    </row>
    <row r="31" spans="1:8" s="491" customFormat="1" ht="18.75">
      <c r="A31" s="730"/>
      <c r="B31" s="218"/>
      <c r="C31" s="731"/>
    </row>
    <row r="32" spans="1:8" s="147" customFormat="1" ht="18.75">
      <c r="A32" s="141" t="s">
        <v>544</v>
      </c>
      <c r="B32" s="142"/>
      <c r="C32" s="143"/>
      <c r="D32" s="143"/>
      <c r="E32" s="143"/>
      <c r="F32" s="144"/>
      <c r="G32" s="145"/>
      <c r="H32" s="146"/>
    </row>
    <row r="33" spans="1:8" s="147" customFormat="1" ht="18.75">
      <c r="A33" s="141" t="s">
        <v>545</v>
      </c>
      <c r="B33" s="142"/>
      <c r="C33" s="143"/>
      <c r="D33" s="143"/>
      <c r="E33" s="143"/>
      <c r="F33" s="144"/>
      <c r="G33" s="145"/>
      <c r="H33" s="146"/>
    </row>
    <row r="34" spans="1:8" s="147" customFormat="1" ht="18.75">
      <c r="A34" s="148" t="s">
        <v>546</v>
      </c>
      <c r="B34" s="142"/>
      <c r="C34" s="181" t="s">
        <v>592</v>
      </c>
      <c r="D34" s="143"/>
      <c r="E34" s="143"/>
      <c r="F34" s="144"/>
    </row>
  </sheetData>
  <mergeCells count="1">
    <mergeCell ref="A9:C9"/>
  </mergeCells>
  <printOptions horizontalCentered="1"/>
  <pageMargins left="1.1811023622047245" right="0.39370078740157483" top="0.62992125984251968" bottom="0.19685039370078741" header="0" footer="0"/>
  <pageSetup paperSize="9" scale="7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rgb="FFFFFF00"/>
    <pageSetUpPr fitToPage="1"/>
  </sheetPr>
  <dimension ref="A1:G31"/>
  <sheetViews>
    <sheetView zoomScale="90" zoomScaleNormal="90" workbookViewId="0">
      <selection activeCell="D2" sqref="D2"/>
    </sheetView>
  </sheetViews>
  <sheetFormatPr defaultColWidth="9.140625" defaultRowHeight="12.75"/>
  <cols>
    <col min="1" max="1" width="33.28515625" style="27" customWidth="1"/>
    <col min="2" max="2" width="52.140625" style="27" customWidth="1"/>
    <col min="3" max="3" width="16.28515625" style="27" customWidth="1"/>
    <col min="4" max="4" width="15.85546875" style="27" customWidth="1"/>
    <col min="5" max="5" width="17.7109375" style="27" customWidth="1"/>
    <col min="6" max="6" width="19.85546875" style="27" customWidth="1"/>
    <col min="7" max="7" width="10.85546875" style="27" bestFit="1" customWidth="1"/>
    <col min="8" max="16384" width="9.140625" style="27"/>
  </cols>
  <sheetData>
    <row r="1" spans="1:6" ht="18.75">
      <c r="D1" s="1" t="s">
        <v>648</v>
      </c>
    </row>
    <row r="2" spans="1:6" ht="18.75">
      <c r="D2" s="163" t="s">
        <v>787</v>
      </c>
    </row>
    <row r="3" spans="1:6" ht="11.25" customHeight="1">
      <c r="D3" s="1"/>
    </row>
    <row r="4" spans="1:6" ht="18.75">
      <c r="D4" s="1" t="s">
        <v>655</v>
      </c>
    </row>
    <row r="5" spans="1:6" ht="18.75">
      <c r="D5" s="1" t="s">
        <v>703</v>
      </c>
    </row>
    <row r="6" spans="1:6" ht="12.75" customHeight="1">
      <c r="A6" s="3"/>
      <c r="B6" s="3"/>
      <c r="C6" s="3"/>
    </row>
    <row r="7" spans="1:6" s="53" customFormat="1" ht="45" customHeight="1">
      <c r="A7" s="797" t="s">
        <v>656</v>
      </c>
      <c r="B7" s="797"/>
      <c r="C7" s="797"/>
      <c r="D7" s="797"/>
    </row>
    <row r="8" spans="1:6" ht="12" customHeight="1">
      <c r="A8" s="3"/>
      <c r="B8" s="3"/>
      <c r="C8" s="3"/>
      <c r="E8" s="69"/>
      <c r="F8" s="45"/>
    </row>
    <row r="9" spans="1:6" ht="18.75">
      <c r="A9" s="3"/>
      <c r="B9" s="3"/>
      <c r="D9" s="29" t="s">
        <v>310</v>
      </c>
    </row>
    <row r="10" spans="1:6" ht="16.149999999999999" customHeight="1">
      <c r="A10" s="796" t="s">
        <v>63</v>
      </c>
      <c r="B10" s="796" t="s">
        <v>516</v>
      </c>
      <c r="C10" s="794" t="s">
        <v>65</v>
      </c>
      <c r="D10" s="795"/>
    </row>
    <row r="11" spans="1:6" ht="60" customHeight="1">
      <c r="A11" s="796"/>
      <c r="B11" s="796"/>
      <c r="C11" s="35" t="s">
        <v>547</v>
      </c>
      <c r="D11" s="35" t="s">
        <v>619</v>
      </c>
      <c r="E11" s="46"/>
      <c r="F11" s="46"/>
    </row>
    <row r="12" spans="1:6" ht="18" customHeight="1">
      <c r="A12" s="50">
        <v>1</v>
      </c>
      <c r="B12" s="51">
        <v>2</v>
      </c>
      <c r="C12" s="52">
        <v>3</v>
      </c>
      <c r="D12" s="52">
        <v>4</v>
      </c>
      <c r="E12" s="46"/>
      <c r="F12" s="46"/>
    </row>
    <row r="13" spans="1:6" ht="56.25">
      <c r="A13" s="54" t="s">
        <v>311</v>
      </c>
      <c r="B13" s="62" t="s">
        <v>312</v>
      </c>
      <c r="C13" s="321">
        <f>C18+C14</f>
        <v>-22500</v>
      </c>
      <c r="D13" s="321">
        <f>D18+D14</f>
        <v>0</v>
      </c>
      <c r="E13" s="30"/>
      <c r="F13" s="31"/>
    </row>
    <row r="14" spans="1:6" ht="56.25">
      <c r="A14" s="55" t="s">
        <v>571</v>
      </c>
      <c r="B14" s="70" t="s">
        <v>572</v>
      </c>
      <c r="C14" s="321">
        <f>C15</f>
        <v>-22500</v>
      </c>
      <c r="D14" s="321">
        <f>D15</f>
        <v>0</v>
      </c>
      <c r="E14" s="30"/>
      <c r="F14" s="31"/>
    </row>
    <row r="15" spans="1:6" ht="61.5" customHeight="1">
      <c r="A15" s="56" t="s">
        <v>573</v>
      </c>
      <c r="B15" s="71" t="s">
        <v>574</v>
      </c>
      <c r="C15" s="323">
        <f>-C16</f>
        <v>-22500</v>
      </c>
      <c r="D15" s="323">
        <f>-D16</f>
        <v>0</v>
      </c>
      <c r="E15" s="30"/>
      <c r="F15" s="31"/>
    </row>
    <row r="16" spans="1:6" ht="80.25" customHeight="1">
      <c r="A16" s="56" t="s">
        <v>578</v>
      </c>
      <c r="B16" s="71" t="s">
        <v>579</v>
      </c>
      <c r="C16" s="324">
        <f>C17</f>
        <v>22500</v>
      </c>
      <c r="D16" s="325">
        <v>0</v>
      </c>
      <c r="E16" s="30"/>
      <c r="F16" s="31"/>
    </row>
    <row r="17" spans="1:7" ht="84" customHeight="1">
      <c r="A17" s="56" t="s">
        <v>580</v>
      </c>
      <c r="B17" s="71" t="s">
        <v>26</v>
      </c>
      <c r="C17" s="324">
        <f>22500</f>
        <v>22500</v>
      </c>
      <c r="D17" s="324">
        <f>6816-6816</f>
        <v>0</v>
      </c>
      <c r="E17" s="30"/>
      <c r="F17" s="31"/>
    </row>
    <row r="18" spans="1:7" s="32" customFormat="1" ht="37.5">
      <c r="A18" s="55" t="s">
        <v>313</v>
      </c>
      <c r="B18" s="63" t="s">
        <v>314</v>
      </c>
      <c r="C18" s="326">
        <f>C23-C19</f>
        <v>0</v>
      </c>
      <c r="D18" s="322">
        <f>D23-D19</f>
        <v>0</v>
      </c>
      <c r="F18" s="33"/>
      <c r="G18" s="34"/>
    </row>
    <row r="19" spans="1:7" s="28" customFormat="1" ht="18.75">
      <c r="A19" s="56" t="s">
        <v>315</v>
      </c>
      <c r="B19" s="64" t="s">
        <v>316</v>
      </c>
      <c r="C19" s="327">
        <f t="shared" ref="C19:D21" si="0">C20</f>
        <v>1262652.1999999997</v>
      </c>
      <c r="D19" s="328">
        <f t="shared" si="0"/>
        <v>1236516.6999999997</v>
      </c>
    </row>
    <row r="20" spans="1:7" s="28" customFormat="1" ht="37.5">
      <c r="A20" s="56" t="s">
        <v>317</v>
      </c>
      <c r="B20" s="64" t="s">
        <v>318</v>
      </c>
      <c r="C20" s="327">
        <f t="shared" si="0"/>
        <v>1262652.1999999997</v>
      </c>
      <c r="D20" s="328">
        <f t="shared" si="0"/>
        <v>1236516.6999999997</v>
      </c>
    </row>
    <row r="21" spans="1:7" s="28" customFormat="1" ht="37.5">
      <c r="A21" s="56" t="s">
        <v>432</v>
      </c>
      <c r="B21" s="64" t="s">
        <v>319</v>
      </c>
      <c r="C21" s="327">
        <f t="shared" si="0"/>
        <v>1262652.1999999997</v>
      </c>
      <c r="D21" s="328">
        <f t="shared" si="0"/>
        <v>1236516.6999999997</v>
      </c>
    </row>
    <row r="22" spans="1:7" s="28" customFormat="1" ht="40.5" customHeight="1">
      <c r="A22" s="56" t="s">
        <v>320</v>
      </c>
      <c r="B22" s="71" t="s">
        <v>31</v>
      </c>
      <c r="C22" s="327">
        <v>1262652.1999999997</v>
      </c>
      <c r="D22" s="328">
        <v>1236516.6999999997</v>
      </c>
    </row>
    <row r="23" spans="1:7" s="28" customFormat="1" ht="18.75">
      <c r="A23" s="56" t="s">
        <v>321</v>
      </c>
      <c r="B23" s="71" t="s">
        <v>322</v>
      </c>
      <c r="C23" s="327">
        <f t="shared" ref="C23:D25" si="1">C24</f>
        <v>1262652.1999999997</v>
      </c>
      <c r="D23" s="327">
        <f t="shared" si="1"/>
        <v>1236516.7</v>
      </c>
    </row>
    <row r="24" spans="1:7" s="28" customFormat="1" ht="37.5">
      <c r="A24" s="56" t="s">
        <v>323</v>
      </c>
      <c r="B24" s="71" t="s">
        <v>324</v>
      </c>
      <c r="C24" s="327">
        <f t="shared" si="1"/>
        <v>1262652.1999999997</v>
      </c>
      <c r="D24" s="328">
        <f t="shared" si="1"/>
        <v>1236516.7</v>
      </c>
    </row>
    <row r="25" spans="1:7" s="28" customFormat="1" ht="37.5">
      <c r="A25" s="56" t="s">
        <v>325</v>
      </c>
      <c r="B25" s="71" t="s">
        <v>326</v>
      </c>
      <c r="C25" s="327">
        <f t="shared" si="1"/>
        <v>1262652.1999999997</v>
      </c>
      <c r="D25" s="328">
        <f t="shared" si="1"/>
        <v>1236516.7</v>
      </c>
    </row>
    <row r="26" spans="1:7" s="28" customFormat="1" ht="43.5" customHeight="1">
      <c r="A26" s="60" t="s">
        <v>327</v>
      </c>
      <c r="B26" s="320" t="s">
        <v>33</v>
      </c>
      <c r="C26" s="329">
        <f>'прил13(ведом 20-21)'!M15+C17</f>
        <v>1262652.1999999997</v>
      </c>
      <c r="D26" s="329">
        <f>'прил13(ведом 20-21)'!N15+D17</f>
        <v>1236516.7</v>
      </c>
    </row>
    <row r="27" spans="1:7" s="28" customFormat="1" ht="20.25" customHeight="1">
      <c r="A27" s="61"/>
      <c r="B27" s="330"/>
      <c r="C27" s="331"/>
      <c r="D27" s="331"/>
    </row>
    <row r="28" spans="1:7" ht="18.75">
      <c r="A28" s="3"/>
      <c r="B28" s="3"/>
      <c r="C28" s="3"/>
    </row>
    <row r="29" spans="1:7" s="49" customFormat="1" ht="18.75">
      <c r="A29" s="65" t="s">
        <v>544</v>
      </c>
      <c r="B29" s="23"/>
      <c r="C29" s="24"/>
    </row>
    <row r="30" spans="1:7" s="49" customFormat="1" ht="18.75">
      <c r="A30" s="65" t="s">
        <v>545</v>
      </c>
      <c r="B30" s="23"/>
      <c r="C30" s="24"/>
    </row>
    <row r="31" spans="1:7" s="49" customFormat="1" ht="18.75">
      <c r="A31" s="66" t="s">
        <v>546</v>
      </c>
      <c r="B31" s="23"/>
      <c r="D31" s="20" t="s">
        <v>592</v>
      </c>
    </row>
  </sheetData>
  <mergeCells count="4">
    <mergeCell ref="C10:D10"/>
    <mergeCell ref="A10:A11"/>
    <mergeCell ref="B10:B11"/>
    <mergeCell ref="A7:D7"/>
  </mergeCells>
  <printOptions horizontalCentered="1"/>
  <pageMargins left="1.1811023622047245" right="0.39370078740157483" top="0.78740157480314965" bottom="0.78740157480314965" header="0" footer="0"/>
  <pageSetup paperSize="9" scale="73" fitToHeight="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0">
    <tabColor rgb="FFFFFF00"/>
  </sheetPr>
  <dimension ref="A1:H35"/>
  <sheetViews>
    <sheetView zoomScale="90" zoomScaleNormal="90" zoomScaleSheetLayoutView="75" workbookViewId="0">
      <selection activeCell="H12" sqref="H12"/>
    </sheetView>
  </sheetViews>
  <sheetFormatPr defaultColWidth="9.140625" defaultRowHeight="18.75"/>
  <cols>
    <col min="1" max="1" width="4.85546875" style="212" customWidth="1"/>
    <col min="2" max="2" width="76" style="490" customWidth="1"/>
    <col min="3" max="3" width="12" style="490" customWidth="1"/>
    <col min="4" max="4" width="12.5703125" style="212" customWidth="1"/>
    <col min="5" max="16384" width="9.140625" style="212"/>
  </cols>
  <sheetData>
    <row r="1" spans="1:8" s="336" customFormat="1">
      <c r="D1" s="163" t="s">
        <v>651</v>
      </c>
    </row>
    <row r="2" spans="1:8" s="336" customFormat="1">
      <c r="D2" s="163" t="s">
        <v>787</v>
      </c>
    </row>
    <row r="3" spans="1:8" s="336" customFormat="1">
      <c r="D3" s="163"/>
    </row>
    <row r="4" spans="1:8">
      <c r="D4" s="163" t="s">
        <v>657</v>
      </c>
    </row>
    <row r="5" spans="1:8">
      <c r="D5" s="163" t="s">
        <v>703</v>
      </c>
    </row>
    <row r="6" spans="1:8" s="336" customFormat="1" ht="17.45" customHeight="1">
      <c r="A6" s="212"/>
      <c r="B6" s="212"/>
      <c r="C6" s="212"/>
    </row>
    <row r="8" spans="1:8">
      <c r="A8" s="744" t="s">
        <v>517</v>
      </c>
      <c r="B8" s="800"/>
      <c r="C8" s="800"/>
      <c r="D8" s="800"/>
    </row>
    <row r="9" spans="1:8" ht="20.45" customHeight="1">
      <c r="A9" s="792" t="s">
        <v>658</v>
      </c>
      <c r="B9" s="801"/>
      <c r="C9" s="801"/>
      <c r="D9" s="801"/>
    </row>
    <row r="10" spans="1:8">
      <c r="A10" s="491"/>
      <c r="B10" s="492"/>
      <c r="C10" s="492"/>
    </row>
    <row r="11" spans="1:8" ht="36" customHeight="1">
      <c r="A11" s="802" t="s">
        <v>659</v>
      </c>
      <c r="B11" s="803"/>
      <c r="C11" s="803"/>
      <c r="D11" s="803"/>
    </row>
    <row r="12" spans="1:8">
      <c r="A12" s="491"/>
      <c r="B12" s="492"/>
      <c r="C12" s="492"/>
    </row>
    <row r="13" spans="1:8">
      <c r="A13" s="491"/>
      <c r="B13" s="492"/>
      <c r="C13" s="492"/>
      <c r="D13" s="493" t="s">
        <v>328</v>
      </c>
    </row>
    <row r="14" spans="1:8" ht="37.5">
      <c r="A14" s="494" t="s">
        <v>329</v>
      </c>
      <c r="B14" s="495" t="s">
        <v>518</v>
      </c>
      <c r="C14" s="496"/>
      <c r="D14" s="496" t="s">
        <v>331</v>
      </c>
    </row>
    <row r="15" spans="1:8">
      <c r="A15" s="494">
        <v>1</v>
      </c>
      <c r="B15" s="494">
        <v>2</v>
      </c>
      <c r="C15" s="497"/>
      <c r="D15" s="496">
        <v>3</v>
      </c>
    </row>
    <row r="16" spans="1:8" ht="56.25">
      <c r="A16" s="804" t="s">
        <v>330</v>
      </c>
      <c r="B16" s="498" t="s">
        <v>334</v>
      </c>
      <c r="C16" s="499"/>
      <c r="D16" s="500">
        <f>D18-D19</f>
        <v>14700</v>
      </c>
      <c r="F16" s="501"/>
      <c r="G16" s="501"/>
      <c r="H16" s="501"/>
    </row>
    <row r="17" spans="1:8">
      <c r="A17" s="805"/>
      <c r="B17" s="502" t="s">
        <v>229</v>
      </c>
      <c r="C17" s="503"/>
      <c r="D17" s="504"/>
      <c r="F17" s="501"/>
      <c r="G17" s="501"/>
      <c r="H17" s="501"/>
    </row>
    <row r="18" spans="1:8">
      <c r="A18" s="805"/>
      <c r="B18" s="502" t="s">
        <v>332</v>
      </c>
      <c r="C18" s="503"/>
      <c r="D18" s="504">
        <f>0+22500</f>
        <v>22500</v>
      </c>
      <c r="F18" s="216"/>
      <c r="G18" s="216"/>
      <c r="H18" s="501"/>
    </row>
    <row r="19" spans="1:8">
      <c r="A19" s="805"/>
      <c r="B19" s="505" t="s">
        <v>333</v>
      </c>
      <c r="C19" s="506"/>
      <c r="D19" s="507">
        <f>7800</f>
        <v>7800</v>
      </c>
    </row>
    <row r="20" spans="1:8">
      <c r="D20" s="508"/>
    </row>
    <row r="21" spans="1:8" ht="42" customHeight="1">
      <c r="A21" s="806" t="s">
        <v>660</v>
      </c>
      <c r="B21" s="807"/>
      <c r="C21" s="807"/>
      <c r="D21" s="807"/>
    </row>
    <row r="22" spans="1:8">
      <c r="A22" s="491"/>
      <c r="B22" s="492"/>
      <c r="C22" s="492"/>
    </row>
    <row r="23" spans="1:8">
      <c r="A23" s="491"/>
      <c r="B23" s="492"/>
      <c r="C23" s="492"/>
      <c r="D23" s="493" t="s">
        <v>328</v>
      </c>
    </row>
    <row r="24" spans="1:8" ht="21.6" customHeight="1">
      <c r="A24" s="808" t="s">
        <v>329</v>
      </c>
      <c r="B24" s="808" t="s">
        <v>518</v>
      </c>
      <c r="C24" s="798" t="s">
        <v>331</v>
      </c>
      <c r="D24" s="798"/>
    </row>
    <row r="25" spans="1:8" ht="25.15" customHeight="1">
      <c r="A25" s="808"/>
      <c r="B25" s="808"/>
      <c r="C25" s="509" t="s">
        <v>547</v>
      </c>
      <c r="D25" s="509" t="s">
        <v>619</v>
      </c>
    </row>
    <row r="26" spans="1:8">
      <c r="A26" s="509">
        <v>1</v>
      </c>
      <c r="B26" s="509">
        <v>2</v>
      </c>
      <c r="C26" s="509">
        <v>3</v>
      </c>
      <c r="D26" s="509">
        <v>4</v>
      </c>
    </row>
    <row r="27" spans="1:8" ht="56.25" customHeight="1">
      <c r="A27" s="799" t="s">
        <v>330</v>
      </c>
      <c r="B27" s="510" t="s">
        <v>334</v>
      </c>
      <c r="C27" s="500">
        <f>C29-C30</f>
        <v>-22500</v>
      </c>
      <c r="D27" s="511">
        <f>D29-D30</f>
        <v>0</v>
      </c>
    </row>
    <row r="28" spans="1:8" ht="17.100000000000001" customHeight="1">
      <c r="A28" s="799"/>
      <c r="B28" s="512" t="s">
        <v>229</v>
      </c>
      <c r="C28" s="513"/>
      <c r="D28" s="513"/>
    </row>
    <row r="29" spans="1:8" ht="17.100000000000001" customHeight="1">
      <c r="A29" s="799"/>
      <c r="B29" s="512" t="s">
        <v>332</v>
      </c>
      <c r="C29" s="513">
        <v>0</v>
      </c>
      <c r="D29" s="513">
        <v>0</v>
      </c>
    </row>
    <row r="30" spans="1:8" ht="18" customHeight="1">
      <c r="A30" s="799"/>
      <c r="B30" s="514" t="s">
        <v>333</v>
      </c>
      <c r="C30" s="507">
        <f>0+22500</f>
        <v>22500</v>
      </c>
      <c r="D30" s="515">
        <f>6816-6816</f>
        <v>0</v>
      </c>
    </row>
    <row r="31" spans="1:8" ht="16.5" customHeight="1">
      <c r="A31" s="516"/>
      <c r="B31" s="517"/>
      <c r="C31" s="517"/>
      <c r="D31" s="518"/>
    </row>
    <row r="33" spans="1:8" s="147" customFormat="1">
      <c r="A33" s="141" t="s">
        <v>544</v>
      </c>
      <c r="B33" s="142"/>
      <c r="C33" s="143"/>
      <c r="D33" s="143"/>
      <c r="E33" s="143"/>
      <c r="F33" s="144"/>
      <c r="G33" s="145"/>
      <c r="H33" s="146"/>
    </row>
    <row r="34" spans="1:8" s="147" customFormat="1">
      <c r="A34" s="141" t="s">
        <v>545</v>
      </c>
      <c r="B34" s="142"/>
      <c r="C34" s="143"/>
      <c r="E34" s="143"/>
      <c r="F34" s="144"/>
      <c r="G34" s="145"/>
      <c r="H34" s="146"/>
    </row>
    <row r="35" spans="1:8" s="147" customFormat="1">
      <c r="A35" s="148" t="s">
        <v>546</v>
      </c>
      <c r="D35" s="181" t="s">
        <v>592</v>
      </c>
      <c r="E35" s="143"/>
    </row>
  </sheetData>
  <mergeCells count="9">
    <mergeCell ref="C24:D24"/>
    <mergeCell ref="A27:A30"/>
    <mergeCell ref="A8:D8"/>
    <mergeCell ref="A9:D9"/>
    <mergeCell ref="A11:D11"/>
    <mergeCell ref="A16:A19"/>
    <mergeCell ref="A21:D21"/>
    <mergeCell ref="A24:A25"/>
    <mergeCell ref="B24:B25"/>
  </mergeCells>
  <printOptions horizontalCentered="1"/>
  <pageMargins left="1.1811023622047245" right="0.39370078740157483" top="0.78740157480314965" bottom="0.78740157480314965" header="0.51181102362204722" footer="0.51181102362204722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  <pageSetUpPr fitToPage="1"/>
  </sheetPr>
  <dimension ref="A1:H132"/>
  <sheetViews>
    <sheetView topLeftCell="A29" zoomScale="90" zoomScaleNormal="90" zoomScaleSheetLayoutView="75" workbookViewId="0">
      <selection activeCell="C33" sqref="C33:C35"/>
    </sheetView>
  </sheetViews>
  <sheetFormatPr defaultColWidth="9.140625" defaultRowHeight="18.75"/>
  <cols>
    <col min="1" max="1" width="28.28515625" style="199" customWidth="1"/>
    <col min="2" max="2" width="60.140625" style="339" customWidth="1"/>
    <col min="3" max="3" width="15.5703125" style="356" customWidth="1"/>
    <col min="4" max="4" width="10.28515625" style="199" bestFit="1" customWidth="1"/>
    <col min="5" max="5" width="16.140625" style="199" customWidth="1"/>
    <col min="6" max="6" width="15.5703125" style="199" bestFit="1" customWidth="1"/>
    <col min="7" max="7" width="14.85546875" style="199" customWidth="1"/>
    <col min="8" max="16384" width="9.140625" style="199"/>
  </cols>
  <sheetData>
    <row r="1" spans="1:5" s="161" customFormat="1">
      <c r="C1" s="163" t="s">
        <v>417</v>
      </c>
    </row>
    <row r="2" spans="1:5" s="161" customFormat="1">
      <c r="C2" s="163" t="s">
        <v>787</v>
      </c>
    </row>
    <row r="3" spans="1:5" s="161" customFormat="1">
      <c r="C3" s="163"/>
    </row>
    <row r="4" spans="1:5">
      <c r="C4" s="163" t="s">
        <v>417</v>
      </c>
    </row>
    <row r="5" spans="1:5">
      <c r="C5" s="163" t="s">
        <v>703</v>
      </c>
    </row>
    <row r="6" spans="1:5" ht="13.5" customHeight="1"/>
    <row r="7" spans="1:5" ht="15" customHeight="1"/>
    <row r="8" spans="1:5" ht="36" customHeight="1">
      <c r="A8" s="739" t="s">
        <v>618</v>
      </c>
      <c r="B8" s="739"/>
      <c r="C8" s="739"/>
    </row>
    <row r="10" spans="1:5">
      <c r="C10" s="340" t="s">
        <v>74</v>
      </c>
    </row>
    <row r="11" spans="1:5" ht="20.45" customHeight="1">
      <c r="A11" s="341" t="s">
        <v>63</v>
      </c>
      <c r="B11" s="342" t="s">
        <v>64</v>
      </c>
      <c r="C11" s="343" t="s">
        <v>65</v>
      </c>
    </row>
    <row r="12" spans="1:5">
      <c r="A12" s="341">
        <v>1</v>
      </c>
      <c r="B12" s="342">
        <v>2</v>
      </c>
      <c r="C12" s="344">
        <v>3</v>
      </c>
    </row>
    <row r="13" spans="1:5">
      <c r="A13" s="183" t="s">
        <v>198</v>
      </c>
      <c r="B13" s="184" t="s">
        <v>199</v>
      </c>
      <c r="C13" s="185">
        <f>SUM(C14:C30)</f>
        <v>388155.29999999993</v>
      </c>
      <c r="E13" s="345"/>
    </row>
    <row r="14" spans="1:5">
      <c r="A14" s="171" t="s">
        <v>200</v>
      </c>
      <c r="B14" s="335" t="s">
        <v>201</v>
      </c>
      <c r="C14" s="346">
        <v>3100</v>
      </c>
      <c r="E14" s="347"/>
    </row>
    <row r="15" spans="1:5">
      <c r="A15" s="191" t="s">
        <v>202</v>
      </c>
      <c r="B15" s="348" t="s">
        <v>203</v>
      </c>
      <c r="C15" s="346">
        <f>272614.7+2500+2500</f>
        <v>277614.7</v>
      </c>
      <c r="E15" s="347"/>
    </row>
    <row r="16" spans="1:5" ht="132" customHeight="1">
      <c r="A16" s="164" t="s">
        <v>204</v>
      </c>
      <c r="B16" s="349" t="s">
        <v>554</v>
      </c>
      <c r="C16" s="346">
        <v>4108.3</v>
      </c>
      <c r="E16" s="347"/>
    </row>
    <row r="17" spans="1:5" ht="37.5">
      <c r="A17" s="171" t="s">
        <v>413</v>
      </c>
      <c r="B17" s="349" t="s">
        <v>414</v>
      </c>
      <c r="C17" s="346">
        <f>28564+2500</f>
        <v>31064</v>
      </c>
      <c r="E17" s="347"/>
    </row>
    <row r="18" spans="1:5" ht="37.5">
      <c r="A18" s="171" t="s">
        <v>205</v>
      </c>
      <c r="B18" s="349" t="s">
        <v>435</v>
      </c>
      <c r="C18" s="346">
        <v>20615</v>
      </c>
      <c r="E18" s="347"/>
    </row>
    <row r="19" spans="1:5">
      <c r="A19" s="171" t="s">
        <v>206</v>
      </c>
      <c r="B19" s="348" t="s">
        <v>207</v>
      </c>
      <c r="C19" s="346">
        <v>100</v>
      </c>
      <c r="E19" s="347"/>
    </row>
    <row r="20" spans="1:5" ht="37.5">
      <c r="A20" s="171" t="s">
        <v>208</v>
      </c>
      <c r="B20" s="349" t="s">
        <v>209</v>
      </c>
      <c r="C20" s="346">
        <v>715</v>
      </c>
      <c r="E20" s="347"/>
    </row>
    <row r="21" spans="1:5">
      <c r="A21" s="171" t="s">
        <v>210</v>
      </c>
      <c r="B21" s="348" t="s">
        <v>211</v>
      </c>
      <c r="C21" s="346">
        <v>8230</v>
      </c>
      <c r="E21" s="347"/>
    </row>
    <row r="22" spans="1:5" ht="93.75">
      <c r="A22" s="171" t="s">
        <v>212</v>
      </c>
      <c r="B22" s="186" t="s">
        <v>213</v>
      </c>
      <c r="C22" s="346">
        <v>152.6</v>
      </c>
      <c r="E22" s="347"/>
    </row>
    <row r="23" spans="1:5" ht="112.5">
      <c r="A23" s="171" t="s">
        <v>214</v>
      </c>
      <c r="B23" s="349" t="s">
        <v>215</v>
      </c>
      <c r="C23" s="346">
        <f>19860</f>
        <v>19860</v>
      </c>
      <c r="E23" s="347"/>
    </row>
    <row r="24" spans="1:5" ht="56.25">
      <c r="A24" s="171" t="s">
        <v>408</v>
      </c>
      <c r="B24" s="349" t="s">
        <v>38</v>
      </c>
      <c r="C24" s="346">
        <f>1090+796.8</f>
        <v>1886.8</v>
      </c>
      <c r="E24" s="347"/>
    </row>
    <row r="25" spans="1:5" ht="76.150000000000006" customHeight="1">
      <c r="A25" s="171" t="s">
        <v>216</v>
      </c>
      <c r="B25" s="349" t="s">
        <v>217</v>
      </c>
      <c r="C25" s="346">
        <v>17</v>
      </c>
      <c r="E25" s="347"/>
    </row>
    <row r="26" spans="1:5" ht="131.25">
      <c r="A26" s="171" t="s">
        <v>475</v>
      </c>
      <c r="B26" s="349" t="s">
        <v>476</v>
      </c>
      <c r="C26" s="346">
        <f>93+141.8</f>
        <v>234.8</v>
      </c>
      <c r="E26" s="347"/>
    </row>
    <row r="27" spans="1:5" ht="37.5">
      <c r="A27" s="171" t="s">
        <v>218</v>
      </c>
      <c r="B27" s="349" t="s">
        <v>219</v>
      </c>
      <c r="C27" s="346">
        <v>1700</v>
      </c>
      <c r="E27" s="347"/>
    </row>
    <row r="28" spans="1:5" ht="37.5">
      <c r="A28" s="171" t="s">
        <v>589</v>
      </c>
      <c r="B28" s="196" t="s">
        <v>638</v>
      </c>
      <c r="C28" s="346">
        <f>1200+246.1</f>
        <v>1446.1</v>
      </c>
      <c r="E28" s="347"/>
    </row>
    <row r="29" spans="1:5" ht="37.5">
      <c r="A29" s="171" t="s">
        <v>220</v>
      </c>
      <c r="B29" s="349" t="s">
        <v>221</v>
      </c>
      <c r="C29" s="346">
        <f>341+5071+70+4729</f>
        <v>10211</v>
      </c>
      <c r="E29" s="347"/>
    </row>
    <row r="30" spans="1:5" ht="22.5" customHeight="1">
      <c r="A30" s="164" t="s">
        <v>222</v>
      </c>
      <c r="B30" s="349" t="s">
        <v>223</v>
      </c>
      <c r="C30" s="346">
        <v>7100</v>
      </c>
      <c r="E30" s="347"/>
    </row>
    <row r="31" spans="1:5">
      <c r="A31" s="261" t="s">
        <v>66</v>
      </c>
      <c r="B31" s="193" t="s">
        <v>415</v>
      </c>
      <c r="C31" s="528">
        <f>C32+C37-C38</f>
        <v>1008109.94169</v>
      </c>
      <c r="D31" s="345"/>
    </row>
    <row r="32" spans="1:5" ht="56.25">
      <c r="A32" s="243" t="s">
        <v>67</v>
      </c>
      <c r="B32" s="350" t="s">
        <v>68</v>
      </c>
      <c r="C32" s="351">
        <f>C33+C35+C36+C34</f>
        <v>1008122</v>
      </c>
    </row>
    <row r="33" spans="1:8" s="352" customFormat="1" ht="37.5">
      <c r="A33" s="243" t="s">
        <v>621</v>
      </c>
      <c r="B33" s="195" t="s">
        <v>465</v>
      </c>
      <c r="C33" s="351">
        <f>'прил.4 (пост.безв.19)'!C15</f>
        <v>172898.9</v>
      </c>
    </row>
    <row r="34" spans="1:8" s="352" customFormat="1" ht="36.6" customHeight="1">
      <c r="A34" s="171" t="s">
        <v>623</v>
      </c>
      <c r="B34" s="349" t="s">
        <v>402</v>
      </c>
      <c r="C34" s="351">
        <f>'прил.4 (пост.безв.19)'!C20</f>
        <v>74536.5</v>
      </c>
      <c r="E34" s="473"/>
    </row>
    <row r="35" spans="1:8" ht="37.5">
      <c r="A35" s="176" t="s">
        <v>625</v>
      </c>
      <c r="B35" s="195" t="s">
        <v>464</v>
      </c>
      <c r="C35" s="351">
        <f>'прил.4 (пост.безв.19)'!C42</f>
        <v>759189.7</v>
      </c>
    </row>
    <row r="36" spans="1:8">
      <c r="A36" s="243" t="s">
        <v>697</v>
      </c>
      <c r="B36" s="350" t="s">
        <v>224</v>
      </c>
      <c r="C36" s="351">
        <v>1496.9000000000003</v>
      </c>
    </row>
    <row r="37" spans="1:8" ht="96.6" customHeight="1">
      <c r="A37" s="243" t="s">
        <v>630</v>
      </c>
      <c r="B37" s="173" t="s">
        <v>523</v>
      </c>
      <c r="C37" s="351">
        <f>233.96339</f>
        <v>233.96339</v>
      </c>
      <c r="E37" s="345"/>
    </row>
    <row r="38" spans="1:8" ht="81.75" customHeight="1">
      <c r="A38" s="171" t="s">
        <v>632</v>
      </c>
      <c r="B38" s="173" t="s">
        <v>524</v>
      </c>
      <c r="C38" s="351">
        <f>246.0217</f>
        <v>246.02170000000001</v>
      </c>
      <c r="E38" s="345"/>
    </row>
    <row r="39" spans="1:8">
      <c r="A39" s="353"/>
      <c r="B39" s="193" t="s">
        <v>225</v>
      </c>
      <c r="C39" s="359">
        <f>C31+C13</f>
        <v>1396265.2416900001</v>
      </c>
      <c r="F39" s="354"/>
      <c r="G39" s="354"/>
    </row>
    <row r="40" spans="1:8" ht="60.6" customHeight="1">
      <c r="A40" s="740" t="s">
        <v>416</v>
      </c>
      <c r="B40" s="740"/>
      <c r="C40" s="740"/>
    </row>
    <row r="41" spans="1:8">
      <c r="A41" s="355"/>
    </row>
    <row r="42" spans="1:8">
      <c r="A42" s="355"/>
    </row>
    <row r="43" spans="1:8" s="208" customFormat="1">
      <c r="A43" s="205" t="s">
        <v>544</v>
      </c>
      <c r="B43" s="203"/>
      <c r="C43" s="144"/>
      <c r="D43" s="144"/>
      <c r="E43" s="144"/>
      <c r="F43" s="144"/>
      <c r="G43" s="206"/>
      <c r="H43" s="207"/>
    </row>
    <row r="44" spans="1:8" s="208" customFormat="1">
      <c r="A44" s="205" t="s">
        <v>545</v>
      </c>
      <c r="B44" s="203"/>
      <c r="C44" s="144"/>
      <c r="D44" s="144"/>
      <c r="E44" s="144"/>
      <c r="F44" s="144"/>
      <c r="G44" s="206"/>
      <c r="H44" s="207"/>
    </row>
    <row r="45" spans="1:8" s="208" customFormat="1">
      <c r="A45" s="209" t="s">
        <v>546</v>
      </c>
      <c r="B45" s="203"/>
      <c r="C45" s="210" t="s">
        <v>592</v>
      </c>
      <c r="D45" s="144"/>
      <c r="E45" s="144"/>
      <c r="F45" s="144"/>
    </row>
    <row r="47" spans="1:8">
      <c r="B47" s="357"/>
      <c r="C47" s="358"/>
    </row>
    <row r="48" spans="1:8">
      <c r="B48" s="357"/>
      <c r="C48" s="358"/>
    </row>
    <row r="55" spans="2:3">
      <c r="B55" s="199"/>
      <c r="C55" s="199"/>
    </row>
    <row r="56" spans="2:3">
      <c r="B56" s="199"/>
      <c r="C56" s="199"/>
    </row>
    <row r="57" spans="2:3">
      <c r="B57" s="199"/>
      <c r="C57" s="199"/>
    </row>
    <row r="58" spans="2:3">
      <c r="B58" s="199"/>
      <c r="C58" s="199"/>
    </row>
    <row r="59" spans="2:3">
      <c r="B59" s="199"/>
      <c r="C59" s="199"/>
    </row>
    <row r="60" spans="2:3">
      <c r="B60" s="199"/>
      <c r="C60" s="199"/>
    </row>
    <row r="61" spans="2:3">
      <c r="B61" s="199"/>
      <c r="C61" s="199"/>
    </row>
    <row r="62" spans="2:3">
      <c r="B62" s="199"/>
      <c r="C62" s="199"/>
    </row>
    <row r="63" spans="2:3">
      <c r="B63" s="199"/>
      <c r="C63" s="199"/>
    </row>
    <row r="64" spans="2:3">
      <c r="B64" s="199"/>
      <c r="C64" s="199"/>
    </row>
    <row r="65" spans="2:3">
      <c r="B65" s="199"/>
      <c r="C65" s="199"/>
    </row>
    <row r="66" spans="2:3">
      <c r="B66" s="199"/>
      <c r="C66" s="199"/>
    </row>
    <row r="67" spans="2:3">
      <c r="B67" s="199"/>
      <c r="C67" s="199"/>
    </row>
    <row r="68" spans="2:3">
      <c r="B68" s="199"/>
      <c r="C68" s="199"/>
    </row>
    <row r="69" spans="2:3">
      <c r="B69" s="199"/>
      <c r="C69" s="199"/>
    </row>
    <row r="70" spans="2:3">
      <c r="B70" s="199"/>
      <c r="C70" s="199"/>
    </row>
    <row r="71" spans="2:3">
      <c r="B71" s="199"/>
      <c r="C71" s="199"/>
    </row>
    <row r="72" spans="2:3">
      <c r="B72" s="199"/>
      <c r="C72" s="199"/>
    </row>
    <row r="73" spans="2:3">
      <c r="B73" s="199"/>
      <c r="C73" s="199"/>
    </row>
    <row r="74" spans="2:3">
      <c r="B74" s="199"/>
      <c r="C74" s="199"/>
    </row>
    <row r="75" spans="2:3">
      <c r="B75" s="199"/>
      <c r="C75" s="199"/>
    </row>
    <row r="76" spans="2:3">
      <c r="B76" s="199"/>
      <c r="C76" s="199"/>
    </row>
    <row r="77" spans="2:3">
      <c r="B77" s="199"/>
      <c r="C77" s="199"/>
    </row>
    <row r="78" spans="2:3">
      <c r="B78" s="199"/>
      <c r="C78" s="199"/>
    </row>
    <row r="79" spans="2:3">
      <c r="B79" s="199"/>
      <c r="C79" s="199"/>
    </row>
    <row r="80" spans="2:3">
      <c r="B80" s="199"/>
      <c r="C80" s="199"/>
    </row>
    <row r="81" spans="2:3">
      <c r="B81" s="199"/>
      <c r="C81" s="199"/>
    </row>
    <row r="82" spans="2:3">
      <c r="B82" s="199"/>
      <c r="C82" s="199"/>
    </row>
    <row r="83" spans="2:3">
      <c r="B83" s="199"/>
      <c r="C83" s="199"/>
    </row>
    <row r="84" spans="2:3">
      <c r="B84" s="199"/>
      <c r="C84" s="199"/>
    </row>
    <row r="85" spans="2:3">
      <c r="B85" s="199"/>
      <c r="C85" s="199"/>
    </row>
    <row r="86" spans="2:3">
      <c r="B86" s="199"/>
      <c r="C86" s="199"/>
    </row>
    <row r="87" spans="2:3">
      <c r="B87" s="199"/>
      <c r="C87" s="199"/>
    </row>
    <row r="88" spans="2:3">
      <c r="B88" s="199"/>
      <c r="C88" s="199"/>
    </row>
    <row r="89" spans="2:3">
      <c r="B89" s="199"/>
      <c r="C89" s="199"/>
    </row>
    <row r="90" spans="2:3">
      <c r="B90" s="199"/>
      <c r="C90" s="199"/>
    </row>
    <row r="91" spans="2:3">
      <c r="B91" s="199"/>
      <c r="C91" s="199"/>
    </row>
    <row r="92" spans="2:3">
      <c r="B92" s="199"/>
      <c r="C92" s="199"/>
    </row>
    <row r="93" spans="2:3">
      <c r="B93" s="199"/>
      <c r="C93" s="199"/>
    </row>
    <row r="94" spans="2:3">
      <c r="B94" s="199"/>
      <c r="C94" s="199"/>
    </row>
    <row r="95" spans="2:3">
      <c r="B95" s="199"/>
      <c r="C95" s="199"/>
    </row>
    <row r="96" spans="2:3">
      <c r="B96" s="199"/>
      <c r="C96" s="199"/>
    </row>
    <row r="97" spans="2:3">
      <c r="B97" s="199"/>
      <c r="C97" s="199"/>
    </row>
    <row r="98" spans="2:3">
      <c r="B98" s="199"/>
      <c r="C98" s="199"/>
    </row>
    <row r="99" spans="2:3">
      <c r="B99" s="199"/>
      <c r="C99" s="199"/>
    </row>
    <row r="100" spans="2:3">
      <c r="B100" s="199"/>
      <c r="C100" s="199"/>
    </row>
    <row r="101" spans="2:3">
      <c r="B101" s="199"/>
      <c r="C101" s="199"/>
    </row>
    <row r="102" spans="2:3">
      <c r="B102" s="199"/>
      <c r="C102" s="199"/>
    </row>
    <row r="103" spans="2:3">
      <c r="B103" s="199"/>
      <c r="C103" s="199"/>
    </row>
    <row r="104" spans="2:3">
      <c r="B104" s="199"/>
      <c r="C104" s="199"/>
    </row>
    <row r="105" spans="2:3">
      <c r="B105" s="199"/>
      <c r="C105" s="199"/>
    </row>
    <row r="106" spans="2:3">
      <c r="B106" s="199"/>
      <c r="C106" s="199"/>
    </row>
    <row r="107" spans="2:3">
      <c r="B107" s="199"/>
      <c r="C107" s="199"/>
    </row>
    <row r="108" spans="2:3">
      <c r="B108" s="199"/>
      <c r="C108" s="199"/>
    </row>
    <row r="109" spans="2:3">
      <c r="B109" s="199"/>
      <c r="C109" s="199"/>
    </row>
    <row r="110" spans="2:3">
      <c r="B110" s="199"/>
      <c r="C110" s="199"/>
    </row>
    <row r="111" spans="2:3">
      <c r="B111" s="199"/>
      <c r="C111" s="199"/>
    </row>
    <row r="112" spans="2:3">
      <c r="B112" s="199"/>
      <c r="C112" s="199"/>
    </row>
    <row r="113" spans="2:3">
      <c r="B113" s="199"/>
      <c r="C113" s="199"/>
    </row>
    <row r="114" spans="2:3">
      <c r="B114" s="199"/>
      <c r="C114" s="199"/>
    </row>
    <row r="115" spans="2:3">
      <c r="B115" s="199"/>
      <c r="C115" s="199"/>
    </row>
    <row r="116" spans="2:3">
      <c r="B116" s="199"/>
      <c r="C116" s="199"/>
    </row>
    <row r="117" spans="2:3">
      <c r="B117" s="199"/>
      <c r="C117" s="199"/>
    </row>
    <row r="118" spans="2:3">
      <c r="B118" s="199"/>
      <c r="C118" s="199"/>
    </row>
    <row r="119" spans="2:3">
      <c r="B119" s="199"/>
      <c r="C119" s="199"/>
    </row>
    <row r="120" spans="2:3">
      <c r="B120" s="199"/>
      <c r="C120" s="199"/>
    </row>
    <row r="121" spans="2:3">
      <c r="B121" s="199"/>
      <c r="C121" s="199"/>
    </row>
    <row r="122" spans="2:3">
      <c r="B122" s="199"/>
      <c r="C122" s="199"/>
    </row>
    <row r="123" spans="2:3">
      <c r="B123" s="199"/>
      <c r="C123" s="199"/>
    </row>
    <row r="124" spans="2:3">
      <c r="B124" s="199"/>
      <c r="C124" s="199"/>
    </row>
    <row r="125" spans="2:3">
      <c r="B125" s="199"/>
      <c r="C125" s="199"/>
    </row>
    <row r="126" spans="2:3">
      <c r="B126" s="199"/>
      <c r="C126" s="199"/>
    </row>
    <row r="127" spans="2:3">
      <c r="B127" s="199"/>
      <c r="C127" s="199"/>
    </row>
    <row r="128" spans="2:3">
      <c r="B128" s="199"/>
      <c r="C128" s="199"/>
    </row>
    <row r="129" spans="2:3">
      <c r="B129" s="199"/>
      <c r="C129" s="199"/>
    </row>
    <row r="130" spans="2:3">
      <c r="B130" s="199"/>
      <c r="C130" s="199"/>
    </row>
    <row r="131" spans="2:3">
      <c r="B131" s="199"/>
      <c r="C131" s="199"/>
    </row>
    <row r="132" spans="2:3">
      <c r="B132" s="199"/>
      <c r="C132" s="199"/>
    </row>
  </sheetData>
  <mergeCells count="2">
    <mergeCell ref="A8:C8"/>
    <mergeCell ref="A40:C40"/>
  </mergeCells>
  <printOptions horizontalCentered="1"/>
  <pageMargins left="1.1811023622047245" right="0.39370078740157483" top="0.78740157480314965" bottom="0.78740157480314965" header="0.39370078740157483" footer="0.39370078740157483"/>
  <pageSetup paperSize="9" scale="82" fitToHeight="0" orientation="portrait" blackAndWhite="1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L424"/>
  <sheetViews>
    <sheetView topLeftCell="B1" zoomScale="90" zoomScaleNormal="90" workbookViewId="0">
      <selection activeCell="C2" sqref="C2"/>
    </sheetView>
  </sheetViews>
  <sheetFormatPr defaultColWidth="8.85546875" defaultRowHeight="18.75"/>
  <cols>
    <col min="1" max="1" width="29.85546875" style="159" customWidth="1"/>
    <col min="2" max="2" width="71.7109375" style="159" customWidth="1"/>
    <col min="3" max="3" width="14" style="204" customWidth="1"/>
    <col min="4" max="4" width="15.5703125" style="159" customWidth="1"/>
    <col min="5" max="5" width="8.85546875" style="159"/>
    <col min="6" max="6" width="10.7109375" style="159" customWidth="1"/>
    <col min="7" max="16384" width="8.85546875" style="159"/>
  </cols>
  <sheetData>
    <row r="1" spans="1:3">
      <c r="C1" s="163" t="s">
        <v>461</v>
      </c>
    </row>
    <row r="2" spans="1:3">
      <c r="C2" s="163" t="s">
        <v>787</v>
      </c>
    </row>
    <row r="4" spans="1:3">
      <c r="C4" s="163" t="s">
        <v>598</v>
      </c>
    </row>
    <row r="5" spans="1:3">
      <c r="C5" s="163" t="s">
        <v>703</v>
      </c>
    </row>
    <row r="8" spans="1:3">
      <c r="A8" s="741" t="s">
        <v>620</v>
      </c>
      <c r="B8" s="741"/>
      <c r="C8" s="741"/>
    </row>
    <row r="9" spans="1:3">
      <c r="A9" s="698"/>
      <c r="B9" s="698"/>
      <c r="C9" s="187"/>
    </row>
    <row r="10" spans="1:3">
      <c r="C10" s="188" t="s">
        <v>74</v>
      </c>
    </row>
    <row r="11" spans="1:3">
      <c r="A11" s="189" t="s">
        <v>63</v>
      </c>
      <c r="B11" s="189" t="s">
        <v>64</v>
      </c>
      <c r="C11" s="190" t="s">
        <v>65</v>
      </c>
    </row>
    <row r="12" spans="1:3">
      <c r="A12" s="191">
        <v>1</v>
      </c>
      <c r="B12" s="191">
        <v>2</v>
      </c>
      <c r="C12" s="192">
        <v>3</v>
      </c>
    </row>
    <row r="13" spans="1:3">
      <c r="A13" s="170" t="s">
        <v>66</v>
      </c>
      <c r="B13" s="193" t="s">
        <v>415</v>
      </c>
      <c r="C13" s="194">
        <f>C14</f>
        <v>1006625.1</v>
      </c>
    </row>
    <row r="14" spans="1:3" ht="37.5">
      <c r="A14" s="171" t="s">
        <v>67</v>
      </c>
      <c r="B14" s="335" t="s">
        <v>68</v>
      </c>
      <c r="C14" s="673">
        <f>C15+C42+C20</f>
        <v>1006625.1</v>
      </c>
    </row>
    <row r="15" spans="1:3" ht="37.5">
      <c r="A15" s="171" t="s">
        <v>621</v>
      </c>
      <c r="B15" s="335" t="s">
        <v>462</v>
      </c>
      <c r="C15" s="673">
        <f>C16+C18</f>
        <v>172898.9</v>
      </c>
    </row>
    <row r="16" spans="1:3">
      <c r="A16" s="171" t="s">
        <v>622</v>
      </c>
      <c r="B16" s="335" t="s">
        <v>69</v>
      </c>
      <c r="C16" s="673">
        <f>C17</f>
        <v>167450.5</v>
      </c>
    </row>
    <row r="17" spans="1:3" ht="37.5">
      <c r="A17" s="171" t="s">
        <v>608</v>
      </c>
      <c r="B17" s="335" t="s">
        <v>28</v>
      </c>
      <c r="C17" s="673">
        <v>167450.5</v>
      </c>
    </row>
    <row r="18" spans="1:3" ht="37.5">
      <c r="A18" s="171" t="s">
        <v>739</v>
      </c>
      <c r="B18" s="335" t="s">
        <v>738</v>
      </c>
      <c r="C18" s="673">
        <f>C19</f>
        <v>5448.4</v>
      </c>
    </row>
    <row r="19" spans="1:3" ht="41.25" customHeight="1">
      <c r="A19" s="171" t="s">
        <v>609</v>
      </c>
      <c r="B19" s="335" t="s">
        <v>29</v>
      </c>
      <c r="C19" s="673">
        <f>5448.4</f>
        <v>5448.4</v>
      </c>
    </row>
    <row r="20" spans="1:3" ht="37.5">
      <c r="A20" s="171" t="s">
        <v>623</v>
      </c>
      <c r="B20" s="349" t="s">
        <v>520</v>
      </c>
      <c r="C20" s="673">
        <f>C29+C27+C25+C21</f>
        <v>74536.5</v>
      </c>
    </row>
    <row r="21" spans="1:3" ht="37.5">
      <c r="A21" s="171" t="s">
        <v>751</v>
      </c>
      <c r="B21" s="349" t="s">
        <v>750</v>
      </c>
      <c r="C21" s="673">
        <f>C22</f>
        <v>39413.9</v>
      </c>
    </row>
    <row r="22" spans="1:3" ht="56.25">
      <c r="A22" s="171" t="s">
        <v>736</v>
      </c>
      <c r="B22" s="349" t="s">
        <v>784</v>
      </c>
      <c r="C22" s="673">
        <f>C23+C24</f>
        <v>39413.9</v>
      </c>
    </row>
    <row r="23" spans="1:3" ht="37.5">
      <c r="A23" s="171"/>
      <c r="B23" s="674" t="s">
        <v>756</v>
      </c>
      <c r="C23" s="675">
        <v>15577</v>
      </c>
    </row>
    <row r="24" spans="1:3" ht="96.6" customHeight="1">
      <c r="A24" s="171"/>
      <c r="B24" s="674" t="s">
        <v>755</v>
      </c>
      <c r="C24" s="675">
        <v>23836.9</v>
      </c>
    </row>
    <row r="25" spans="1:3" ht="56.25">
      <c r="A25" s="171" t="s">
        <v>732</v>
      </c>
      <c r="B25" s="349" t="s">
        <v>733</v>
      </c>
      <c r="C25" s="673">
        <f>C26</f>
        <v>6404.8</v>
      </c>
    </row>
    <row r="26" spans="1:3" ht="75">
      <c r="A26" s="171" t="s">
        <v>731</v>
      </c>
      <c r="B26" s="349" t="s">
        <v>734</v>
      </c>
      <c r="C26" s="673">
        <v>6404.8</v>
      </c>
    </row>
    <row r="27" spans="1:3">
      <c r="A27" s="171" t="s">
        <v>717</v>
      </c>
      <c r="B27" s="349" t="s">
        <v>716</v>
      </c>
      <c r="C27" s="673">
        <f>C28</f>
        <v>63.5</v>
      </c>
    </row>
    <row r="28" spans="1:3" ht="37.5">
      <c r="A28" s="171" t="s">
        <v>616</v>
      </c>
      <c r="B28" s="349" t="s">
        <v>538</v>
      </c>
      <c r="C28" s="673">
        <v>63.5</v>
      </c>
    </row>
    <row r="29" spans="1:3">
      <c r="A29" s="176" t="s">
        <v>624</v>
      </c>
      <c r="B29" s="349" t="s">
        <v>400</v>
      </c>
      <c r="C29" s="673">
        <f>C30</f>
        <v>28654.3</v>
      </c>
    </row>
    <row r="30" spans="1:3" ht="37.5">
      <c r="A30" s="176" t="s">
        <v>605</v>
      </c>
      <c r="B30" s="349" t="s">
        <v>401</v>
      </c>
      <c r="C30" s="673">
        <f>SUM(C31:C41)</f>
        <v>28654.3</v>
      </c>
    </row>
    <row r="31" spans="1:3" ht="56.25">
      <c r="A31" s="197"/>
      <c r="B31" s="674" t="s">
        <v>596</v>
      </c>
      <c r="C31" s="673">
        <v>740</v>
      </c>
    </row>
    <row r="32" spans="1:3" ht="93" customHeight="1">
      <c r="A32" s="197"/>
      <c r="B32" s="674" t="s">
        <v>637</v>
      </c>
      <c r="C32" s="673">
        <v>3803.3</v>
      </c>
    </row>
    <row r="33" spans="1:5" ht="51" customHeight="1">
      <c r="A33" s="197"/>
      <c r="B33" s="674" t="s">
        <v>774</v>
      </c>
      <c r="C33" s="673">
        <f>1600+1600</f>
        <v>3200</v>
      </c>
      <c r="E33" s="198"/>
    </row>
    <row r="34" spans="1:5" ht="73.5" customHeight="1">
      <c r="A34" s="197"/>
      <c r="B34" s="674" t="s">
        <v>719</v>
      </c>
      <c r="C34" s="673">
        <f>1691.5+485</f>
        <v>2176.5</v>
      </c>
      <c r="E34" s="198"/>
    </row>
    <row r="35" spans="1:5" ht="187.5">
      <c r="A35" s="197"/>
      <c r="B35" s="674" t="s">
        <v>730</v>
      </c>
      <c r="C35" s="673">
        <v>2002.6</v>
      </c>
      <c r="E35" s="198"/>
    </row>
    <row r="36" spans="1:5" ht="37.5">
      <c r="A36" s="197"/>
      <c r="B36" s="674" t="s">
        <v>754</v>
      </c>
      <c r="C36" s="673">
        <v>40</v>
      </c>
      <c r="E36" s="198"/>
    </row>
    <row r="37" spans="1:5" ht="37.5">
      <c r="A37" s="197"/>
      <c r="B37" s="674" t="s">
        <v>763</v>
      </c>
      <c r="C37" s="673">
        <f>1342.2+1655.4</f>
        <v>2997.6000000000004</v>
      </c>
      <c r="E37" s="198"/>
    </row>
    <row r="38" spans="1:5" ht="144" customHeight="1">
      <c r="A38" s="197"/>
      <c r="B38" s="674" t="s">
        <v>785</v>
      </c>
      <c r="C38" s="673">
        <f>9490.7</f>
        <v>9490.7000000000007</v>
      </c>
      <c r="E38" s="198"/>
    </row>
    <row r="39" spans="1:5" ht="93.75">
      <c r="A39" s="197"/>
      <c r="B39" s="674" t="s">
        <v>779</v>
      </c>
      <c r="C39" s="673">
        <v>792.1</v>
      </c>
      <c r="E39" s="198"/>
    </row>
    <row r="40" spans="1:5" ht="115.5" customHeight="1">
      <c r="A40" s="197"/>
      <c r="B40" s="674" t="s">
        <v>780</v>
      </c>
      <c r="C40" s="673">
        <v>3147.1</v>
      </c>
      <c r="E40" s="198"/>
    </row>
    <row r="41" spans="1:5" ht="37.5">
      <c r="A41" s="197"/>
      <c r="B41" s="674" t="s">
        <v>783</v>
      </c>
      <c r="C41" s="673">
        <v>264.39999999999998</v>
      </c>
      <c r="E41" s="198"/>
    </row>
    <row r="42" spans="1:5" ht="37.5">
      <c r="A42" s="171" t="s">
        <v>625</v>
      </c>
      <c r="B42" s="335" t="s">
        <v>463</v>
      </c>
      <c r="C42" s="673">
        <f>C43+C70+C74+C78+C76</f>
        <v>759189.7</v>
      </c>
    </row>
    <row r="43" spans="1:5" ht="56.25">
      <c r="A43" s="171" t="s">
        <v>626</v>
      </c>
      <c r="B43" s="335" t="s">
        <v>70</v>
      </c>
      <c r="C43" s="673">
        <f>C44</f>
        <v>682723.79999999993</v>
      </c>
    </row>
    <row r="44" spans="1:5" ht="56.25">
      <c r="A44" s="171" t="s">
        <v>606</v>
      </c>
      <c r="B44" s="335" t="s">
        <v>71</v>
      </c>
      <c r="C44" s="673">
        <f>SUM(C45:C54,C57:C60,C62:C69)</f>
        <v>682723.79999999993</v>
      </c>
    </row>
    <row r="45" spans="1:5" ht="56.25">
      <c r="A45" s="171"/>
      <c r="B45" s="674" t="s">
        <v>72</v>
      </c>
      <c r="C45" s="676">
        <f>2489.7+9</f>
        <v>2498.6999999999998</v>
      </c>
    </row>
    <row r="46" spans="1:5" ht="168.75">
      <c r="A46" s="171"/>
      <c r="B46" s="674" t="s">
        <v>634</v>
      </c>
      <c r="C46" s="676">
        <v>617.1</v>
      </c>
    </row>
    <row r="47" spans="1:5" ht="93.75">
      <c r="A47" s="171"/>
      <c r="B47" s="674" t="s">
        <v>633</v>
      </c>
      <c r="C47" s="676">
        <v>617.29999999999995</v>
      </c>
    </row>
    <row r="48" spans="1:5" ht="75">
      <c r="A48" s="171"/>
      <c r="B48" s="674" t="s">
        <v>73</v>
      </c>
      <c r="C48" s="676">
        <v>66</v>
      </c>
    </row>
    <row r="49" spans="1:3" ht="150">
      <c r="A49" s="171"/>
      <c r="B49" s="674" t="s">
        <v>541</v>
      </c>
      <c r="C49" s="676">
        <v>66</v>
      </c>
    </row>
    <row r="50" spans="1:3" ht="150">
      <c r="A50" s="171"/>
      <c r="B50" s="674" t="s">
        <v>542</v>
      </c>
      <c r="C50" s="676">
        <f>11860+5401</f>
        <v>17261</v>
      </c>
    </row>
    <row r="51" spans="1:3" ht="131.25">
      <c r="A51" s="171"/>
      <c r="B51" s="674" t="s">
        <v>550</v>
      </c>
      <c r="C51" s="676">
        <f>98.5+81.7</f>
        <v>180.2</v>
      </c>
    </row>
    <row r="52" spans="1:3" s="199" customFormat="1" ht="375">
      <c r="A52" s="677"/>
      <c r="B52" s="678" t="s">
        <v>551</v>
      </c>
      <c r="C52" s="679">
        <v>8508.1</v>
      </c>
    </row>
    <row r="53" spans="1:3" s="199" customFormat="1" ht="168.75">
      <c r="A53" s="197"/>
      <c r="B53" s="680" t="s">
        <v>584</v>
      </c>
      <c r="C53" s="676">
        <f>29771.7+12944.3-342.3-8193.5</f>
        <v>34180.199999999997</v>
      </c>
    </row>
    <row r="54" spans="1:3" ht="93.75">
      <c r="A54" s="197"/>
      <c r="B54" s="674" t="s">
        <v>466</v>
      </c>
      <c r="C54" s="676">
        <f>SUM(C55:C56)</f>
        <v>602350</v>
      </c>
    </row>
    <row r="55" spans="1:3" ht="37.5">
      <c r="A55" s="197" t="s">
        <v>337</v>
      </c>
      <c r="B55" s="674" t="s">
        <v>339</v>
      </c>
      <c r="C55" s="681">
        <f>201087.9+5533.7</f>
        <v>206621.6</v>
      </c>
    </row>
    <row r="56" spans="1:3">
      <c r="A56" s="197"/>
      <c r="B56" s="682" t="s">
        <v>340</v>
      </c>
      <c r="C56" s="681">
        <f>382696.5+7280.8+5751.1</f>
        <v>395728.39999999997</v>
      </c>
    </row>
    <row r="57" spans="1:3" ht="75">
      <c r="A57" s="197"/>
      <c r="B57" s="674" t="s">
        <v>338</v>
      </c>
      <c r="C57" s="676">
        <f>4235.7-150</f>
        <v>4085.7</v>
      </c>
    </row>
    <row r="58" spans="1:3" ht="206.25">
      <c r="A58" s="197"/>
      <c r="B58" s="680" t="s">
        <v>786</v>
      </c>
      <c r="C58" s="676">
        <f>2072.1+298.6</f>
        <v>2370.6999999999998</v>
      </c>
    </row>
    <row r="59" spans="1:3" ht="150">
      <c r="A59" s="197"/>
      <c r="B59" s="680" t="s">
        <v>599</v>
      </c>
      <c r="C59" s="676">
        <v>125</v>
      </c>
    </row>
    <row r="60" spans="1:3" ht="168.75">
      <c r="A60" s="197"/>
      <c r="B60" s="674" t="s">
        <v>341</v>
      </c>
      <c r="C60" s="676">
        <f>C61</f>
        <v>2420.8000000000002</v>
      </c>
    </row>
    <row r="61" spans="1:3" ht="75">
      <c r="A61" s="197" t="s">
        <v>337</v>
      </c>
      <c r="B61" s="674" t="s">
        <v>636</v>
      </c>
      <c r="C61" s="676">
        <v>2420.8000000000002</v>
      </c>
    </row>
    <row r="62" spans="1:3" s="199" customFormat="1" ht="75">
      <c r="A62" s="197"/>
      <c r="B62" s="674" t="s">
        <v>374</v>
      </c>
      <c r="C62" s="676">
        <f>4763.5+21</f>
        <v>4784.5</v>
      </c>
    </row>
    <row r="63" spans="1:3" s="199" customFormat="1" ht="225">
      <c r="A63" s="197"/>
      <c r="B63" s="674" t="s">
        <v>375</v>
      </c>
      <c r="C63" s="676">
        <f>841+6</f>
        <v>847</v>
      </c>
    </row>
    <row r="64" spans="1:3" s="199" customFormat="1" ht="262.5">
      <c r="A64" s="197"/>
      <c r="B64" s="674" t="s">
        <v>635</v>
      </c>
      <c r="C64" s="676">
        <f>231-66</f>
        <v>165</v>
      </c>
    </row>
    <row r="65" spans="1:3" s="199" customFormat="1" ht="150">
      <c r="A65" s="197"/>
      <c r="B65" s="683" t="s">
        <v>495</v>
      </c>
      <c r="C65" s="676">
        <v>5.2</v>
      </c>
    </row>
    <row r="66" spans="1:3" s="199" customFormat="1" ht="93.75">
      <c r="A66" s="197"/>
      <c r="B66" s="674" t="s">
        <v>490</v>
      </c>
      <c r="C66" s="676">
        <v>493</v>
      </c>
    </row>
    <row r="67" spans="1:3" s="199" customFormat="1" ht="75">
      <c r="A67" s="197"/>
      <c r="B67" s="674" t="s">
        <v>494</v>
      </c>
      <c r="C67" s="676">
        <v>449.4</v>
      </c>
    </row>
    <row r="68" spans="1:3" s="199" customFormat="1" ht="131.25">
      <c r="A68" s="197"/>
      <c r="B68" s="674" t="s">
        <v>491</v>
      </c>
      <c r="C68" s="676">
        <v>15.6</v>
      </c>
    </row>
    <row r="69" spans="1:3" s="199" customFormat="1" ht="56.25">
      <c r="A69" s="197"/>
      <c r="B69" s="674" t="s">
        <v>549</v>
      </c>
      <c r="C69" s="676">
        <f>614.3+3</f>
        <v>617.29999999999995</v>
      </c>
    </row>
    <row r="70" spans="1:3" ht="56.25">
      <c r="A70" s="176" t="s">
        <v>627</v>
      </c>
      <c r="B70" s="349" t="s">
        <v>376</v>
      </c>
      <c r="C70" s="684">
        <f>C71</f>
        <v>59192.800000000003</v>
      </c>
    </row>
    <row r="71" spans="1:3" ht="75">
      <c r="A71" s="176" t="s">
        <v>617</v>
      </c>
      <c r="B71" s="349" t="s">
        <v>377</v>
      </c>
      <c r="C71" s="684">
        <f>SUM(C72:C73)</f>
        <v>59192.800000000003</v>
      </c>
    </row>
    <row r="72" spans="1:3" ht="131.25">
      <c r="A72" s="197"/>
      <c r="B72" s="674" t="s">
        <v>492</v>
      </c>
      <c r="C72" s="676">
        <v>33015.800000000003</v>
      </c>
    </row>
    <row r="73" spans="1:3" ht="75">
      <c r="A73" s="197"/>
      <c r="B73" s="685" t="s">
        <v>493</v>
      </c>
      <c r="C73" s="676">
        <v>26177</v>
      </c>
    </row>
    <row r="74" spans="1:3" ht="93.75">
      <c r="A74" s="176" t="s">
        <v>628</v>
      </c>
      <c r="B74" s="335" t="s">
        <v>336</v>
      </c>
      <c r="C74" s="684">
        <f>C75</f>
        <v>9069.2000000000007</v>
      </c>
    </row>
    <row r="75" spans="1:3" ht="97.5" customHeight="1">
      <c r="A75" s="176" t="s">
        <v>615</v>
      </c>
      <c r="B75" s="335" t="s">
        <v>55</v>
      </c>
      <c r="C75" s="684">
        <v>9069.2000000000007</v>
      </c>
    </row>
    <row r="76" spans="1:3" ht="80.25" customHeight="1">
      <c r="A76" s="176" t="s">
        <v>721</v>
      </c>
      <c r="B76" s="335" t="s">
        <v>722</v>
      </c>
      <c r="C76" s="684">
        <f>C77</f>
        <v>8193.5</v>
      </c>
    </row>
    <row r="77" spans="1:3" ht="80.25" customHeight="1">
      <c r="A77" s="176" t="s">
        <v>611</v>
      </c>
      <c r="B77" s="335" t="s">
        <v>47</v>
      </c>
      <c r="C77" s="684">
        <v>8193.5</v>
      </c>
    </row>
    <row r="78" spans="1:3" ht="75">
      <c r="A78" s="171" t="s">
        <v>629</v>
      </c>
      <c r="B78" s="686" t="s">
        <v>583</v>
      </c>
      <c r="C78" s="673">
        <f>C79</f>
        <v>10.4</v>
      </c>
    </row>
    <row r="79" spans="1:3" ht="75">
      <c r="A79" s="171" t="s">
        <v>607</v>
      </c>
      <c r="B79" s="686" t="s">
        <v>522</v>
      </c>
      <c r="C79" s="673">
        <f>5.9+4.5</f>
        <v>10.4</v>
      </c>
    </row>
    <row r="80" spans="1:3">
      <c r="A80" s="200"/>
      <c r="B80" s="201"/>
      <c r="C80" s="202"/>
    </row>
    <row r="81" spans="1:7">
      <c r="A81" s="200"/>
      <c r="B81" s="201"/>
      <c r="C81" s="202"/>
    </row>
    <row r="82" spans="1:7" s="208" customFormat="1">
      <c r="A82" s="205" t="s">
        <v>544</v>
      </c>
      <c r="B82" s="203"/>
      <c r="C82" s="144"/>
      <c r="D82" s="144"/>
      <c r="E82" s="144"/>
      <c r="F82" s="206"/>
      <c r="G82" s="207"/>
    </row>
    <row r="83" spans="1:7" s="208" customFormat="1">
      <c r="A83" s="205" t="s">
        <v>545</v>
      </c>
      <c r="B83" s="203"/>
      <c r="C83" s="144"/>
      <c r="D83" s="144"/>
      <c r="E83" s="144"/>
      <c r="F83" s="206"/>
      <c r="G83" s="207"/>
    </row>
    <row r="84" spans="1:7" s="208" customFormat="1">
      <c r="A84" s="209" t="s">
        <v>546</v>
      </c>
      <c r="B84" s="203"/>
      <c r="C84" s="210" t="s">
        <v>592</v>
      </c>
      <c r="D84" s="144"/>
      <c r="E84" s="144"/>
    </row>
    <row r="423" spans="11:12">
      <c r="K423" s="159">
        <v>135.4</v>
      </c>
      <c r="L423" s="159">
        <v>140.9</v>
      </c>
    </row>
    <row r="424" spans="11:12">
      <c r="K424" s="159">
        <v>27088.9</v>
      </c>
      <c r="L424" s="159">
        <v>28171.4</v>
      </c>
    </row>
  </sheetData>
  <autoFilter ref="B1:C424"/>
  <mergeCells count="1">
    <mergeCell ref="A8:C8"/>
  </mergeCells>
  <printOptions horizontalCentered="1"/>
  <pageMargins left="1.1811023622047245" right="0.39370078740157483" top="0.6692913385826772" bottom="0.39370078740157483" header="0.31496062992125984" footer="0.31496062992125984"/>
  <pageSetup paperSize="9" scale="73" fitToHeight="0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rgb="FFFFFF00"/>
    <pageSetUpPr fitToPage="1"/>
  </sheetPr>
  <dimension ref="A1:H62"/>
  <sheetViews>
    <sheetView zoomScale="90" zoomScaleNormal="90" zoomScaleSheetLayoutView="76" workbookViewId="0">
      <selection activeCell="D2" sqref="D2"/>
    </sheetView>
  </sheetViews>
  <sheetFormatPr defaultColWidth="9.140625" defaultRowHeight="18"/>
  <cols>
    <col min="1" max="1" width="6.140625" style="2" customWidth="1"/>
    <col min="2" max="2" width="9.140625" style="2" customWidth="1"/>
    <col min="3" max="3" width="62.140625" style="2" customWidth="1"/>
    <col min="4" max="4" width="17.7109375" style="13" customWidth="1"/>
    <col min="5" max="5" width="9.140625" style="2"/>
    <col min="6" max="6" width="20" style="2" customWidth="1"/>
    <col min="7" max="7" width="9.140625" style="2"/>
    <col min="8" max="8" width="11.5703125" style="2" bestFit="1" customWidth="1"/>
    <col min="9" max="16384" width="9.140625" style="2"/>
  </cols>
  <sheetData>
    <row r="1" spans="1:4" s="53" customFormat="1" ht="18.75">
      <c r="D1" s="693" t="s">
        <v>598</v>
      </c>
    </row>
    <row r="2" spans="1:4" s="53" customFormat="1" ht="18.75">
      <c r="D2" s="163" t="s">
        <v>787</v>
      </c>
    </row>
    <row r="3" spans="1:4" ht="16.5" customHeight="1"/>
    <row r="4" spans="1:4" ht="18.75">
      <c r="D4" s="693" t="s">
        <v>602</v>
      </c>
    </row>
    <row r="5" spans="1:4" ht="18.75">
      <c r="D5" s="693" t="s">
        <v>703</v>
      </c>
    </row>
    <row r="6" spans="1:4" ht="18.75">
      <c r="D6" s="694"/>
    </row>
    <row r="7" spans="1:4" ht="18.75">
      <c r="A7" s="3"/>
      <c r="B7" s="3"/>
      <c r="C7" s="3"/>
    </row>
    <row r="8" spans="1:4" ht="18.75">
      <c r="A8" s="742" t="s">
        <v>226</v>
      </c>
      <c r="B8" s="743"/>
      <c r="C8" s="743"/>
      <c r="D8" s="743"/>
    </row>
    <row r="9" spans="1:4" ht="18.75">
      <c r="A9" s="742" t="s">
        <v>645</v>
      </c>
      <c r="B9" s="743"/>
      <c r="C9" s="743"/>
      <c r="D9" s="743"/>
    </row>
    <row r="10" spans="1:4" ht="18.75">
      <c r="A10" s="3"/>
    </row>
    <row r="11" spans="1:4" ht="18.75">
      <c r="D11" s="695" t="s">
        <v>74</v>
      </c>
    </row>
    <row r="12" spans="1:4" ht="38.450000000000003" customHeight="1">
      <c r="A12" s="67" t="s">
        <v>227</v>
      </c>
      <c r="B12" s="68" t="s">
        <v>431</v>
      </c>
      <c r="C12" s="68" t="s">
        <v>76</v>
      </c>
      <c r="D12" s="696" t="s">
        <v>65</v>
      </c>
    </row>
    <row r="13" spans="1:4" ht="18.75">
      <c r="A13" s="47">
        <v>1</v>
      </c>
      <c r="B13" s="47">
        <v>2</v>
      </c>
      <c r="C13" s="47">
        <v>3</v>
      </c>
      <c r="D13" s="48">
        <v>4</v>
      </c>
    </row>
    <row r="14" spans="1:4" ht="18.75">
      <c r="A14" s="4"/>
      <c r="B14" s="4"/>
      <c r="C14" s="5" t="s">
        <v>228</v>
      </c>
      <c r="D14" s="366">
        <v>1435630.5725399998</v>
      </c>
    </row>
    <row r="15" spans="1:4" ht="18.75">
      <c r="A15" s="4"/>
      <c r="B15" s="4"/>
      <c r="C15" s="6" t="s">
        <v>229</v>
      </c>
      <c r="D15" s="7"/>
    </row>
    <row r="16" spans="1:4" ht="18.75">
      <c r="A16" s="39">
        <v>1</v>
      </c>
      <c r="B16" s="36" t="s">
        <v>230</v>
      </c>
      <c r="C16" s="8" t="s">
        <v>88</v>
      </c>
      <c r="D16" s="9">
        <v>137174.47339</v>
      </c>
    </row>
    <row r="17" spans="1:4" ht="56.25">
      <c r="A17" s="40"/>
      <c r="B17" s="37" t="s">
        <v>231</v>
      </c>
      <c r="C17" s="10" t="s">
        <v>232</v>
      </c>
      <c r="D17" s="7">
        <v>1971.5</v>
      </c>
    </row>
    <row r="18" spans="1:4" ht="75">
      <c r="A18" s="40"/>
      <c r="B18" s="37" t="s">
        <v>233</v>
      </c>
      <c r="C18" s="10" t="s">
        <v>103</v>
      </c>
      <c r="D18" s="7">
        <v>61985.902390000003</v>
      </c>
    </row>
    <row r="19" spans="1:4" ht="18.75">
      <c r="A19" s="40"/>
      <c r="B19" s="37" t="s">
        <v>593</v>
      </c>
      <c r="C19" s="58" t="s">
        <v>585</v>
      </c>
      <c r="D19" s="7">
        <v>10.4</v>
      </c>
    </row>
    <row r="20" spans="1:4" ht="56.25">
      <c r="A20" s="40"/>
      <c r="B20" s="37" t="s">
        <v>234</v>
      </c>
      <c r="C20" s="10" t="s">
        <v>191</v>
      </c>
      <c r="D20" s="7">
        <v>27664.899999999998</v>
      </c>
    </row>
    <row r="21" spans="1:4" ht="18.75">
      <c r="A21" s="40"/>
      <c r="B21" s="37" t="s">
        <v>235</v>
      </c>
      <c r="C21" s="10" t="s">
        <v>121</v>
      </c>
      <c r="D21" s="7">
        <v>650.03099999999927</v>
      </c>
    </row>
    <row r="22" spans="1:4" ht="18.75">
      <c r="A22" s="40"/>
      <c r="B22" s="37" t="s">
        <v>236</v>
      </c>
      <c r="C22" s="10" t="s">
        <v>128</v>
      </c>
      <c r="D22" s="7">
        <v>44891.74</v>
      </c>
    </row>
    <row r="23" spans="1:4" ht="37.5">
      <c r="A23" s="39">
        <v>2</v>
      </c>
      <c r="B23" s="36" t="s">
        <v>237</v>
      </c>
      <c r="C23" s="8" t="s">
        <v>136</v>
      </c>
      <c r="D23" s="9">
        <v>15577.980679999997</v>
      </c>
    </row>
    <row r="24" spans="1:4" ht="56.25">
      <c r="A24" s="40"/>
      <c r="B24" s="37" t="s">
        <v>238</v>
      </c>
      <c r="C24" s="10" t="s">
        <v>137</v>
      </c>
      <c r="D24" s="7">
        <v>6498.1166799999992</v>
      </c>
    </row>
    <row r="25" spans="1:4" ht="37.5">
      <c r="A25" s="40"/>
      <c r="B25" s="37" t="s">
        <v>239</v>
      </c>
      <c r="C25" s="10" t="s">
        <v>147</v>
      </c>
      <c r="D25" s="7">
        <v>9079.8639999999978</v>
      </c>
    </row>
    <row r="26" spans="1:4" ht="18.75">
      <c r="A26" s="39">
        <v>3</v>
      </c>
      <c r="B26" s="36" t="s">
        <v>240</v>
      </c>
      <c r="C26" s="8" t="s">
        <v>153</v>
      </c>
      <c r="D26" s="9">
        <v>33681.893400000001</v>
      </c>
    </row>
    <row r="27" spans="1:4" ht="18.75">
      <c r="A27" s="39"/>
      <c r="B27" s="37" t="s">
        <v>241</v>
      </c>
      <c r="C27" s="10" t="s">
        <v>154</v>
      </c>
      <c r="D27" s="7">
        <v>17441.2</v>
      </c>
    </row>
    <row r="28" spans="1:4" ht="18.75">
      <c r="A28" s="40"/>
      <c r="B28" s="37" t="s">
        <v>242</v>
      </c>
      <c r="C28" s="10" t="s">
        <v>160</v>
      </c>
      <c r="D28" s="7">
        <v>5673.0294000000004</v>
      </c>
    </row>
    <row r="29" spans="1:4" ht="37.5">
      <c r="A29" s="40"/>
      <c r="B29" s="37" t="s">
        <v>243</v>
      </c>
      <c r="C29" s="10" t="s">
        <v>168</v>
      </c>
      <c r="D29" s="7">
        <v>10567.664000000001</v>
      </c>
    </row>
    <row r="30" spans="1:4" ht="18.75">
      <c r="A30" s="39">
        <v>4</v>
      </c>
      <c r="B30" s="36" t="s">
        <v>244</v>
      </c>
      <c r="C30" s="8" t="s">
        <v>245</v>
      </c>
      <c r="D30" s="9">
        <v>18259.601000000002</v>
      </c>
    </row>
    <row r="31" spans="1:4" ht="18.75">
      <c r="A31" s="39"/>
      <c r="B31" s="38" t="s">
        <v>451</v>
      </c>
      <c r="C31" s="11" t="s">
        <v>447</v>
      </c>
      <c r="D31" s="12">
        <v>18223.901000000002</v>
      </c>
    </row>
    <row r="32" spans="1:4" ht="37.5">
      <c r="A32" s="39"/>
      <c r="B32" s="38" t="s">
        <v>444</v>
      </c>
      <c r="C32" s="11" t="s">
        <v>441</v>
      </c>
      <c r="D32" s="12">
        <v>35.700000000000003</v>
      </c>
    </row>
    <row r="33" spans="1:4" ht="18.75">
      <c r="A33" s="39">
        <v>5</v>
      </c>
      <c r="B33" s="36" t="s">
        <v>246</v>
      </c>
      <c r="C33" s="8" t="s">
        <v>247</v>
      </c>
      <c r="D33" s="9">
        <v>988751.23176999984</v>
      </c>
    </row>
    <row r="34" spans="1:4" ht="18.75">
      <c r="A34" s="40"/>
      <c r="B34" s="37" t="s">
        <v>248</v>
      </c>
      <c r="C34" s="10" t="s">
        <v>249</v>
      </c>
      <c r="D34" s="7">
        <v>311041.26599999995</v>
      </c>
    </row>
    <row r="35" spans="1:4" ht="18.75">
      <c r="A35" s="40"/>
      <c r="B35" s="37" t="s">
        <v>250</v>
      </c>
      <c r="C35" s="10" t="s">
        <v>251</v>
      </c>
      <c r="D35" s="7">
        <v>515481.93899999995</v>
      </c>
    </row>
    <row r="36" spans="1:4" ht="18.75">
      <c r="A36" s="40"/>
      <c r="B36" s="37" t="s">
        <v>480</v>
      </c>
      <c r="C36" s="10" t="s">
        <v>481</v>
      </c>
      <c r="D36" s="7">
        <v>105339.58846000001</v>
      </c>
    </row>
    <row r="37" spans="1:4" ht="18.75">
      <c r="A37" s="39"/>
      <c r="B37" s="37" t="s">
        <v>252</v>
      </c>
      <c r="C37" s="10" t="s">
        <v>482</v>
      </c>
      <c r="D37" s="7">
        <v>8103.4000000000005</v>
      </c>
    </row>
    <row r="38" spans="1:4" ht="18.75">
      <c r="A38" s="40"/>
      <c r="B38" s="37" t="s">
        <v>253</v>
      </c>
      <c r="C38" s="10" t="s">
        <v>254</v>
      </c>
      <c r="D38" s="7">
        <v>48785.038309999996</v>
      </c>
    </row>
    <row r="39" spans="1:4" ht="18.75">
      <c r="A39" s="43">
        <v>6</v>
      </c>
      <c r="B39" s="36" t="s">
        <v>255</v>
      </c>
      <c r="C39" s="8" t="s">
        <v>256</v>
      </c>
      <c r="D39" s="9">
        <v>33921.4</v>
      </c>
    </row>
    <row r="40" spans="1:4" ht="18.75">
      <c r="A40" s="40"/>
      <c r="B40" s="37" t="s">
        <v>257</v>
      </c>
      <c r="C40" s="10" t="s">
        <v>258</v>
      </c>
      <c r="D40" s="7">
        <v>24014.2</v>
      </c>
    </row>
    <row r="41" spans="1:4" ht="37.5">
      <c r="A41" s="40"/>
      <c r="B41" s="37" t="s">
        <v>259</v>
      </c>
      <c r="C41" s="10" t="s">
        <v>260</v>
      </c>
      <c r="D41" s="7">
        <v>9907.1999999999989</v>
      </c>
    </row>
    <row r="42" spans="1:4" ht="18.75">
      <c r="A42" s="39">
        <v>7</v>
      </c>
      <c r="B42" s="36" t="s">
        <v>261</v>
      </c>
      <c r="C42" s="8" t="s">
        <v>262</v>
      </c>
      <c r="D42" s="9">
        <v>8508.1</v>
      </c>
    </row>
    <row r="43" spans="1:4" ht="18.75">
      <c r="A43" s="40"/>
      <c r="B43" s="37" t="s">
        <v>263</v>
      </c>
      <c r="C43" s="10" t="s">
        <v>264</v>
      </c>
      <c r="D43" s="7">
        <v>8508.1</v>
      </c>
    </row>
    <row r="44" spans="1:4" s="14" customFormat="1" ht="18.75">
      <c r="A44" s="39">
        <v>8</v>
      </c>
      <c r="B44" s="39">
        <v>1000</v>
      </c>
      <c r="C44" s="8" t="s">
        <v>181</v>
      </c>
      <c r="D44" s="9">
        <v>120943.70000000001</v>
      </c>
    </row>
    <row r="45" spans="1:4" ht="18.75">
      <c r="A45" s="40"/>
      <c r="B45" s="40">
        <v>1001</v>
      </c>
      <c r="C45" s="10" t="s">
        <v>487</v>
      </c>
      <c r="D45" s="7">
        <v>276</v>
      </c>
    </row>
    <row r="46" spans="1:4" ht="18.75">
      <c r="A46" s="40"/>
      <c r="B46" s="40">
        <v>1004</v>
      </c>
      <c r="C46" s="10" t="s">
        <v>265</v>
      </c>
      <c r="D46" s="12">
        <v>111748.30000000002</v>
      </c>
    </row>
    <row r="47" spans="1:4" ht="18.75">
      <c r="A47" s="40"/>
      <c r="B47" s="40">
        <v>1006</v>
      </c>
      <c r="C47" s="10" t="s">
        <v>266</v>
      </c>
      <c r="D47" s="12">
        <v>8919.4</v>
      </c>
    </row>
    <row r="48" spans="1:4" ht="18.75">
      <c r="A48" s="43">
        <v>9</v>
      </c>
      <c r="B48" s="41">
        <v>1100</v>
      </c>
      <c r="C48" s="5" t="s">
        <v>267</v>
      </c>
      <c r="D48" s="15">
        <v>64421.323300000004</v>
      </c>
    </row>
    <row r="49" spans="1:8" ht="18.75">
      <c r="A49" s="50"/>
      <c r="B49" s="42">
        <v>1101</v>
      </c>
      <c r="C49" s="57" t="s">
        <v>500</v>
      </c>
      <c r="D49" s="12">
        <v>60309.423300000002</v>
      </c>
    </row>
    <row r="50" spans="1:8" ht="18.75">
      <c r="A50" s="43"/>
      <c r="B50" s="37" t="s">
        <v>268</v>
      </c>
      <c r="C50" s="16" t="s">
        <v>269</v>
      </c>
      <c r="D50" s="12">
        <v>1761.8</v>
      </c>
    </row>
    <row r="51" spans="1:8" ht="37.5">
      <c r="A51" s="40"/>
      <c r="B51" s="37" t="s">
        <v>270</v>
      </c>
      <c r="C51" s="17" t="s">
        <v>271</v>
      </c>
      <c r="D51" s="7">
        <v>2350.1</v>
      </c>
    </row>
    <row r="52" spans="1:8" ht="37.5">
      <c r="A52" s="39">
        <v>10</v>
      </c>
      <c r="B52" s="36" t="s">
        <v>581</v>
      </c>
      <c r="C52" s="59" t="s">
        <v>559</v>
      </c>
      <c r="D52" s="15">
        <v>14.3</v>
      </c>
    </row>
    <row r="53" spans="1:8" ht="37.5">
      <c r="A53" s="40"/>
      <c r="B53" s="37" t="s">
        <v>582</v>
      </c>
      <c r="C53" s="17" t="s">
        <v>560</v>
      </c>
      <c r="D53" s="7">
        <v>14.3</v>
      </c>
    </row>
    <row r="54" spans="1:8" ht="56.25">
      <c r="A54" s="39">
        <v>11</v>
      </c>
      <c r="B54" s="41">
        <v>1400</v>
      </c>
      <c r="C54" s="8" t="s">
        <v>272</v>
      </c>
      <c r="D54" s="18">
        <v>14376.569</v>
      </c>
    </row>
    <row r="55" spans="1:8" ht="56.25">
      <c r="A55" s="44"/>
      <c r="B55" s="42">
        <v>1401</v>
      </c>
      <c r="C55" s="10" t="s">
        <v>273</v>
      </c>
      <c r="D55" s="19">
        <v>5000</v>
      </c>
      <c r="F55" s="472"/>
      <c r="H55" s="472"/>
    </row>
    <row r="56" spans="1:8" ht="18.75">
      <c r="A56" s="44"/>
      <c r="B56" s="42">
        <v>1402</v>
      </c>
      <c r="C56" s="10" t="s">
        <v>753</v>
      </c>
      <c r="D56" s="19">
        <v>4800</v>
      </c>
    </row>
    <row r="57" spans="1:8" ht="37.5">
      <c r="A57" s="44"/>
      <c r="B57" s="42">
        <v>1403</v>
      </c>
      <c r="C57" s="10" t="s">
        <v>759</v>
      </c>
      <c r="D57" s="19">
        <v>4576.5690000000004</v>
      </c>
    </row>
    <row r="60" spans="1:8" s="21" customFormat="1" ht="18.75">
      <c r="A60" s="65" t="s">
        <v>544</v>
      </c>
      <c r="B60" s="23"/>
      <c r="C60" s="24"/>
      <c r="D60" s="697"/>
      <c r="E60" s="26"/>
      <c r="F60" s="22"/>
    </row>
    <row r="61" spans="1:8" s="21" customFormat="1" ht="18.75">
      <c r="A61" s="65" t="s">
        <v>545</v>
      </c>
      <c r="B61" s="23"/>
      <c r="C61" s="24"/>
      <c r="D61" s="697"/>
      <c r="E61" s="26"/>
      <c r="F61" s="22"/>
    </row>
    <row r="62" spans="1:8" s="21" customFormat="1" ht="18.75">
      <c r="A62" s="66" t="s">
        <v>546</v>
      </c>
      <c r="B62" s="23"/>
      <c r="D62" s="694" t="s">
        <v>592</v>
      </c>
    </row>
  </sheetData>
  <autoFilter ref="A1:D62"/>
  <mergeCells count="2">
    <mergeCell ref="A8:D8"/>
    <mergeCell ref="A9:D9"/>
  </mergeCells>
  <printOptions horizontalCentered="1"/>
  <pageMargins left="1.1811023622047245" right="0.39370078740157483" top="0.78740157480314965" bottom="0.78740157480314965" header="0" footer="0"/>
  <pageSetup paperSize="9" scale="89" fitToHeight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tabColor rgb="FF92D050"/>
    <pageSetUpPr fitToPage="1"/>
  </sheetPr>
  <dimension ref="A1:F56"/>
  <sheetViews>
    <sheetView zoomScale="90" zoomScaleNormal="90" zoomScaleSheetLayoutView="90" workbookViewId="0">
      <selection activeCell="E2" sqref="E2"/>
    </sheetView>
  </sheetViews>
  <sheetFormatPr defaultColWidth="9.140625" defaultRowHeight="18"/>
  <cols>
    <col min="1" max="1" width="6.140625" style="211" customWidth="1"/>
    <col min="2" max="2" width="9.140625" style="211" customWidth="1"/>
    <col min="3" max="3" width="62.140625" style="211" customWidth="1"/>
    <col min="4" max="4" width="14.7109375" style="213" customWidth="1"/>
    <col min="5" max="5" width="14.140625" style="211" customWidth="1"/>
    <col min="6" max="6" width="8.28515625" style="211" customWidth="1"/>
    <col min="7" max="16384" width="9.140625" style="211"/>
  </cols>
  <sheetData>
    <row r="1" spans="1:6" s="161" customFormat="1" ht="18.75">
      <c r="E1" s="163" t="s">
        <v>529</v>
      </c>
    </row>
    <row r="2" spans="1:6" s="161" customFormat="1" ht="18.75">
      <c r="E2" s="163" t="s">
        <v>787</v>
      </c>
    </row>
    <row r="4" spans="1:6" ht="18.75">
      <c r="E4" s="163" t="s">
        <v>604</v>
      </c>
    </row>
    <row r="5" spans="1:6" ht="18.75">
      <c r="E5" s="163" t="s">
        <v>703</v>
      </c>
    </row>
    <row r="7" spans="1:6" ht="18.75">
      <c r="A7" s="212"/>
      <c r="B7" s="212"/>
      <c r="C7" s="212"/>
    </row>
    <row r="8" spans="1:6" ht="18.75">
      <c r="A8" s="744" t="s">
        <v>226</v>
      </c>
      <c r="B8" s="744"/>
      <c r="C8" s="744"/>
      <c r="D8" s="744"/>
      <c r="E8" s="744"/>
      <c r="F8" s="338"/>
    </row>
    <row r="9" spans="1:6" ht="18.75">
      <c r="A9" s="744" t="s">
        <v>646</v>
      </c>
      <c r="B9" s="744"/>
      <c r="C9" s="744"/>
      <c r="D9" s="744"/>
      <c r="E9" s="744"/>
      <c r="F9" s="338"/>
    </row>
    <row r="10" spans="1:6" ht="18.75">
      <c r="A10" s="212"/>
      <c r="D10" s="211"/>
    </row>
    <row r="11" spans="1:6" ht="18.75">
      <c r="E11" s="182" t="s">
        <v>74</v>
      </c>
    </row>
    <row r="12" spans="1:6" ht="18.75">
      <c r="A12" s="746" t="s">
        <v>227</v>
      </c>
      <c r="B12" s="747" t="s">
        <v>431</v>
      </c>
      <c r="C12" s="747" t="s">
        <v>76</v>
      </c>
      <c r="D12" s="745" t="s">
        <v>65</v>
      </c>
      <c r="E12" s="745"/>
      <c r="F12" s="360"/>
    </row>
    <row r="13" spans="1:6" ht="25.9" customHeight="1">
      <c r="A13" s="746"/>
      <c r="B13" s="747"/>
      <c r="C13" s="747"/>
      <c r="D13" s="361" t="s">
        <v>547</v>
      </c>
      <c r="E13" s="361" t="s">
        <v>619</v>
      </c>
      <c r="F13" s="362"/>
    </row>
    <row r="14" spans="1:6" ht="18.75">
      <c r="A14" s="214">
        <v>1</v>
      </c>
      <c r="B14" s="214">
        <v>2</v>
      </c>
      <c r="C14" s="214">
        <v>3</v>
      </c>
      <c r="D14" s="215">
        <v>4</v>
      </c>
      <c r="E14" s="215">
        <v>5</v>
      </c>
      <c r="F14" s="363"/>
    </row>
    <row r="15" spans="1:6" ht="18.75">
      <c r="A15" s="364"/>
      <c r="B15" s="364"/>
      <c r="C15" s="365" t="s">
        <v>228</v>
      </c>
      <c r="D15" s="366" t="e">
        <f>D17+D24+D27+D31+D37+D40+D48+D43+D50+D46</f>
        <v>#REF!</v>
      </c>
      <c r="E15" s="366" t="e">
        <f>E17+E24+E27+E31+E37+E40+E48+E43+E50+E46</f>
        <v>#REF!</v>
      </c>
    </row>
    <row r="16" spans="1:6" ht="18.75">
      <c r="A16" s="364"/>
      <c r="B16" s="364"/>
      <c r="C16" s="367" t="s">
        <v>229</v>
      </c>
      <c r="D16" s="368"/>
      <c r="E16" s="368"/>
    </row>
    <row r="17" spans="1:5" ht="18.75">
      <c r="A17" s="369">
        <v>1</v>
      </c>
      <c r="B17" s="370" t="s">
        <v>230</v>
      </c>
      <c r="C17" s="371" t="s">
        <v>88</v>
      </c>
      <c r="D17" s="372" t="e">
        <f>SUM(D18:D23)</f>
        <v>#REF!</v>
      </c>
      <c r="E17" s="372" t="e">
        <f>SUM(E18:E23)</f>
        <v>#REF!</v>
      </c>
    </row>
    <row r="18" spans="1:5" ht="56.25">
      <c r="A18" s="373"/>
      <c r="B18" s="374" t="s">
        <v>231</v>
      </c>
      <c r="C18" s="375" t="s">
        <v>232</v>
      </c>
      <c r="D18" s="368" t="e">
        <f>'прил13(ведом 20-21)'!#REF!</f>
        <v>#REF!</v>
      </c>
      <c r="E18" s="368" t="e">
        <f>'прил13(ведом 20-21)'!#REF!</f>
        <v>#REF!</v>
      </c>
    </row>
    <row r="19" spans="1:5" ht="75">
      <c r="A19" s="373"/>
      <c r="B19" s="374" t="s">
        <v>233</v>
      </c>
      <c r="C19" s="375" t="s">
        <v>103</v>
      </c>
      <c r="D19" s="368" t="e">
        <f>'прил13(ведом 20-21)'!#REF!</f>
        <v>#REF!</v>
      </c>
      <c r="E19" s="368" t="e">
        <f>'прил13(ведом 20-21)'!#REF!</f>
        <v>#REF!</v>
      </c>
    </row>
    <row r="20" spans="1:5" ht="18.75">
      <c r="A20" s="373"/>
      <c r="B20" s="374" t="s">
        <v>593</v>
      </c>
      <c r="C20" s="91" t="s">
        <v>585</v>
      </c>
      <c r="D20" s="368" t="e">
        <f>'прил13(ведом 20-21)'!#REF!</f>
        <v>#REF!</v>
      </c>
      <c r="E20" s="368" t="e">
        <f>'прил13(ведом 20-21)'!#REF!</f>
        <v>#REF!</v>
      </c>
    </row>
    <row r="21" spans="1:5" ht="56.25">
      <c r="A21" s="373"/>
      <c r="B21" s="374" t="s">
        <v>234</v>
      </c>
      <c r="C21" s="375" t="s">
        <v>191</v>
      </c>
      <c r="D21" s="368" t="e">
        <f>'прил13(ведом 20-21)'!#REF!</f>
        <v>#REF!</v>
      </c>
      <c r="E21" s="368" t="e">
        <f>'прил13(ведом 20-21)'!#REF!</f>
        <v>#REF!</v>
      </c>
    </row>
    <row r="22" spans="1:5" ht="18.75">
      <c r="A22" s="373"/>
      <c r="B22" s="374" t="s">
        <v>235</v>
      </c>
      <c r="C22" s="375" t="s">
        <v>121</v>
      </c>
      <c r="D22" s="368" t="e">
        <f>'прил13(ведом 20-21)'!#REF!</f>
        <v>#REF!</v>
      </c>
      <c r="E22" s="368" t="e">
        <f>'прил13(ведом 20-21)'!#REF!</f>
        <v>#REF!</v>
      </c>
    </row>
    <row r="23" spans="1:5" ht="18.75">
      <c r="A23" s="373"/>
      <c r="B23" s="374" t="s">
        <v>236</v>
      </c>
      <c r="C23" s="375" t="s">
        <v>128</v>
      </c>
      <c r="D23" s="368" t="e">
        <f>'прил13(ведом 20-21)'!#REF!</f>
        <v>#REF!</v>
      </c>
      <c r="E23" s="368" t="e">
        <f>'прил13(ведом 20-21)'!#REF!</f>
        <v>#REF!</v>
      </c>
    </row>
    <row r="24" spans="1:5" ht="37.5">
      <c r="A24" s="369">
        <v>2</v>
      </c>
      <c r="B24" s="370" t="s">
        <v>237</v>
      </c>
      <c r="C24" s="371" t="s">
        <v>136</v>
      </c>
      <c r="D24" s="372" t="e">
        <f>SUM(D25:D26)</f>
        <v>#REF!</v>
      </c>
      <c r="E24" s="372" t="e">
        <f>SUM(E25:E26)</f>
        <v>#REF!</v>
      </c>
    </row>
    <row r="25" spans="1:5" ht="56.25">
      <c r="A25" s="373"/>
      <c r="B25" s="374" t="s">
        <v>238</v>
      </c>
      <c r="C25" s="375" t="s">
        <v>137</v>
      </c>
      <c r="D25" s="368" t="e">
        <f>'прил13(ведом 20-21)'!#REF!</f>
        <v>#REF!</v>
      </c>
      <c r="E25" s="368" t="e">
        <f>'прил13(ведом 20-21)'!#REF!</f>
        <v>#REF!</v>
      </c>
    </row>
    <row r="26" spans="1:5" ht="37.5">
      <c r="A26" s="373"/>
      <c r="B26" s="374" t="s">
        <v>239</v>
      </c>
      <c r="C26" s="375" t="s">
        <v>147</v>
      </c>
      <c r="D26" s="368" t="e">
        <f>'прил13(ведом 20-21)'!#REF!</f>
        <v>#REF!</v>
      </c>
      <c r="E26" s="368" t="e">
        <f>'прил13(ведом 20-21)'!#REF!</f>
        <v>#REF!</v>
      </c>
    </row>
    <row r="27" spans="1:5" ht="18.75">
      <c r="A27" s="369">
        <v>3</v>
      </c>
      <c r="B27" s="370" t="s">
        <v>240</v>
      </c>
      <c r="C27" s="371" t="s">
        <v>153</v>
      </c>
      <c r="D27" s="372" t="e">
        <f>SUM(D28:D30)</f>
        <v>#REF!</v>
      </c>
      <c r="E27" s="372" t="e">
        <f>SUM(E28:E30)</f>
        <v>#REF!</v>
      </c>
    </row>
    <row r="28" spans="1:5" ht="18.75">
      <c r="A28" s="369"/>
      <c r="B28" s="374" t="s">
        <v>241</v>
      </c>
      <c r="C28" s="375" t="s">
        <v>154</v>
      </c>
      <c r="D28" s="368" t="e">
        <f>'прил13(ведом 20-21)'!#REF!</f>
        <v>#REF!</v>
      </c>
      <c r="E28" s="368" t="e">
        <f>'прил13(ведом 20-21)'!#REF!</f>
        <v>#REF!</v>
      </c>
    </row>
    <row r="29" spans="1:5" ht="18.75">
      <c r="A29" s="373"/>
      <c r="B29" s="374" t="s">
        <v>242</v>
      </c>
      <c r="C29" s="375" t="s">
        <v>160</v>
      </c>
      <c r="D29" s="368" t="e">
        <f>'прил13(ведом 20-21)'!#REF!</f>
        <v>#REF!</v>
      </c>
      <c r="E29" s="368" t="e">
        <f>'прил13(ведом 20-21)'!#REF!</f>
        <v>#REF!</v>
      </c>
    </row>
    <row r="30" spans="1:5" ht="18.75" customHeight="1">
      <c r="A30" s="373"/>
      <c r="B30" s="374" t="s">
        <v>243</v>
      </c>
      <c r="C30" s="375" t="s">
        <v>168</v>
      </c>
      <c r="D30" s="368" t="e">
        <f>'прил13(ведом 20-21)'!#REF!</f>
        <v>#REF!</v>
      </c>
      <c r="E30" s="368" t="e">
        <f>'прил13(ведом 20-21)'!#REF!</f>
        <v>#REF!</v>
      </c>
    </row>
    <row r="31" spans="1:5" ht="18.75">
      <c r="A31" s="369">
        <v>4</v>
      </c>
      <c r="B31" s="370" t="s">
        <v>246</v>
      </c>
      <c r="C31" s="371" t="s">
        <v>247</v>
      </c>
      <c r="D31" s="372" t="e">
        <f>SUM(D32:D36)</f>
        <v>#REF!</v>
      </c>
      <c r="E31" s="372" t="e">
        <f>SUM(E32:E36)</f>
        <v>#REF!</v>
      </c>
    </row>
    <row r="32" spans="1:5" ht="18.75">
      <c r="A32" s="373"/>
      <c r="B32" s="374" t="s">
        <v>248</v>
      </c>
      <c r="C32" s="375" t="s">
        <v>249</v>
      </c>
      <c r="D32" s="368" t="e">
        <f>'прил13(ведом 20-21)'!#REF!</f>
        <v>#REF!</v>
      </c>
      <c r="E32" s="368" t="e">
        <f>'прил13(ведом 20-21)'!#REF!</f>
        <v>#REF!</v>
      </c>
    </row>
    <row r="33" spans="1:5" ht="18.75">
      <c r="A33" s="373"/>
      <c r="B33" s="374" t="s">
        <v>250</v>
      </c>
      <c r="C33" s="375" t="s">
        <v>251</v>
      </c>
      <c r="D33" s="368" t="e">
        <f>'прил13(ведом 20-21)'!#REF!</f>
        <v>#REF!</v>
      </c>
      <c r="E33" s="368" t="e">
        <f>'прил13(ведом 20-21)'!#REF!</f>
        <v>#REF!</v>
      </c>
    </row>
    <row r="34" spans="1:5" ht="18.75">
      <c r="A34" s="373"/>
      <c r="B34" s="374" t="s">
        <v>480</v>
      </c>
      <c r="C34" s="375" t="s">
        <v>481</v>
      </c>
      <c r="D34" s="368" t="e">
        <f>'прил13(ведом 20-21)'!#REF!</f>
        <v>#REF!</v>
      </c>
      <c r="E34" s="368" t="e">
        <f>'прил13(ведом 20-21)'!#REF!</f>
        <v>#REF!</v>
      </c>
    </row>
    <row r="35" spans="1:5" ht="18.75">
      <c r="A35" s="369"/>
      <c r="B35" s="374" t="s">
        <v>252</v>
      </c>
      <c r="C35" s="375" t="s">
        <v>482</v>
      </c>
      <c r="D35" s="368" t="e">
        <f>'прил13(ведом 20-21)'!#REF!</f>
        <v>#REF!</v>
      </c>
      <c r="E35" s="368" t="e">
        <f>'прил13(ведом 20-21)'!#REF!</f>
        <v>#REF!</v>
      </c>
    </row>
    <row r="36" spans="1:5" ht="18.75">
      <c r="A36" s="373"/>
      <c r="B36" s="374" t="s">
        <v>253</v>
      </c>
      <c r="C36" s="375" t="s">
        <v>254</v>
      </c>
      <c r="D36" s="368" t="e">
        <f>'прил13(ведом 20-21)'!#REF!</f>
        <v>#REF!</v>
      </c>
      <c r="E36" s="368" t="e">
        <f>'прил13(ведом 20-21)'!#REF!</f>
        <v>#REF!</v>
      </c>
    </row>
    <row r="37" spans="1:5" ht="18.75">
      <c r="A37" s="376">
        <v>5</v>
      </c>
      <c r="B37" s="370" t="s">
        <v>255</v>
      </c>
      <c r="C37" s="371" t="s">
        <v>256</v>
      </c>
      <c r="D37" s="372" t="e">
        <f>SUM(D38:D39)</f>
        <v>#REF!</v>
      </c>
      <c r="E37" s="372" t="e">
        <f>SUM(E38:E39)</f>
        <v>#REF!</v>
      </c>
    </row>
    <row r="38" spans="1:5" ht="18.75">
      <c r="A38" s="373"/>
      <c r="B38" s="374" t="s">
        <v>257</v>
      </c>
      <c r="C38" s="375" t="s">
        <v>258</v>
      </c>
      <c r="D38" s="368" t="e">
        <f>'прил13(ведом 20-21)'!#REF!</f>
        <v>#REF!</v>
      </c>
      <c r="E38" s="368" t="e">
        <f>'прил13(ведом 20-21)'!#REF!</f>
        <v>#REF!</v>
      </c>
    </row>
    <row r="39" spans="1:5" ht="21" customHeight="1">
      <c r="A39" s="373"/>
      <c r="B39" s="374" t="s">
        <v>259</v>
      </c>
      <c r="C39" s="375" t="s">
        <v>260</v>
      </c>
      <c r="D39" s="368" t="e">
        <f>'прил13(ведом 20-21)'!#REF!</f>
        <v>#REF!</v>
      </c>
      <c r="E39" s="368" t="e">
        <f>'прил13(ведом 20-21)'!#REF!</f>
        <v>#REF!</v>
      </c>
    </row>
    <row r="40" spans="1:5" s="377" customFormat="1" ht="18.75">
      <c r="A40" s="369">
        <v>6</v>
      </c>
      <c r="B40" s="369">
        <v>1000</v>
      </c>
      <c r="C40" s="371" t="s">
        <v>181</v>
      </c>
      <c r="D40" s="372" t="e">
        <f>SUM(D41:D42)</f>
        <v>#REF!</v>
      </c>
      <c r="E40" s="372" t="e">
        <f>SUM(E41:E42)</f>
        <v>#REF!</v>
      </c>
    </row>
    <row r="41" spans="1:5" ht="18.75">
      <c r="A41" s="373"/>
      <c r="B41" s="373">
        <v>1004</v>
      </c>
      <c r="C41" s="375" t="s">
        <v>265</v>
      </c>
      <c r="D41" s="378" t="e">
        <f>'прил13(ведом 20-21)'!#REF!</f>
        <v>#REF!</v>
      </c>
      <c r="E41" s="378" t="e">
        <f>'прил13(ведом 20-21)'!#REF!</f>
        <v>#REF!</v>
      </c>
    </row>
    <row r="42" spans="1:5" ht="18.75">
      <c r="A42" s="373"/>
      <c r="B42" s="373">
        <v>1006</v>
      </c>
      <c r="C42" s="375" t="s">
        <v>266</v>
      </c>
      <c r="D42" s="378" t="e">
        <f>'прил13(ведом 20-21)'!#REF!</f>
        <v>#REF!</v>
      </c>
      <c r="E42" s="378" t="e">
        <f>'прил13(ведом 20-21)'!#REF!</f>
        <v>#REF!</v>
      </c>
    </row>
    <row r="43" spans="1:5" ht="18.75">
      <c r="A43" s="376">
        <v>7</v>
      </c>
      <c r="B43" s="379">
        <v>1100</v>
      </c>
      <c r="C43" s="365" t="s">
        <v>267</v>
      </c>
      <c r="D43" s="380" t="e">
        <f>SUM(D44:D45)</f>
        <v>#REF!</v>
      </c>
      <c r="E43" s="380" t="e">
        <f>SUM(E44:E45)</f>
        <v>#REF!</v>
      </c>
    </row>
    <row r="44" spans="1:5" ht="18.75">
      <c r="A44" s="381"/>
      <c r="B44" s="382">
        <v>1101</v>
      </c>
      <c r="C44" s="383" t="s">
        <v>500</v>
      </c>
      <c r="D44" s="378" t="e">
        <f>'прил13(ведом 20-21)'!#REF!</f>
        <v>#REF!</v>
      </c>
      <c r="E44" s="378" t="e">
        <f>'прил13(ведом 20-21)'!#REF!</f>
        <v>#REF!</v>
      </c>
    </row>
    <row r="45" spans="1:5" ht="37.5">
      <c r="A45" s="373"/>
      <c r="B45" s="374" t="s">
        <v>270</v>
      </c>
      <c r="C45" s="384" t="s">
        <v>271</v>
      </c>
      <c r="D45" s="368" t="e">
        <f>'прил13(ведом 20-21)'!#REF!</f>
        <v>#REF!</v>
      </c>
      <c r="E45" s="368" t="e">
        <f>'прил13(ведом 20-21)'!#REF!</f>
        <v>#REF!</v>
      </c>
    </row>
    <row r="46" spans="1:5" ht="37.5">
      <c r="A46" s="376">
        <v>8</v>
      </c>
      <c r="B46" s="370" t="s">
        <v>581</v>
      </c>
      <c r="C46" s="385" t="s">
        <v>559</v>
      </c>
      <c r="D46" s="380">
        <f>D47</f>
        <v>6.2</v>
      </c>
      <c r="E46" s="380">
        <f>E47</f>
        <v>0</v>
      </c>
    </row>
    <row r="47" spans="1:5" ht="37.5">
      <c r="A47" s="373"/>
      <c r="B47" s="374" t="s">
        <v>582</v>
      </c>
      <c r="C47" s="384" t="s">
        <v>560</v>
      </c>
      <c r="D47" s="368">
        <f>'прил13(ведом 20-21)'!M101</f>
        <v>6.2</v>
      </c>
      <c r="E47" s="368">
        <f>'прил13(ведом 20-21)'!N101</f>
        <v>0</v>
      </c>
    </row>
    <row r="48" spans="1:5" ht="56.25">
      <c r="A48" s="369">
        <v>9</v>
      </c>
      <c r="B48" s="379">
        <v>1400</v>
      </c>
      <c r="C48" s="371" t="s">
        <v>272</v>
      </c>
      <c r="D48" s="386" t="e">
        <f>SUM(D49:D49)</f>
        <v>#REF!</v>
      </c>
      <c r="E48" s="386" t="e">
        <f>SUM(E49:E49)</f>
        <v>#REF!</v>
      </c>
    </row>
    <row r="49" spans="1:6" ht="56.25">
      <c r="A49" s="387"/>
      <c r="B49" s="382">
        <v>1401</v>
      </c>
      <c r="C49" s="375" t="s">
        <v>273</v>
      </c>
      <c r="D49" s="388" t="e">
        <f>'прил13(ведом 20-21)'!#REF!</f>
        <v>#REF!</v>
      </c>
      <c r="E49" s="388" t="e">
        <f>'прил13(ведом 20-21)'!#REF!</f>
        <v>#REF!</v>
      </c>
    </row>
    <row r="50" spans="1:6" ht="18.75">
      <c r="A50" s="369">
        <v>10</v>
      </c>
      <c r="B50" s="379"/>
      <c r="C50" s="371" t="s">
        <v>508</v>
      </c>
      <c r="D50" s="386" t="e">
        <f>SUM(D51:D51)</f>
        <v>#REF!</v>
      </c>
      <c r="E50" s="386" t="e">
        <f>SUM(E51:E51)</f>
        <v>#REF!</v>
      </c>
    </row>
    <row r="51" spans="1:6" ht="18.75">
      <c r="A51" s="387"/>
      <c r="B51" s="382"/>
      <c r="C51" s="375" t="s">
        <v>508</v>
      </c>
      <c r="D51" s="388" t="e">
        <f>'прил13(ведом 20-21)'!#REF!</f>
        <v>#REF!</v>
      </c>
      <c r="E51" s="388" t="e">
        <f>'прил13(ведом 20-21)'!#REF!</f>
        <v>#REF!</v>
      </c>
    </row>
    <row r="54" spans="1:6" s="147" customFormat="1" ht="18.75">
      <c r="A54" s="141" t="s">
        <v>544</v>
      </c>
      <c r="B54" s="142"/>
      <c r="C54" s="143"/>
      <c r="D54" s="143"/>
      <c r="E54" s="143"/>
      <c r="F54" s="144"/>
    </row>
    <row r="55" spans="1:6" s="147" customFormat="1" ht="18.75">
      <c r="A55" s="141" t="s">
        <v>545</v>
      </c>
      <c r="B55" s="142"/>
      <c r="C55" s="143"/>
      <c r="D55" s="143"/>
      <c r="E55" s="143"/>
      <c r="F55" s="144"/>
    </row>
    <row r="56" spans="1:6" s="147" customFormat="1" ht="18.75">
      <c r="A56" s="148" t="s">
        <v>546</v>
      </c>
      <c r="B56" s="142"/>
      <c r="E56" s="181" t="s">
        <v>592</v>
      </c>
      <c r="F56" s="144"/>
    </row>
  </sheetData>
  <mergeCells count="6">
    <mergeCell ref="A8:E8"/>
    <mergeCell ref="D12:E12"/>
    <mergeCell ref="A12:A13"/>
    <mergeCell ref="B12:B13"/>
    <mergeCell ref="C12:C13"/>
    <mergeCell ref="A9:E9"/>
  </mergeCells>
  <printOptions horizontalCentered="1"/>
  <pageMargins left="1.1811023622047245" right="0.39370078740157483" top="0.78740157480314965" bottom="0.78740157480314965" header="0" footer="0"/>
  <pageSetup paperSize="9" scale="80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tabColor rgb="FFFFFF00"/>
    <pageSetUpPr fitToPage="1"/>
  </sheetPr>
  <dimension ref="A1:H517"/>
  <sheetViews>
    <sheetView zoomScale="90" zoomScaleNormal="90" zoomScaleSheetLayoutView="70" workbookViewId="0">
      <pane ySplit="4" topLeftCell="A5" activePane="bottomLeft" state="frozen"/>
      <selection activeCell="K21" sqref="K21"/>
      <selection pane="bottomLeft" activeCell="A518" sqref="A518:XFD525"/>
    </sheetView>
  </sheetViews>
  <sheetFormatPr defaultColWidth="9.140625" defaultRowHeight="15.75"/>
  <cols>
    <col min="1" max="1" width="4.5703125" style="233" customWidth="1"/>
    <col min="2" max="2" width="62.42578125" style="234" customWidth="1"/>
    <col min="3" max="3" width="3.140625" style="235" customWidth="1"/>
    <col min="4" max="4" width="2" style="235" customWidth="1"/>
    <col min="5" max="5" width="3" style="235" customWidth="1"/>
    <col min="6" max="6" width="8.85546875" style="235" customWidth="1"/>
    <col min="7" max="7" width="5.5703125" style="236" customWidth="1"/>
    <col min="8" max="8" width="18.7109375" style="237" customWidth="1"/>
    <col min="9" max="16384" width="9.140625" style="208"/>
  </cols>
  <sheetData>
    <row r="1" spans="1:8" s="161" customFormat="1" ht="18.75">
      <c r="H1" s="163" t="s">
        <v>548</v>
      </c>
    </row>
    <row r="2" spans="1:8" s="161" customFormat="1" ht="18.75">
      <c r="H2" s="163" t="s">
        <v>787</v>
      </c>
    </row>
    <row r="4" spans="1:8" ht="18.75">
      <c r="H4" s="163" t="s">
        <v>603</v>
      </c>
    </row>
    <row r="5" spans="1:8" ht="18.75">
      <c r="H5" s="163" t="s">
        <v>703</v>
      </c>
    </row>
    <row r="6" spans="1:8" ht="10.5" customHeight="1"/>
    <row r="7" spans="1:8" ht="78" customHeight="1">
      <c r="A7" s="748" t="s">
        <v>647</v>
      </c>
      <c r="B7" s="748"/>
      <c r="C7" s="748"/>
      <c r="D7" s="748"/>
      <c r="E7" s="748"/>
      <c r="F7" s="748"/>
      <c r="G7" s="748"/>
      <c r="H7" s="748"/>
    </row>
    <row r="8" spans="1:8" ht="8.25" customHeight="1">
      <c r="A8" s="208"/>
      <c r="B8" s="208"/>
      <c r="C8" s="233"/>
      <c r="D8" s="233"/>
      <c r="E8" s="233"/>
      <c r="F8" s="233"/>
      <c r="G8" s="237"/>
    </row>
    <row r="9" spans="1:8" ht="18.75">
      <c r="A9" s="238"/>
      <c r="B9" s="203"/>
      <c r="C9" s="144"/>
      <c r="D9" s="144"/>
      <c r="E9" s="144"/>
      <c r="F9" s="144"/>
      <c r="G9" s="208"/>
      <c r="H9" s="239" t="s">
        <v>74</v>
      </c>
    </row>
    <row r="10" spans="1:8" ht="56.25">
      <c r="A10" s="523" t="s">
        <v>75</v>
      </c>
      <c r="B10" s="524" t="s">
        <v>76</v>
      </c>
      <c r="C10" s="749" t="s">
        <v>80</v>
      </c>
      <c r="D10" s="750"/>
      <c r="E10" s="750"/>
      <c r="F10" s="751"/>
      <c r="G10" s="524" t="s">
        <v>81</v>
      </c>
      <c r="H10" s="240" t="s">
        <v>65</v>
      </c>
    </row>
    <row r="11" spans="1:8" ht="18.75">
      <c r="A11" s="214">
        <v>1</v>
      </c>
      <c r="B11" s="241">
        <v>2</v>
      </c>
      <c r="C11" s="752" t="s">
        <v>82</v>
      </c>
      <c r="D11" s="753"/>
      <c r="E11" s="753"/>
      <c r="F11" s="754"/>
      <c r="G11" s="242" t="s">
        <v>83</v>
      </c>
      <c r="H11" s="215">
        <v>5</v>
      </c>
    </row>
    <row r="12" spans="1:8" ht="18.75">
      <c r="A12" s="243"/>
      <c r="B12" s="244" t="s">
        <v>274</v>
      </c>
      <c r="C12" s="245"/>
      <c r="D12" s="245"/>
      <c r="E12" s="245"/>
      <c r="F12" s="245"/>
      <c r="G12" s="246"/>
      <c r="H12" s="247">
        <f>H13+H134+H179+H221+H236+H272+H291+H333+H388+H397+H405+H415+H423+H429+H488+H502+H376+H482</f>
        <v>1435630.6425400001</v>
      </c>
    </row>
    <row r="13" spans="1:8" s="255" customFormat="1" ht="56.25">
      <c r="A13" s="249">
        <v>1</v>
      </c>
      <c r="B13" s="250" t="s">
        <v>277</v>
      </c>
      <c r="C13" s="251" t="s">
        <v>91</v>
      </c>
      <c r="D13" s="251" t="s">
        <v>94</v>
      </c>
      <c r="E13" s="251" t="s">
        <v>95</v>
      </c>
      <c r="F13" s="252" t="s">
        <v>96</v>
      </c>
      <c r="G13" s="253"/>
      <c r="H13" s="254">
        <f>H14+H79+H110</f>
        <v>940798.85176999995</v>
      </c>
    </row>
    <row r="14" spans="1:8" ht="37.5">
      <c r="A14" s="243"/>
      <c r="B14" s="256" t="s">
        <v>278</v>
      </c>
      <c r="C14" s="520" t="s">
        <v>91</v>
      </c>
      <c r="D14" s="520" t="s">
        <v>97</v>
      </c>
      <c r="E14" s="520" t="s">
        <v>95</v>
      </c>
      <c r="F14" s="521" t="s">
        <v>96</v>
      </c>
      <c r="G14" s="242"/>
      <c r="H14" s="257">
        <f>H15+H37+H74</f>
        <v>833131.11499999987</v>
      </c>
    </row>
    <row r="15" spans="1:8" ht="18.75">
      <c r="A15" s="243"/>
      <c r="B15" s="256" t="s">
        <v>345</v>
      </c>
      <c r="C15" s="130" t="s">
        <v>91</v>
      </c>
      <c r="D15" s="131" t="s">
        <v>97</v>
      </c>
      <c r="E15" s="131" t="s">
        <v>89</v>
      </c>
      <c r="F15" s="132" t="s">
        <v>96</v>
      </c>
      <c r="G15" s="242"/>
      <c r="H15" s="257">
        <f>H26+H29+H31+H16+H20+H24+H18+H22+H35+H33</f>
        <v>320019.87599999999</v>
      </c>
    </row>
    <row r="16" spans="1:8" ht="75">
      <c r="A16" s="243"/>
      <c r="B16" s="256" t="s">
        <v>150</v>
      </c>
      <c r="C16" s="130" t="s">
        <v>91</v>
      </c>
      <c r="D16" s="131" t="s">
        <v>97</v>
      </c>
      <c r="E16" s="131" t="s">
        <v>89</v>
      </c>
      <c r="F16" s="132" t="s">
        <v>152</v>
      </c>
      <c r="G16" s="133"/>
      <c r="H16" s="257">
        <f>H17</f>
        <v>88346.3</v>
      </c>
    </row>
    <row r="17" spans="1:8" ht="56.25">
      <c r="A17" s="243"/>
      <c r="B17" s="256" t="s">
        <v>134</v>
      </c>
      <c r="C17" s="130" t="s">
        <v>91</v>
      </c>
      <c r="D17" s="131" t="s">
        <v>97</v>
      </c>
      <c r="E17" s="131" t="s">
        <v>89</v>
      </c>
      <c r="F17" s="132" t="s">
        <v>152</v>
      </c>
      <c r="G17" s="133" t="s">
        <v>135</v>
      </c>
      <c r="H17" s="257">
        <f>'прил12(ведом 19)'!M369</f>
        <v>88346.3</v>
      </c>
    </row>
    <row r="18" spans="1:8" ht="37.5">
      <c r="A18" s="243"/>
      <c r="B18" s="219" t="s">
        <v>570</v>
      </c>
      <c r="C18" s="130" t="s">
        <v>91</v>
      </c>
      <c r="D18" s="131" t="s">
        <v>97</v>
      </c>
      <c r="E18" s="131" t="s">
        <v>89</v>
      </c>
      <c r="F18" s="132" t="s">
        <v>569</v>
      </c>
      <c r="G18" s="133"/>
      <c r="H18" s="257">
        <f>H19</f>
        <v>359.09999999999991</v>
      </c>
    </row>
    <row r="19" spans="1:8" ht="56.25">
      <c r="A19" s="243"/>
      <c r="B19" s="256" t="s">
        <v>134</v>
      </c>
      <c r="C19" s="130" t="s">
        <v>91</v>
      </c>
      <c r="D19" s="131" t="s">
        <v>97</v>
      </c>
      <c r="E19" s="131" t="s">
        <v>89</v>
      </c>
      <c r="F19" s="132" t="s">
        <v>569</v>
      </c>
      <c r="G19" s="133" t="s">
        <v>135</v>
      </c>
      <c r="H19" s="257">
        <f>'прил12(ведом 19)'!M371</f>
        <v>359.09999999999991</v>
      </c>
    </row>
    <row r="20" spans="1:8" ht="37.5">
      <c r="A20" s="243"/>
      <c r="B20" s="219" t="s">
        <v>279</v>
      </c>
      <c r="C20" s="130" t="s">
        <v>91</v>
      </c>
      <c r="D20" s="131" t="s">
        <v>97</v>
      </c>
      <c r="E20" s="131" t="s">
        <v>89</v>
      </c>
      <c r="F20" s="132" t="s">
        <v>351</v>
      </c>
      <c r="G20" s="133"/>
      <c r="H20" s="257">
        <f>H21</f>
        <v>7018.576</v>
      </c>
    </row>
    <row r="21" spans="1:8" ht="56.25">
      <c r="A21" s="243"/>
      <c r="B21" s="219" t="s">
        <v>134</v>
      </c>
      <c r="C21" s="130" t="s">
        <v>91</v>
      </c>
      <c r="D21" s="131" t="s">
        <v>97</v>
      </c>
      <c r="E21" s="131" t="s">
        <v>89</v>
      </c>
      <c r="F21" s="132" t="s">
        <v>351</v>
      </c>
      <c r="G21" s="133" t="s">
        <v>135</v>
      </c>
      <c r="H21" s="257">
        <f>'прил12(ведом 19)'!M373</f>
        <v>7018.576</v>
      </c>
    </row>
    <row r="22" spans="1:8" ht="37.5">
      <c r="A22" s="243"/>
      <c r="B22" s="219" t="s">
        <v>280</v>
      </c>
      <c r="C22" s="130" t="s">
        <v>91</v>
      </c>
      <c r="D22" s="131" t="s">
        <v>97</v>
      </c>
      <c r="E22" s="131" t="s">
        <v>89</v>
      </c>
      <c r="F22" s="132" t="s">
        <v>352</v>
      </c>
      <c r="G22" s="133"/>
      <c r="H22" s="257">
        <f>H23</f>
        <v>6985.1</v>
      </c>
    </row>
    <row r="23" spans="1:8" ht="37.5">
      <c r="A23" s="243"/>
      <c r="B23" s="219" t="s">
        <v>275</v>
      </c>
      <c r="C23" s="130" t="s">
        <v>91</v>
      </c>
      <c r="D23" s="131" t="s">
        <v>97</v>
      </c>
      <c r="E23" s="131" t="s">
        <v>89</v>
      </c>
      <c r="F23" s="132" t="s">
        <v>352</v>
      </c>
      <c r="G23" s="133" t="s">
        <v>276</v>
      </c>
      <c r="H23" s="257">
        <f>'прил12(ведом 19)'!M329</f>
        <v>6985.1</v>
      </c>
    </row>
    <row r="24" spans="1:8" ht="56.25">
      <c r="A24" s="243"/>
      <c r="B24" s="219" t="s">
        <v>281</v>
      </c>
      <c r="C24" s="130" t="s">
        <v>91</v>
      </c>
      <c r="D24" s="131" t="s">
        <v>97</v>
      </c>
      <c r="E24" s="131" t="s">
        <v>89</v>
      </c>
      <c r="F24" s="132" t="s">
        <v>353</v>
      </c>
      <c r="G24" s="133"/>
      <c r="H24" s="257">
        <f>H25</f>
        <v>7.5</v>
      </c>
    </row>
    <row r="25" spans="1:8" ht="56.25">
      <c r="A25" s="243"/>
      <c r="B25" s="219" t="s">
        <v>134</v>
      </c>
      <c r="C25" s="130" t="s">
        <v>91</v>
      </c>
      <c r="D25" s="131" t="s">
        <v>97</v>
      </c>
      <c r="E25" s="131" t="s">
        <v>89</v>
      </c>
      <c r="F25" s="132" t="s">
        <v>353</v>
      </c>
      <c r="G25" s="133" t="s">
        <v>135</v>
      </c>
      <c r="H25" s="257">
        <f>'прил12(ведом 19)'!M375</f>
        <v>7.5</v>
      </c>
    </row>
    <row r="26" spans="1:8" ht="131.25">
      <c r="A26" s="243"/>
      <c r="B26" s="256" t="s">
        <v>362</v>
      </c>
      <c r="C26" s="130" t="s">
        <v>91</v>
      </c>
      <c r="D26" s="131" t="s">
        <v>97</v>
      </c>
      <c r="E26" s="131" t="s">
        <v>89</v>
      </c>
      <c r="F26" s="132" t="s">
        <v>363</v>
      </c>
      <c r="G26" s="133"/>
      <c r="H26" s="257">
        <f>SUM(H27:H28)</f>
        <v>9069.2000000000007</v>
      </c>
    </row>
    <row r="27" spans="1:8" ht="37.5">
      <c r="A27" s="243"/>
      <c r="B27" s="256" t="s">
        <v>107</v>
      </c>
      <c r="C27" s="130" t="s">
        <v>91</v>
      </c>
      <c r="D27" s="131" t="s">
        <v>97</v>
      </c>
      <c r="E27" s="131" t="s">
        <v>89</v>
      </c>
      <c r="F27" s="132" t="s">
        <v>363</v>
      </c>
      <c r="G27" s="133" t="s">
        <v>108</v>
      </c>
      <c r="H27" s="257">
        <f>'прил12(ведом 19)'!M504</f>
        <v>134</v>
      </c>
    </row>
    <row r="28" spans="1:8" ht="37.5">
      <c r="A28" s="243"/>
      <c r="B28" s="258" t="s">
        <v>182</v>
      </c>
      <c r="C28" s="130" t="s">
        <v>91</v>
      </c>
      <c r="D28" s="131" t="s">
        <v>97</v>
      </c>
      <c r="E28" s="131" t="s">
        <v>89</v>
      </c>
      <c r="F28" s="132" t="s">
        <v>363</v>
      </c>
      <c r="G28" s="133" t="s">
        <v>183</v>
      </c>
      <c r="H28" s="257">
        <f>'прил12(ведом 19)'!M505</f>
        <v>8935.2000000000007</v>
      </c>
    </row>
    <row r="29" spans="1:8" ht="18.75">
      <c r="A29" s="243"/>
      <c r="B29" s="256" t="s">
        <v>346</v>
      </c>
      <c r="C29" s="130" t="s">
        <v>91</v>
      </c>
      <c r="D29" s="131" t="s">
        <v>97</v>
      </c>
      <c r="E29" s="131" t="s">
        <v>89</v>
      </c>
      <c r="F29" s="132" t="s">
        <v>347</v>
      </c>
      <c r="G29" s="133"/>
      <c r="H29" s="257">
        <f>H30</f>
        <v>509.50000000000006</v>
      </c>
    </row>
    <row r="30" spans="1:8" ht="56.25">
      <c r="A30" s="243"/>
      <c r="B30" s="256" t="s">
        <v>134</v>
      </c>
      <c r="C30" s="130" t="s">
        <v>91</v>
      </c>
      <c r="D30" s="131" t="s">
        <v>97</v>
      </c>
      <c r="E30" s="131" t="s">
        <v>89</v>
      </c>
      <c r="F30" s="132" t="s">
        <v>347</v>
      </c>
      <c r="G30" s="133" t="s">
        <v>135</v>
      </c>
      <c r="H30" s="257">
        <f>'прил12(ведом 19)'!M377</f>
        <v>509.50000000000006</v>
      </c>
    </row>
    <row r="31" spans="1:8" ht="112.5">
      <c r="A31" s="243"/>
      <c r="B31" s="256" t="s">
        <v>467</v>
      </c>
      <c r="C31" s="130" t="s">
        <v>91</v>
      </c>
      <c r="D31" s="131" t="s">
        <v>97</v>
      </c>
      <c r="E31" s="131" t="s">
        <v>89</v>
      </c>
      <c r="F31" s="132" t="s">
        <v>348</v>
      </c>
      <c r="G31" s="133"/>
      <c r="H31" s="257">
        <f>H32</f>
        <v>206621.6</v>
      </c>
    </row>
    <row r="32" spans="1:8" ht="56.25">
      <c r="A32" s="243"/>
      <c r="B32" s="258" t="s">
        <v>134</v>
      </c>
      <c r="C32" s="130" t="s">
        <v>91</v>
      </c>
      <c r="D32" s="131" t="s">
        <v>97</v>
      </c>
      <c r="E32" s="131" t="s">
        <v>89</v>
      </c>
      <c r="F32" s="132" t="s">
        <v>348</v>
      </c>
      <c r="G32" s="133" t="s">
        <v>135</v>
      </c>
      <c r="H32" s="257">
        <f>'прил12(ведом 19)'!M379</f>
        <v>206621.6</v>
      </c>
    </row>
    <row r="33" spans="1:8" ht="37.5">
      <c r="A33" s="243"/>
      <c r="B33" s="91" t="s">
        <v>771</v>
      </c>
      <c r="C33" s="525" t="s">
        <v>91</v>
      </c>
      <c r="D33" s="526" t="s">
        <v>97</v>
      </c>
      <c r="E33" s="526" t="s">
        <v>89</v>
      </c>
      <c r="F33" s="527" t="s">
        <v>770</v>
      </c>
      <c r="G33" s="133"/>
      <c r="H33" s="257">
        <f>H34</f>
        <v>3</v>
      </c>
    </row>
    <row r="34" spans="1:8" ht="56.25">
      <c r="A34" s="243"/>
      <c r="B34" s="91" t="s">
        <v>134</v>
      </c>
      <c r="C34" s="525" t="s">
        <v>91</v>
      </c>
      <c r="D34" s="526" t="s">
        <v>97</v>
      </c>
      <c r="E34" s="526" t="s">
        <v>89</v>
      </c>
      <c r="F34" s="527" t="s">
        <v>770</v>
      </c>
      <c r="G34" s="133" t="s">
        <v>135</v>
      </c>
      <c r="H34" s="257">
        <f>'прил12(ведом 19)'!M381</f>
        <v>3</v>
      </c>
    </row>
    <row r="35" spans="1:8" ht="56.25">
      <c r="A35" s="243"/>
      <c r="B35" s="258" t="s">
        <v>773</v>
      </c>
      <c r="C35" s="130" t="s">
        <v>91</v>
      </c>
      <c r="D35" s="131" t="s">
        <v>97</v>
      </c>
      <c r="E35" s="131" t="s">
        <v>89</v>
      </c>
      <c r="F35" s="132" t="s">
        <v>764</v>
      </c>
      <c r="G35" s="133"/>
      <c r="H35" s="257">
        <f>H36</f>
        <v>1100</v>
      </c>
    </row>
    <row r="36" spans="1:8" ht="56.25">
      <c r="A36" s="243"/>
      <c r="B36" s="258" t="s">
        <v>134</v>
      </c>
      <c r="C36" s="130" t="s">
        <v>91</v>
      </c>
      <c r="D36" s="131" t="s">
        <v>97</v>
      </c>
      <c r="E36" s="131" t="s">
        <v>89</v>
      </c>
      <c r="F36" s="132" t="s">
        <v>764</v>
      </c>
      <c r="G36" s="133" t="s">
        <v>135</v>
      </c>
      <c r="H36" s="257">
        <f>'прил12(ведом 19)'!M383</f>
        <v>1100</v>
      </c>
    </row>
    <row r="37" spans="1:8" ht="18.75">
      <c r="A37" s="243"/>
      <c r="B37" s="256" t="s">
        <v>350</v>
      </c>
      <c r="C37" s="130" t="s">
        <v>91</v>
      </c>
      <c r="D37" s="131" t="s">
        <v>97</v>
      </c>
      <c r="E37" s="131" t="s">
        <v>91</v>
      </c>
      <c r="F37" s="132" t="s">
        <v>96</v>
      </c>
      <c r="G37" s="133"/>
      <c r="H37" s="257">
        <f>H46+H49+H56+H60+H64+H38+H54+H43+H71+H69+H67</f>
        <v>496723.63899999997</v>
      </c>
    </row>
    <row r="38" spans="1:8" ht="75">
      <c r="A38" s="243"/>
      <c r="B38" s="256" t="s">
        <v>150</v>
      </c>
      <c r="C38" s="130" t="s">
        <v>91</v>
      </c>
      <c r="D38" s="131" t="s">
        <v>97</v>
      </c>
      <c r="E38" s="131" t="s">
        <v>91</v>
      </c>
      <c r="F38" s="132" t="s">
        <v>152</v>
      </c>
      <c r="G38" s="133"/>
      <c r="H38" s="257">
        <f>SUM(H39:H42)</f>
        <v>73103.401560000028</v>
      </c>
    </row>
    <row r="39" spans="1:8" ht="93.75">
      <c r="A39" s="243"/>
      <c r="B39" s="219" t="s">
        <v>101</v>
      </c>
      <c r="C39" s="130" t="s">
        <v>91</v>
      </c>
      <c r="D39" s="131" t="s">
        <v>97</v>
      </c>
      <c r="E39" s="131" t="s">
        <v>91</v>
      </c>
      <c r="F39" s="132" t="s">
        <v>152</v>
      </c>
      <c r="G39" s="133" t="s">
        <v>102</v>
      </c>
      <c r="H39" s="257">
        <f>'прил12(ведом 19)'!M394</f>
        <v>3601.6</v>
      </c>
    </row>
    <row r="40" spans="1:8" ht="37.5">
      <c r="A40" s="243"/>
      <c r="B40" s="219" t="s">
        <v>107</v>
      </c>
      <c r="C40" s="130" t="s">
        <v>91</v>
      </c>
      <c r="D40" s="131" t="s">
        <v>97</v>
      </c>
      <c r="E40" s="131" t="s">
        <v>91</v>
      </c>
      <c r="F40" s="132" t="s">
        <v>152</v>
      </c>
      <c r="G40" s="133" t="s">
        <v>108</v>
      </c>
      <c r="H40" s="257">
        <f>'прил12(ведом 19)'!M395</f>
        <v>3804.20156</v>
      </c>
    </row>
    <row r="41" spans="1:8" ht="56.25">
      <c r="A41" s="243"/>
      <c r="B41" s="256" t="s">
        <v>134</v>
      </c>
      <c r="C41" s="130" t="s">
        <v>91</v>
      </c>
      <c r="D41" s="131" t="s">
        <v>97</v>
      </c>
      <c r="E41" s="131" t="s">
        <v>91</v>
      </c>
      <c r="F41" s="132" t="s">
        <v>152</v>
      </c>
      <c r="G41" s="133" t="s">
        <v>135</v>
      </c>
      <c r="H41" s="257">
        <f>'прил12(ведом 19)'!M396</f>
        <v>64952.000000000015</v>
      </c>
    </row>
    <row r="42" spans="1:8" ht="18.75">
      <c r="A42" s="243"/>
      <c r="B42" s="256" t="s">
        <v>109</v>
      </c>
      <c r="C42" s="130" t="s">
        <v>91</v>
      </c>
      <c r="D42" s="131" t="s">
        <v>97</v>
      </c>
      <c r="E42" s="131" t="s">
        <v>91</v>
      </c>
      <c r="F42" s="132" t="s">
        <v>152</v>
      </c>
      <c r="G42" s="133" t="s">
        <v>110</v>
      </c>
      <c r="H42" s="257">
        <f>'прил12(ведом 19)'!M397</f>
        <v>745.6</v>
      </c>
    </row>
    <row r="43" spans="1:8" ht="37.5">
      <c r="A43" s="243"/>
      <c r="B43" s="219" t="s">
        <v>570</v>
      </c>
      <c r="C43" s="130" t="s">
        <v>91</v>
      </c>
      <c r="D43" s="131" t="s">
        <v>97</v>
      </c>
      <c r="E43" s="131" t="s">
        <v>91</v>
      </c>
      <c r="F43" s="132" t="s">
        <v>569</v>
      </c>
      <c r="G43" s="133"/>
      <c r="H43" s="257">
        <f>H45+H44</f>
        <v>518.50000000000011</v>
      </c>
    </row>
    <row r="44" spans="1:8" ht="37.5">
      <c r="A44" s="243"/>
      <c r="B44" s="219" t="s">
        <v>107</v>
      </c>
      <c r="C44" s="130" t="s">
        <v>91</v>
      </c>
      <c r="D44" s="131" t="s">
        <v>97</v>
      </c>
      <c r="E44" s="131" t="s">
        <v>91</v>
      </c>
      <c r="F44" s="132" t="s">
        <v>569</v>
      </c>
      <c r="G44" s="133" t="s">
        <v>108</v>
      </c>
      <c r="H44" s="257">
        <f>'прил12(ведом 19)'!M399</f>
        <v>34.9</v>
      </c>
    </row>
    <row r="45" spans="1:8" ht="56.25">
      <c r="A45" s="243"/>
      <c r="B45" s="256" t="s">
        <v>134</v>
      </c>
      <c r="C45" s="130" t="s">
        <v>91</v>
      </c>
      <c r="D45" s="131" t="s">
        <v>97</v>
      </c>
      <c r="E45" s="131" t="s">
        <v>91</v>
      </c>
      <c r="F45" s="132" t="s">
        <v>569</v>
      </c>
      <c r="G45" s="133" t="s">
        <v>135</v>
      </c>
      <c r="H45" s="257">
        <f>'прил12(ведом 19)'!M400</f>
        <v>483.60000000000008</v>
      </c>
    </row>
    <row r="46" spans="1:8" ht="37.5">
      <c r="A46" s="243"/>
      <c r="B46" s="256" t="s">
        <v>279</v>
      </c>
      <c r="C46" s="130" t="s">
        <v>91</v>
      </c>
      <c r="D46" s="131" t="s">
        <v>97</v>
      </c>
      <c r="E46" s="131" t="s">
        <v>91</v>
      </c>
      <c r="F46" s="132" t="s">
        <v>351</v>
      </c>
      <c r="G46" s="133"/>
      <c r="H46" s="257">
        <f>SUM(H47:H48)</f>
        <v>9087.7389999999996</v>
      </c>
    </row>
    <row r="47" spans="1:8" ht="37.5">
      <c r="A47" s="243"/>
      <c r="B47" s="219" t="s">
        <v>107</v>
      </c>
      <c r="C47" s="130" t="s">
        <v>91</v>
      </c>
      <c r="D47" s="131" t="s">
        <v>97</v>
      </c>
      <c r="E47" s="131" t="s">
        <v>91</v>
      </c>
      <c r="F47" s="132" t="s">
        <v>351</v>
      </c>
      <c r="G47" s="133" t="s">
        <v>108</v>
      </c>
      <c r="H47" s="257">
        <f>'прил12(ведом 19)'!M402</f>
        <v>927.69999999999993</v>
      </c>
    </row>
    <row r="48" spans="1:8" ht="56.25">
      <c r="A48" s="243"/>
      <c r="B48" s="256" t="s">
        <v>134</v>
      </c>
      <c r="C48" s="130" t="s">
        <v>91</v>
      </c>
      <c r="D48" s="131" t="s">
        <v>97</v>
      </c>
      <c r="E48" s="131" t="s">
        <v>91</v>
      </c>
      <c r="F48" s="132" t="s">
        <v>351</v>
      </c>
      <c r="G48" s="133" t="s">
        <v>135</v>
      </c>
      <c r="H48" s="257">
        <f>'прил12(ведом 19)'!M403</f>
        <v>8160.0389999999998</v>
      </c>
    </row>
    <row r="49" spans="1:8" ht="37.5">
      <c r="A49" s="243"/>
      <c r="B49" s="256" t="s">
        <v>280</v>
      </c>
      <c r="C49" s="130" t="s">
        <v>91</v>
      </c>
      <c r="D49" s="131" t="s">
        <v>97</v>
      </c>
      <c r="E49" s="131" t="s">
        <v>91</v>
      </c>
      <c r="F49" s="132" t="s">
        <v>352</v>
      </c>
      <c r="G49" s="133"/>
      <c r="H49" s="257">
        <f>SUM(H50:H53)</f>
        <v>15866.09844</v>
      </c>
    </row>
    <row r="50" spans="1:8" ht="37.5">
      <c r="A50" s="243"/>
      <c r="B50" s="219" t="s">
        <v>107</v>
      </c>
      <c r="C50" s="130" t="s">
        <v>91</v>
      </c>
      <c r="D50" s="131" t="s">
        <v>97</v>
      </c>
      <c r="E50" s="131" t="s">
        <v>91</v>
      </c>
      <c r="F50" s="132" t="s">
        <v>352</v>
      </c>
      <c r="G50" s="133" t="s">
        <v>108</v>
      </c>
      <c r="H50" s="257">
        <f>'прил12(ведом 19)'!M405</f>
        <v>2278.5</v>
      </c>
    </row>
    <row r="51" spans="1:8" ht="37.5">
      <c r="A51" s="243"/>
      <c r="B51" s="219" t="s">
        <v>182</v>
      </c>
      <c r="C51" s="130" t="s">
        <v>91</v>
      </c>
      <c r="D51" s="131" t="s">
        <v>97</v>
      </c>
      <c r="E51" s="131" t="s">
        <v>91</v>
      </c>
      <c r="F51" s="132" t="s">
        <v>352</v>
      </c>
      <c r="G51" s="133" t="s">
        <v>183</v>
      </c>
      <c r="H51" s="257">
        <f>'прил12(ведом 19)'!M406</f>
        <v>354.99844000000002</v>
      </c>
    </row>
    <row r="52" spans="1:8" ht="37.5">
      <c r="A52" s="243"/>
      <c r="B52" s="230" t="s">
        <v>275</v>
      </c>
      <c r="C52" s="130" t="s">
        <v>91</v>
      </c>
      <c r="D52" s="131" t="s">
        <v>97</v>
      </c>
      <c r="E52" s="131" t="s">
        <v>91</v>
      </c>
      <c r="F52" s="132" t="s">
        <v>352</v>
      </c>
      <c r="G52" s="133" t="s">
        <v>276</v>
      </c>
      <c r="H52" s="257">
        <f>'прил12(ведом 19)'!M407+'прил12(ведом 19)'!M335</f>
        <v>4341.2000000000007</v>
      </c>
    </row>
    <row r="53" spans="1:8" ht="56.25">
      <c r="A53" s="243"/>
      <c r="B53" s="256" t="s">
        <v>134</v>
      </c>
      <c r="C53" s="130" t="s">
        <v>91</v>
      </c>
      <c r="D53" s="131" t="s">
        <v>97</v>
      </c>
      <c r="E53" s="131" t="s">
        <v>91</v>
      </c>
      <c r="F53" s="132" t="s">
        <v>352</v>
      </c>
      <c r="G53" s="133" t="s">
        <v>135</v>
      </c>
      <c r="H53" s="257">
        <f>'прил12(ведом 19)'!M408</f>
        <v>8891.4</v>
      </c>
    </row>
    <row r="54" spans="1:8" ht="56.25">
      <c r="A54" s="243"/>
      <c r="B54" s="219" t="s">
        <v>281</v>
      </c>
      <c r="C54" s="130" t="s">
        <v>91</v>
      </c>
      <c r="D54" s="131" t="s">
        <v>97</v>
      </c>
      <c r="E54" s="131" t="s">
        <v>91</v>
      </c>
      <c r="F54" s="132" t="s">
        <v>353</v>
      </c>
      <c r="G54" s="133"/>
      <c r="H54" s="257">
        <f>H55</f>
        <v>15</v>
      </c>
    </row>
    <row r="55" spans="1:8" ht="56.25">
      <c r="A55" s="243"/>
      <c r="B55" s="219" t="s">
        <v>134</v>
      </c>
      <c r="C55" s="130" t="s">
        <v>91</v>
      </c>
      <c r="D55" s="131" t="s">
        <v>97</v>
      </c>
      <c r="E55" s="131" t="s">
        <v>91</v>
      </c>
      <c r="F55" s="132" t="s">
        <v>353</v>
      </c>
      <c r="G55" s="133" t="s">
        <v>135</v>
      </c>
      <c r="H55" s="257">
        <f>'прил12(ведом 19)'!M410</f>
        <v>15</v>
      </c>
    </row>
    <row r="56" spans="1:8" ht="18.75">
      <c r="A56" s="243"/>
      <c r="B56" s="256" t="s">
        <v>346</v>
      </c>
      <c r="C56" s="130" t="s">
        <v>91</v>
      </c>
      <c r="D56" s="131" t="s">
        <v>97</v>
      </c>
      <c r="E56" s="131" t="s">
        <v>91</v>
      </c>
      <c r="F56" s="132" t="s">
        <v>347</v>
      </c>
      <c r="G56" s="133"/>
      <c r="H56" s="257">
        <f>SUM(H57:H59)</f>
        <v>1759.8999999999999</v>
      </c>
    </row>
    <row r="57" spans="1:8" ht="93.75">
      <c r="A57" s="243"/>
      <c r="B57" s="219" t="s">
        <v>101</v>
      </c>
      <c r="C57" s="130" t="s">
        <v>91</v>
      </c>
      <c r="D57" s="131" t="s">
        <v>97</v>
      </c>
      <c r="E57" s="131" t="s">
        <v>91</v>
      </c>
      <c r="F57" s="132" t="s">
        <v>347</v>
      </c>
      <c r="G57" s="133" t="s">
        <v>102</v>
      </c>
      <c r="H57" s="257">
        <f>'прил12(ведом 19)'!M412</f>
        <v>138.30000000000001</v>
      </c>
    </row>
    <row r="58" spans="1:8" ht="37.5">
      <c r="A58" s="243"/>
      <c r="B58" s="219" t="s">
        <v>182</v>
      </c>
      <c r="C58" s="130" t="s">
        <v>91</v>
      </c>
      <c r="D58" s="131" t="s">
        <v>97</v>
      </c>
      <c r="E58" s="131" t="s">
        <v>91</v>
      </c>
      <c r="F58" s="132" t="s">
        <v>347</v>
      </c>
      <c r="G58" s="133" t="s">
        <v>183</v>
      </c>
      <c r="H58" s="257">
        <f>'прил12(ведом 19)'!M413</f>
        <v>14</v>
      </c>
    </row>
    <row r="59" spans="1:8" ht="56.25">
      <c r="A59" s="243"/>
      <c r="B59" s="256" t="s">
        <v>134</v>
      </c>
      <c r="C59" s="130" t="s">
        <v>91</v>
      </c>
      <c r="D59" s="131" t="s">
        <v>97</v>
      </c>
      <c r="E59" s="131" t="s">
        <v>91</v>
      </c>
      <c r="F59" s="132" t="s">
        <v>347</v>
      </c>
      <c r="G59" s="133" t="s">
        <v>135</v>
      </c>
      <c r="H59" s="257">
        <f>'прил12(ведом 19)'!M414</f>
        <v>1607.6</v>
      </c>
    </row>
    <row r="60" spans="1:8" ht="112.5">
      <c r="A60" s="243"/>
      <c r="B60" s="256" t="s">
        <v>467</v>
      </c>
      <c r="C60" s="130" t="s">
        <v>91</v>
      </c>
      <c r="D60" s="131" t="s">
        <v>97</v>
      </c>
      <c r="E60" s="131" t="s">
        <v>91</v>
      </c>
      <c r="F60" s="132" t="s">
        <v>348</v>
      </c>
      <c r="G60" s="133"/>
      <c r="H60" s="257">
        <f>SUM(H61:H63)</f>
        <v>386302.99999999994</v>
      </c>
    </row>
    <row r="61" spans="1:8" ht="93.75">
      <c r="A61" s="243"/>
      <c r="B61" s="256" t="s">
        <v>101</v>
      </c>
      <c r="C61" s="130" t="s">
        <v>91</v>
      </c>
      <c r="D61" s="131" t="s">
        <v>97</v>
      </c>
      <c r="E61" s="131" t="s">
        <v>91</v>
      </c>
      <c r="F61" s="132" t="s">
        <v>348</v>
      </c>
      <c r="G61" s="133" t="s">
        <v>102</v>
      </c>
      <c r="H61" s="257">
        <f>'прил12(ведом 19)'!M416</f>
        <v>30288.5</v>
      </c>
    </row>
    <row r="62" spans="1:8" ht="37.5">
      <c r="A62" s="243"/>
      <c r="B62" s="256" t="s">
        <v>107</v>
      </c>
      <c r="C62" s="130" t="s">
        <v>91</v>
      </c>
      <c r="D62" s="131" t="s">
        <v>97</v>
      </c>
      <c r="E62" s="131" t="s">
        <v>91</v>
      </c>
      <c r="F62" s="132" t="s">
        <v>348</v>
      </c>
      <c r="G62" s="133" t="s">
        <v>108</v>
      </c>
      <c r="H62" s="257">
        <f>'прил12(ведом 19)'!M417</f>
        <v>2701.8</v>
      </c>
    </row>
    <row r="63" spans="1:8" ht="56.25">
      <c r="A63" s="243"/>
      <c r="B63" s="256" t="s">
        <v>134</v>
      </c>
      <c r="C63" s="130" t="s">
        <v>91</v>
      </c>
      <c r="D63" s="131" t="s">
        <v>97</v>
      </c>
      <c r="E63" s="131" t="s">
        <v>91</v>
      </c>
      <c r="F63" s="132" t="s">
        <v>348</v>
      </c>
      <c r="G63" s="133" t="s">
        <v>135</v>
      </c>
      <c r="H63" s="257">
        <f>'прил12(ведом 19)'!M418</f>
        <v>353312.69999999995</v>
      </c>
    </row>
    <row r="64" spans="1:8" ht="75">
      <c r="A64" s="243"/>
      <c r="B64" s="256" t="s">
        <v>282</v>
      </c>
      <c r="C64" s="520" t="s">
        <v>91</v>
      </c>
      <c r="D64" s="520" t="s">
        <v>97</v>
      </c>
      <c r="E64" s="520" t="s">
        <v>91</v>
      </c>
      <c r="F64" s="521" t="s">
        <v>354</v>
      </c>
      <c r="G64" s="242"/>
      <c r="H64" s="257">
        <f>SUM(H65:H66)</f>
        <v>4085.7</v>
      </c>
    </row>
    <row r="65" spans="1:8" ht="37.5">
      <c r="A65" s="243"/>
      <c r="B65" s="219" t="s">
        <v>107</v>
      </c>
      <c r="C65" s="130" t="s">
        <v>91</v>
      </c>
      <c r="D65" s="131" t="s">
        <v>97</v>
      </c>
      <c r="E65" s="131" t="s">
        <v>91</v>
      </c>
      <c r="F65" s="132" t="s">
        <v>354</v>
      </c>
      <c r="G65" s="133" t="s">
        <v>108</v>
      </c>
      <c r="H65" s="257">
        <f>'прил12(ведом 19)'!M420</f>
        <v>191.5</v>
      </c>
    </row>
    <row r="66" spans="1:8" ht="56.25">
      <c r="A66" s="243"/>
      <c r="B66" s="256" t="s">
        <v>134</v>
      </c>
      <c r="C66" s="520" t="s">
        <v>91</v>
      </c>
      <c r="D66" s="520" t="s">
        <v>97</v>
      </c>
      <c r="E66" s="520" t="s">
        <v>91</v>
      </c>
      <c r="F66" s="521" t="s">
        <v>354</v>
      </c>
      <c r="G66" s="242" t="s">
        <v>135</v>
      </c>
      <c r="H66" s="257">
        <f>'прил12(ведом 19)'!M421</f>
        <v>3894.2</v>
      </c>
    </row>
    <row r="67" spans="1:8" ht="37.5">
      <c r="A67" s="243"/>
      <c r="B67" s="91" t="s">
        <v>771</v>
      </c>
      <c r="C67" s="525" t="s">
        <v>91</v>
      </c>
      <c r="D67" s="526" t="s">
        <v>97</v>
      </c>
      <c r="E67" s="526" t="s">
        <v>91</v>
      </c>
      <c r="F67" s="527" t="s">
        <v>770</v>
      </c>
      <c r="G67" s="81"/>
      <c r="H67" s="257">
        <f>H68</f>
        <v>4</v>
      </c>
    </row>
    <row r="68" spans="1:8" ht="56.25">
      <c r="A68" s="243"/>
      <c r="B68" s="91" t="s">
        <v>134</v>
      </c>
      <c r="C68" s="525" t="s">
        <v>91</v>
      </c>
      <c r="D68" s="526" t="s">
        <v>97</v>
      </c>
      <c r="E68" s="526" t="s">
        <v>91</v>
      </c>
      <c r="F68" s="527" t="s">
        <v>770</v>
      </c>
      <c r="G68" s="81" t="s">
        <v>135</v>
      </c>
      <c r="H68" s="257">
        <f>'прил12(ведом 19)'!M423</f>
        <v>4</v>
      </c>
    </row>
    <row r="69" spans="1:8" ht="56.25">
      <c r="A69" s="243"/>
      <c r="B69" s="256" t="s">
        <v>773</v>
      </c>
      <c r="C69" s="520" t="s">
        <v>91</v>
      </c>
      <c r="D69" s="520" t="s">
        <v>97</v>
      </c>
      <c r="E69" s="520" t="s">
        <v>91</v>
      </c>
      <c r="F69" s="521" t="s">
        <v>764</v>
      </c>
      <c r="G69" s="242"/>
      <c r="H69" s="257">
        <f>H70</f>
        <v>2000</v>
      </c>
    </row>
    <row r="70" spans="1:8" ht="56.25">
      <c r="A70" s="243"/>
      <c r="B70" s="256" t="s">
        <v>134</v>
      </c>
      <c r="C70" s="520" t="s">
        <v>91</v>
      </c>
      <c r="D70" s="520" t="s">
        <v>97</v>
      </c>
      <c r="E70" s="520" t="s">
        <v>91</v>
      </c>
      <c r="F70" s="521" t="s">
        <v>764</v>
      </c>
      <c r="G70" s="242" t="s">
        <v>135</v>
      </c>
      <c r="H70" s="257">
        <f>'прил12(ведом 19)'!M425</f>
        <v>2000</v>
      </c>
    </row>
    <row r="71" spans="1:8" ht="56.25">
      <c r="A71" s="243"/>
      <c r="B71" s="256" t="s">
        <v>728</v>
      </c>
      <c r="C71" s="520" t="s">
        <v>91</v>
      </c>
      <c r="D71" s="520" t="s">
        <v>97</v>
      </c>
      <c r="E71" s="520" t="s">
        <v>91</v>
      </c>
      <c r="F71" s="521" t="s">
        <v>727</v>
      </c>
      <c r="G71" s="242"/>
      <c r="H71" s="257">
        <f>H72+H73</f>
        <v>3980.3</v>
      </c>
    </row>
    <row r="72" spans="1:8" ht="37.5">
      <c r="A72" s="243"/>
      <c r="B72" s="256" t="s">
        <v>107</v>
      </c>
      <c r="C72" s="520" t="s">
        <v>91</v>
      </c>
      <c r="D72" s="520" t="s">
        <v>97</v>
      </c>
      <c r="E72" s="520" t="s">
        <v>91</v>
      </c>
      <c r="F72" s="521" t="s">
        <v>727</v>
      </c>
      <c r="G72" s="242" t="s">
        <v>108</v>
      </c>
      <c r="H72" s="257">
        <f>'прил12(ведом 19)'!M427</f>
        <v>2237.6999999999998</v>
      </c>
    </row>
    <row r="73" spans="1:8" ht="56.25">
      <c r="A73" s="243"/>
      <c r="B73" s="256" t="s">
        <v>134</v>
      </c>
      <c r="C73" s="520" t="s">
        <v>91</v>
      </c>
      <c r="D73" s="520" t="s">
        <v>97</v>
      </c>
      <c r="E73" s="520" t="s">
        <v>91</v>
      </c>
      <c r="F73" s="521" t="s">
        <v>727</v>
      </c>
      <c r="G73" s="242" t="s">
        <v>135</v>
      </c>
      <c r="H73" s="257">
        <f>'прил12(ведом 19)'!M428</f>
        <v>1742.6000000000001</v>
      </c>
    </row>
    <row r="74" spans="1:8" ht="18.75">
      <c r="A74" s="243"/>
      <c r="B74" s="256" t="s">
        <v>726</v>
      </c>
      <c r="C74" s="525" t="s">
        <v>91</v>
      </c>
      <c r="D74" s="526" t="s">
        <v>97</v>
      </c>
      <c r="E74" s="526" t="s">
        <v>723</v>
      </c>
      <c r="F74" s="527" t="s">
        <v>96</v>
      </c>
      <c r="G74" s="242"/>
      <c r="H74" s="257">
        <f>H75+H77</f>
        <v>16387.600000000002</v>
      </c>
    </row>
    <row r="75" spans="1:8" ht="56.25">
      <c r="A75" s="243"/>
      <c r="B75" s="256" t="s">
        <v>725</v>
      </c>
      <c r="C75" s="525" t="s">
        <v>91</v>
      </c>
      <c r="D75" s="526" t="s">
        <v>97</v>
      </c>
      <c r="E75" s="526" t="s">
        <v>723</v>
      </c>
      <c r="F75" s="527" t="s">
        <v>724</v>
      </c>
      <c r="G75" s="242"/>
      <c r="H75" s="257">
        <f>H76</f>
        <v>6603.2</v>
      </c>
    </row>
    <row r="76" spans="1:8" ht="56.25">
      <c r="A76" s="243"/>
      <c r="B76" s="256" t="s">
        <v>134</v>
      </c>
      <c r="C76" s="520" t="s">
        <v>91</v>
      </c>
      <c r="D76" s="520" t="s">
        <v>97</v>
      </c>
      <c r="E76" s="520" t="s">
        <v>723</v>
      </c>
      <c r="F76" s="521" t="s">
        <v>724</v>
      </c>
      <c r="G76" s="242" t="s">
        <v>135</v>
      </c>
      <c r="H76" s="257">
        <f>'прил12(ведом 19)'!M431</f>
        <v>6603.2</v>
      </c>
    </row>
    <row r="77" spans="1:8" ht="56.25">
      <c r="A77" s="243"/>
      <c r="B77" s="91" t="s">
        <v>725</v>
      </c>
      <c r="C77" s="525" t="s">
        <v>91</v>
      </c>
      <c r="D77" s="526" t="s">
        <v>97</v>
      </c>
      <c r="E77" s="526" t="s">
        <v>723</v>
      </c>
      <c r="F77" s="527" t="s">
        <v>772</v>
      </c>
      <c r="G77" s="81"/>
      <c r="H77" s="257">
        <f>H78</f>
        <v>9784.4000000000015</v>
      </c>
    </row>
    <row r="78" spans="1:8" ht="56.25">
      <c r="A78" s="243"/>
      <c r="B78" s="91" t="s">
        <v>134</v>
      </c>
      <c r="C78" s="525" t="s">
        <v>91</v>
      </c>
      <c r="D78" s="526" t="s">
        <v>97</v>
      </c>
      <c r="E78" s="526" t="s">
        <v>723</v>
      </c>
      <c r="F78" s="527" t="s">
        <v>772</v>
      </c>
      <c r="G78" s="81" t="s">
        <v>135</v>
      </c>
      <c r="H78" s="257">
        <f>'прил12(ведом 19)'!M433</f>
        <v>9784.4000000000015</v>
      </c>
    </row>
    <row r="79" spans="1:8" ht="18.75">
      <c r="A79" s="243"/>
      <c r="B79" s="256" t="s">
        <v>283</v>
      </c>
      <c r="C79" s="130" t="s">
        <v>91</v>
      </c>
      <c r="D79" s="131" t="s">
        <v>149</v>
      </c>
      <c r="E79" s="131" t="s">
        <v>95</v>
      </c>
      <c r="F79" s="132" t="s">
        <v>96</v>
      </c>
      <c r="G79" s="242"/>
      <c r="H79" s="257">
        <f>H80+H107</f>
        <v>54569.388460000002</v>
      </c>
    </row>
    <row r="80" spans="1:8" ht="37.5">
      <c r="A80" s="243"/>
      <c r="B80" s="256" t="s">
        <v>355</v>
      </c>
      <c r="C80" s="130" t="s">
        <v>91</v>
      </c>
      <c r="D80" s="131" t="s">
        <v>149</v>
      </c>
      <c r="E80" s="131" t="s">
        <v>89</v>
      </c>
      <c r="F80" s="132" t="s">
        <v>96</v>
      </c>
      <c r="G80" s="242"/>
      <c r="H80" s="257">
        <f>H81+H86+H88+H91+H93+H95+H97+H99+H105+H103+H101</f>
        <v>54554.388460000002</v>
      </c>
    </row>
    <row r="81" spans="1:8" ht="75">
      <c r="A81" s="243"/>
      <c r="B81" s="256" t="s">
        <v>150</v>
      </c>
      <c r="C81" s="130" t="s">
        <v>91</v>
      </c>
      <c r="D81" s="131" t="s">
        <v>149</v>
      </c>
      <c r="E81" s="131" t="s">
        <v>89</v>
      </c>
      <c r="F81" s="132" t="s">
        <v>152</v>
      </c>
      <c r="G81" s="133"/>
      <c r="H81" s="257">
        <f>SUM(H82:H85)</f>
        <v>45265.703460000004</v>
      </c>
    </row>
    <row r="82" spans="1:8" ht="93.75">
      <c r="A82" s="243"/>
      <c r="B82" s="219" t="s">
        <v>101</v>
      </c>
      <c r="C82" s="130" t="s">
        <v>91</v>
      </c>
      <c r="D82" s="131" t="s">
        <v>149</v>
      </c>
      <c r="E82" s="131" t="s">
        <v>89</v>
      </c>
      <c r="F82" s="132" t="s">
        <v>152</v>
      </c>
      <c r="G82" s="133" t="s">
        <v>102</v>
      </c>
      <c r="H82" s="257">
        <f>'прил12(ведом 19)'!M444</f>
        <v>24442</v>
      </c>
    </row>
    <row r="83" spans="1:8" ht="37.5">
      <c r="A83" s="243"/>
      <c r="B83" s="219" t="s">
        <v>107</v>
      </c>
      <c r="C83" s="130" t="s">
        <v>91</v>
      </c>
      <c r="D83" s="131" t="s">
        <v>149</v>
      </c>
      <c r="E83" s="131" t="s">
        <v>89</v>
      </c>
      <c r="F83" s="132" t="s">
        <v>152</v>
      </c>
      <c r="G83" s="133" t="s">
        <v>108</v>
      </c>
      <c r="H83" s="257">
        <f>'прил12(ведом 19)'!M445</f>
        <v>1883.0534600000001</v>
      </c>
    </row>
    <row r="84" spans="1:8" ht="56.25">
      <c r="A84" s="243"/>
      <c r="B84" s="256" t="s">
        <v>134</v>
      </c>
      <c r="C84" s="130" t="s">
        <v>91</v>
      </c>
      <c r="D84" s="131" t="s">
        <v>149</v>
      </c>
      <c r="E84" s="131" t="s">
        <v>89</v>
      </c>
      <c r="F84" s="132" t="s">
        <v>152</v>
      </c>
      <c r="G84" s="133" t="s">
        <v>135</v>
      </c>
      <c r="H84" s="257">
        <f>'прил12(ведом 19)'!M446</f>
        <v>18860.099999999999</v>
      </c>
    </row>
    <row r="85" spans="1:8" ht="18.75">
      <c r="A85" s="243"/>
      <c r="B85" s="219" t="s">
        <v>109</v>
      </c>
      <c r="C85" s="130" t="s">
        <v>91</v>
      </c>
      <c r="D85" s="131" t="s">
        <v>149</v>
      </c>
      <c r="E85" s="131" t="s">
        <v>89</v>
      </c>
      <c r="F85" s="132" t="s">
        <v>152</v>
      </c>
      <c r="G85" s="133" t="s">
        <v>110</v>
      </c>
      <c r="H85" s="257">
        <f>'прил12(ведом 19)'!M447</f>
        <v>80.55</v>
      </c>
    </row>
    <row r="86" spans="1:8" ht="37.5">
      <c r="A86" s="243"/>
      <c r="B86" s="219" t="s">
        <v>570</v>
      </c>
      <c r="C86" s="130" t="s">
        <v>91</v>
      </c>
      <c r="D86" s="131" t="s">
        <v>149</v>
      </c>
      <c r="E86" s="131" t="s">
        <v>89</v>
      </c>
      <c r="F86" s="132" t="s">
        <v>569</v>
      </c>
      <c r="G86" s="133"/>
      <c r="H86" s="257">
        <f>H87</f>
        <v>1866.1000000000001</v>
      </c>
    </row>
    <row r="87" spans="1:8" ht="37.5">
      <c r="A87" s="243"/>
      <c r="B87" s="219" t="s">
        <v>107</v>
      </c>
      <c r="C87" s="130" t="s">
        <v>91</v>
      </c>
      <c r="D87" s="131" t="s">
        <v>149</v>
      </c>
      <c r="E87" s="131" t="s">
        <v>89</v>
      </c>
      <c r="F87" s="132" t="s">
        <v>569</v>
      </c>
      <c r="G87" s="133" t="s">
        <v>108</v>
      </c>
      <c r="H87" s="257">
        <f>'прил12(ведом 19)'!M449</f>
        <v>1866.1000000000001</v>
      </c>
    </row>
    <row r="88" spans="1:8" ht="37.5">
      <c r="A88" s="243"/>
      <c r="B88" s="219" t="s">
        <v>279</v>
      </c>
      <c r="C88" s="130" t="s">
        <v>91</v>
      </c>
      <c r="D88" s="131" t="s">
        <v>149</v>
      </c>
      <c r="E88" s="131" t="s">
        <v>89</v>
      </c>
      <c r="F88" s="132" t="s">
        <v>351</v>
      </c>
      <c r="G88" s="133"/>
      <c r="H88" s="257">
        <f>SUM(H89:H90)</f>
        <v>981.9849999999999</v>
      </c>
    </row>
    <row r="89" spans="1:8" ht="37.5">
      <c r="A89" s="243"/>
      <c r="B89" s="219" t="s">
        <v>107</v>
      </c>
      <c r="C89" s="130" t="s">
        <v>91</v>
      </c>
      <c r="D89" s="131" t="s">
        <v>149</v>
      </c>
      <c r="E89" s="131" t="s">
        <v>89</v>
      </c>
      <c r="F89" s="132" t="s">
        <v>351</v>
      </c>
      <c r="G89" s="133" t="s">
        <v>108</v>
      </c>
      <c r="H89" s="257">
        <f>'прил12(ведом 19)'!M451</f>
        <v>525.48699999999985</v>
      </c>
    </row>
    <row r="90" spans="1:8" ht="56.25">
      <c r="A90" s="243"/>
      <c r="B90" s="259" t="s">
        <v>134</v>
      </c>
      <c r="C90" s="130" t="s">
        <v>91</v>
      </c>
      <c r="D90" s="131" t="s">
        <v>149</v>
      </c>
      <c r="E90" s="131" t="s">
        <v>89</v>
      </c>
      <c r="F90" s="132" t="s">
        <v>351</v>
      </c>
      <c r="G90" s="133" t="s">
        <v>135</v>
      </c>
      <c r="H90" s="257">
        <f>'прил12(ведом 19)'!M452</f>
        <v>456.49800000000005</v>
      </c>
    </row>
    <row r="91" spans="1:8" ht="37.5">
      <c r="A91" s="243"/>
      <c r="B91" s="256" t="s">
        <v>280</v>
      </c>
      <c r="C91" s="130" t="s">
        <v>91</v>
      </c>
      <c r="D91" s="131" t="s">
        <v>149</v>
      </c>
      <c r="E91" s="131" t="s">
        <v>89</v>
      </c>
      <c r="F91" s="132" t="s">
        <v>352</v>
      </c>
      <c r="G91" s="133"/>
      <c r="H91" s="257">
        <f>H92</f>
        <v>413.90000000000003</v>
      </c>
    </row>
    <row r="92" spans="1:8" ht="37.5">
      <c r="A92" s="243"/>
      <c r="B92" s="219" t="s">
        <v>107</v>
      </c>
      <c r="C92" s="130" t="s">
        <v>91</v>
      </c>
      <c r="D92" s="131" t="s">
        <v>149</v>
      </c>
      <c r="E92" s="131" t="s">
        <v>89</v>
      </c>
      <c r="F92" s="132" t="s">
        <v>352</v>
      </c>
      <c r="G92" s="133" t="s">
        <v>108</v>
      </c>
      <c r="H92" s="257">
        <f>'прил12(ведом 19)'!M454</f>
        <v>413.90000000000003</v>
      </c>
    </row>
    <row r="93" spans="1:8" ht="56.25">
      <c r="A93" s="243"/>
      <c r="B93" s="219" t="s">
        <v>281</v>
      </c>
      <c r="C93" s="130" t="s">
        <v>91</v>
      </c>
      <c r="D93" s="131" t="s">
        <v>149</v>
      </c>
      <c r="E93" s="131" t="s">
        <v>89</v>
      </c>
      <c r="F93" s="132" t="s">
        <v>353</v>
      </c>
      <c r="G93" s="133"/>
      <c r="H93" s="257">
        <f>SUM(H94:H94)</f>
        <v>7.5</v>
      </c>
    </row>
    <row r="94" spans="1:8" ht="56.25">
      <c r="A94" s="243"/>
      <c r="B94" s="219" t="s">
        <v>134</v>
      </c>
      <c r="C94" s="130" t="s">
        <v>91</v>
      </c>
      <c r="D94" s="131" t="s">
        <v>149</v>
      </c>
      <c r="E94" s="131" t="s">
        <v>89</v>
      </c>
      <c r="F94" s="132" t="s">
        <v>353</v>
      </c>
      <c r="G94" s="133" t="s">
        <v>135</v>
      </c>
      <c r="H94" s="257">
        <f>'прил12(ведом 19)'!M456</f>
        <v>7.5</v>
      </c>
    </row>
    <row r="95" spans="1:8" ht="18.75">
      <c r="A95" s="243"/>
      <c r="B95" s="219" t="s">
        <v>601</v>
      </c>
      <c r="C95" s="130" t="s">
        <v>91</v>
      </c>
      <c r="D95" s="131" t="s">
        <v>149</v>
      </c>
      <c r="E95" s="131" t="s">
        <v>89</v>
      </c>
      <c r="F95" s="132" t="s">
        <v>600</v>
      </c>
      <c r="G95" s="133"/>
      <c r="H95" s="257">
        <f>H96</f>
        <v>125</v>
      </c>
    </row>
    <row r="96" spans="1:8" ht="93.75">
      <c r="A96" s="243"/>
      <c r="B96" s="219" t="s">
        <v>101</v>
      </c>
      <c r="C96" s="130" t="s">
        <v>91</v>
      </c>
      <c r="D96" s="131" t="s">
        <v>149</v>
      </c>
      <c r="E96" s="131" t="s">
        <v>89</v>
      </c>
      <c r="F96" s="132" t="s">
        <v>600</v>
      </c>
      <c r="G96" s="133" t="s">
        <v>102</v>
      </c>
      <c r="H96" s="257">
        <f>'прил12(ведом 19)'!M458</f>
        <v>125</v>
      </c>
    </row>
    <row r="97" spans="1:8" ht="18.75">
      <c r="A97" s="243"/>
      <c r="B97" s="256" t="s">
        <v>346</v>
      </c>
      <c r="C97" s="130" t="s">
        <v>91</v>
      </c>
      <c r="D97" s="131" t="s">
        <v>149</v>
      </c>
      <c r="E97" s="131" t="s">
        <v>89</v>
      </c>
      <c r="F97" s="132" t="s">
        <v>347</v>
      </c>
      <c r="G97" s="133"/>
      <c r="H97" s="257">
        <f>H98</f>
        <v>151.4</v>
      </c>
    </row>
    <row r="98" spans="1:8" ht="93.75">
      <c r="A98" s="243"/>
      <c r="B98" s="219" t="s">
        <v>101</v>
      </c>
      <c r="C98" s="130" t="s">
        <v>91</v>
      </c>
      <c r="D98" s="131" t="s">
        <v>149</v>
      </c>
      <c r="E98" s="131" t="s">
        <v>89</v>
      </c>
      <c r="F98" s="132" t="s">
        <v>347</v>
      </c>
      <c r="G98" s="133" t="s">
        <v>102</v>
      </c>
      <c r="H98" s="257">
        <f>'прил12(ведом 19)'!M460</f>
        <v>151.4</v>
      </c>
    </row>
    <row r="99" spans="1:8" ht="112.5">
      <c r="A99" s="243"/>
      <c r="B99" s="256" t="s">
        <v>467</v>
      </c>
      <c r="C99" s="130" t="s">
        <v>91</v>
      </c>
      <c r="D99" s="131" t="s">
        <v>149</v>
      </c>
      <c r="E99" s="131" t="s">
        <v>89</v>
      </c>
      <c r="F99" s="132" t="s">
        <v>348</v>
      </c>
      <c r="G99" s="133"/>
      <c r="H99" s="257">
        <f>H100</f>
        <v>3577.2</v>
      </c>
    </row>
    <row r="100" spans="1:8" ht="56.25">
      <c r="A100" s="243"/>
      <c r="B100" s="256" t="s">
        <v>134</v>
      </c>
      <c r="C100" s="130" t="s">
        <v>91</v>
      </c>
      <c r="D100" s="131" t="s">
        <v>149</v>
      </c>
      <c r="E100" s="131" t="s">
        <v>89</v>
      </c>
      <c r="F100" s="132" t="s">
        <v>348</v>
      </c>
      <c r="G100" s="133" t="s">
        <v>135</v>
      </c>
      <c r="H100" s="257">
        <f>'прил12(ведом 19)'!M462</f>
        <v>3577.2</v>
      </c>
    </row>
    <row r="101" spans="1:8" ht="37.5">
      <c r="A101" s="243"/>
      <c r="B101" s="91" t="s">
        <v>771</v>
      </c>
      <c r="C101" s="525" t="s">
        <v>91</v>
      </c>
      <c r="D101" s="526" t="s">
        <v>149</v>
      </c>
      <c r="E101" s="526" t="s">
        <v>89</v>
      </c>
      <c r="F101" s="527" t="s">
        <v>770</v>
      </c>
      <c r="G101" s="81"/>
      <c r="H101" s="257">
        <f>H102</f>
        <v>1</v>
      </c>
    </row>
    <row r="102" spans="1:8" ht="56.25">
      <c r="A102" s="243"/>
      <c r="B102" s="91" t="s">
        <v>134</v>
      </c>
      <c r="C102" s="525" t="s">
        <v>91</v>
      </c>
      <c r="D102" s="526" t="s">
        <v>149</v>
      </c>
      <c r="E102" s="526" t="s">
        <v>89</v>
      </c>
      <c r="F102" s="527" t="s">
        <v>770</v>
      </c>
      <c r="G102" s="81" t="s">
        <v>135</v>
      </c>
      <c r="H102" s="257">
        <f>'прил12(ведом 19)'!M464</f>
        <v>1</v>
      </c>
    </row>
    <row r="103" spans="1:8" ht="56.25">
      <c r="A103" s="243"/>
      <c r="B103" s="91" t="s">
        <v>773</v>
      </c>
      <c r="C103" s="525" t="s">
        <v>91</v>
      </c>
      <c r="D103" s="526" t="s">
        <v>149</v>
      </c>
      <c r="E103" s="526" t="s">
        <v>89</v>
      </c>
      <c r="F103" s="527" t="s">
        <v>764</v>
      </c>
      <c r="G103" s="133"/>
      <c r="H103" s="257">
        <f>H104</f>
        <v>100</v>
      </c>
    </row>
    <row r="104" spans="1:8" ht="56.25">
      <c r="A104" s="243"/>
      <c r="B104" s="91" t="s">
        <v>134</v>
      </c>
      <c r="C104" s="525" t="s">
        <v>91</v>
      </c>
      <c r="D104" s="526" t="s">
        <v>149</v>
      </c>
      <c r="E104" s="526" t="s">
        <v>89</v>
      </c>
      <c r="F104" s="527" t="s">
        <v>764</v>
      </c>
      <c r="G104" s="133" t="s">
        <v>135</v>
      </c>
      <c r="H104" s="257">
        <f>'прил12(ведом 19)'!M466</f>
        <v>100</v>
      </c>
    </row>
    <row r="105" spans="1:8" ht="56.25">
      <c r="A105" s="243"/>
      <c r="B105" s="219" t="s">
        <v>728</v>
      </c>
      <c r="C105" s="130" t="s">
        <v>91</v>
      </c>
      <c r="D105" s="131" t="s">
        <v>149</v>
      </c>
      <c r="E105" s="131" t="s">
        <v>89</v>
      </c>
      <c r="F105" s="132" t="s">
        <v>727</v>
      </c>
      <c r="G105" s="133"/>
      <c r="H105" s="257">
        <v>2064.6</v>
      </c>
    </row>
    <row r="106" spans="1:8" ht="37.5">
      <c r="A106" s="243"/>
      <c r="B106" s="219" t="s">
        <v>107</v>
      </c>
      <c r="C106" s="130" t="s">
        <v>91</v>
      </c>
      <c r="D106" s="131" t="s">
        <v>149</v>
      </c>
      <c r="E106" s="131" t="s">
        <v>89</v>
      </c>
      <c r="F106" s="132" t="s">
        <v>727</v>
      </c>
      <c r="G106" s="133" t="s">
        <v>108</v>
      </c>
      <c r="H106" s="257">
        <f>'прил12(ведом 19)'!M468</f>
        <v>2064.6</v>
      </c>
    </row>
    <row r="107" spans="1:8" ht="18.75">
      <c r="A107" s="243"/>
      <c r="B107" s="219" t="s">
        <v>356</v>
      </c>
      <c r="C107" s="130" t="s">
        <v>91</v>
      </c>
      <c r="D107" s="131" t="s">
        <v>149</v>
      </c>
      <c r="E107" s="131" t="s">
        <v>91</v>
      </c>
      <c r="F107" s="132" t="s">
        <v>96</v>
      </c>
      <c r="G107" s="133"/>
      <c r="H107" s="257">
        <f>H108</f>
        <v>15</v>
      </c>
    </row>
    <row r="108" spans="1:8" ht="37.5">
      <c r="A108" s="243"/>
      <c r="B108" s="219" t="s">
        <v>357</v>
      </c>
      <c r="C108" s="130" t="s">
        <v>91</v>
      </c>
      <c r="D108" s="131" t="s">
        <v>149</v>
      </c>
      <c r="E108" s="131" t="s">
        <v>91</v>
      </c>
      <c r="F108" s="132" t="s">
        <v>358</v>
      </c>
      <c r="G108" s="133"/>
      <c r="H108" s="257">
        <f>H109</f>
        <v>15</v>
      </c>
    </row>
    <row r="109" spans="1:8" ht="37.5">
      <c r="A109" s="243"/>
      <c r="B109" s="219" t="s">
        <v>182</v>
      </c>
      <c r="C109" s="130" t="s">
        <v>91</v>
      </c>
      <c r="D109" s="131" t="s">
        <v>149</v>
      </c>
      <c r="E109" s="131" t="s">
        <v>91</v>
      </c>
      <c r="F109" s="132" t="s">
        <v>358</v>
      </c>
      <c r="G109" s="133" t="s">
        <v>183</v>
      </c>
      <c r="H109" s="257">
        <f>'прил12(ведом 19)'!M483</f>
        <v>15</v>
      </c>
    </row>
    <row r="110" spans="1:8" ht="56.25">
      <c r="A110" s="243"/>
      <c r="B110" s="256" t="s">
        <v>285</v>
      </c>
      <c r="C110" s="130" t="s">
        <v>91</v>
      </c>
      <c r="D110" s="131" t="s">
        <v>82</v>
      </c>
      <c r="E110" s="131" t="s">
        <v>95</v>
      </c>
      <c r="F110" s="132" t="s">
        <v>96</v>
      </c>
      <c r="G110" s="242"/>
      <c r="H110" s="257">
        <f>H111+H127</f>
        <v>53098.348309999994</v>
      </c>
    </row>
    <row r="111" spans="1:8" ht="37.5">
      <c r="A111" s="243"/>
      <c r="B111" s="256" t="s">
        <v>361</v>
      </c>
      <c r="C111" s="130" t="s">
        <v>91</v>
      </c>
      <c r="D111" s="131" t="s">
        <v>82</v>
      </c>
      <c r="E111" s="131" t="s">
        <v>89</v>
      </c>
      <c r="F111" s="132" t="s">
        <v>96</v>
      </c>
      <c r="G111" s="242"/>
      <c r="H111" s="257">
        <f>H112+H116+H124+H121</f>
        <v>48032.248309999995</v>
      </c>
    </row>
    <row r="112" spans="1:8" ht="37.5">
      <c r="A112" s="243"/>
      <c r="B112" s="256" t="s">
        <v>99</v>
      </c>
      <c r="C112" s="130" t="s">
        <v>91</v>
      </c>
      <c r="D112" s="131" t="s">
        <v>82</v>
      </c>
      <c r="E112" s="131" t="s">
        <v>89</v>
      </c>
      <c r="F112" s="132" t="s">
        <v>100</v>
      </c>
      <c r="G112" s="133"/>
      <c r="H112" s="257">
        <f>SUM(H113:H115)</f>
        <v>8562.423020000002</v>
      </c>
    </row>
    <row r="113" spans="1:8" ht="93.75">
      <c r="A113" s="243"/>
      <c r="B113" s="256" t="s">
        <v>101</v>
      </c>
      <c r="C113" s="130" t="s">
        <v>91</v>
      </c>
      <c r="D113" s="131" t="s">
        <v>82</v>
      </c>
      <c r="E113" s="131" t="s">
        <v>89</v>
      </c>
      <c r="F113" s="132" t="s">
        <v>100</v>
      </c>
      <c r="G113" s="133" t="s">
        <v>102</v>
      </c>
      <c r="H113" s="257">
        <f>'прил12(ведом 19)'!M487</f>
        <v>7867.1</v>
      </c>
    </row>
    <row r="114" spans="1:8" ht="37.5">
      <c r="A114" s="243"/>
      <c r="B114" s="256" t="s">
        <v>107</v>
      </c>
      <c r="C114" s="130" t="s">
        <v>91</v>
      </c>
      <c r="D114" s="131" t="s">
        <v>82</v>
      </c>
      <c r="E114" s="131" t="s">
        <v>89</v>
      </c>
      <c r="F114" s="132" t="s">
        <v>100</v>
      </c>
      <c r="G114" s="133" t="s">
        <v>108</v>
      </c>
      <c r="H114" s="257">
        <f>'прил12(ведом 19)'!M488</f>
        <v>677.12302</v>
      </c>
    </row>
    <row r="115" spans="1:8" ht="18.75">
      <c r="A115" s="243"/>
      <c r="B115" s="256" t="s">
        <v>109</v>
      </c>
      <c r="C115" s="130" t="s">
        <v>91</v>
      </c>
      <c r="D115" s="131" t="s">
        <v>82</v>
      </c>
      <c r="E115" s="131" t="s">
        <v>89</v>
      </c>
      <c r="F115" s="132" t="s">
        <v>100</v>
      </c>
      <c r="G115" s="133" t="s">
        <v>110</v>
      </c>
      <c r="H115" s="257">
        <f>'прил12(ведом 19)'!M489</f>
        <v>18.2</v>
      </c>
    </row>
    <row r="116" spans="1:8" ht="75">
      <c r="A116" s="243"/>
      <c r="B116" s="256" t="s">
        <v>150</v>
      </c>
      <c r="C116" s="130" t="s">
        <v>91</v>
      </c>
      <c r="D116" s="131" t="s">
        <v>82</v>
      </c>
      <c r="E116" s="131" t="s">
        <v>89</v>
      </c>
      <c r="F116" s="132" t="s">
        <v>152</v>
      </c>
      <c r="G116" s="133"/>
      <c r="H116" s="257">
        <f>SUM(H117:H120)</f>
        <v>31250.925289999999</v>
      </c>
    </row>
    <row r="117" spans="1:8" ht="93.75">
      <c r="A117" s="243"/>
      <c r="B117" s="256" t="s">
        <v>101</v>
      </c>
      <c r="C117" s="130" t="s">
        <v>91</v>
      </c>
      <c r="D117" s="131" t="s">
        <v>82</v>
      </c>
      <c r="E117" s="131" t="s">
        <v>89</v>
      </c>
      <c r="F117" s="132" t="s">
        <v>152</v>
      </c>
      <c r="G117" s="133" t="s">
        <v>102</v>
      </c>
      <c r="H117" s="257">
        <f>'прил12(ведом 19)'!M491</f>
        <v>24761.5</v>
      </c>
    </row>
    <row r="118" spans="1:8" ht="37.5">
      <c r="A118" s="243"/>
      <c r="B118" s="256" t="s">
        <v>107</v>
      </c>
      <c r="C118" s="130" t="s">
        <v>91</v>
      </c>
      <c r="D118" s="131" t="s">
        <v>82</v>
      </c>
      <c r="E118" s="131" t="s">
        <v>89</v>
      </c>
      <c r="F118" s="132" t="s">
        <v>152</v>
      </c>
      <c r="G118" s="133" t="s">
        <v>108</v>
      </c>
      <c r="H118" s="257">
        <f>'прил12(ведом 19)'!M492</f>
        <v>2414.6252899999999</v>
      </c>
    </row>
    <row r="119" spans="1:8" ht="48" customHeight="1">
      <c r="A119" s="243"/>
      <c r="B119" s="256" t="s">
        <v>134</v>
      </c>
      <c r="C119" s="130" t="s">
        <v>91</v>
      </c>
      <c r="D119" s="131" t="s">
        <v>82</v>
      </c>
      <c r="E119" s="131" t="s">
        <v>89</v>
      </c>
      <c r="F119" s="132" t="s">
        <v>152</v>
      </c>
      <c r="G119" s="133" t="s">
        <v>135</v>
      </c>
      <c r="H119" s="257">
        <f>'прил12(ведом 19)'!M493</f>
        <v>4045.3</v>
      </c>
    </row>
    <row r="120" spans="1:8" ht="18.75">
      <c r="A120" s="243"/>
      <c r="B120" s="256" t="s">
        <v>109</v>
      </c>
      <c r="C120" s="130" t="s">
        <v>91</v>
      </c>
      <c r="D120" s="131" t="s">
        <v>82</v>
      </c>
      <c r="E120" s="131" t="s">
        <v>89</v>
      </c>
      <c r="F120" s="132" t="s">
        <v>152</v>
      </c>
      <c r="G120" s="133" t="s">
        <v>110</v>
      </c>
      <c r="H120" s="257">
        <f>'прил12(ведом 19)'!M494</f>
        <v>29.5</v>
      </c>
    </row>
    <row r="121" spans="1:8" ht="112.5">
      <c r="A121" s="243"/>
      <c r="B121" s="219" t="s">
        <v>467</v>
      </c>
      <c r="C121" s="130" t="s">
        <v>91</v>
      </c>
      <c r="D121" s="131" t="s">
        <v>82</v>
      </c>
      <c r="E121" s="131" t="s">
        <v>89</v>
      </c>
      <c r="F121" s="132" t="s">
        <v>348</v>
      </c>
      <c r="G121" s="133"/>
      <c r="H121" s="257">
        <f>H122+H123</f>
        <v>5848.2000000000007</v>
      </c>
    </row>
    <row r="122" spans="1:8" ht="93.75">
      <c r="A122" s="243"/>
      <c r="B122" s="219" t="s">
        <v>101</v>
      </c>
      <c r="C122" s="130" t="s">
        <v>91</v>
      </c>
      <c r="D122" s="131" t="s">
        <v>82</v>
      </c>
      <c r="E122" s="131" t="s">
        <v>89</v>
      </c>
      <c r="F122" s="132" t="s">
        <v>348</v>
      </c>
      <c r="G122" s="133" t="s">
        <v>102</v>
      </c>
      <c r="H122" s="257">
        <f>'прил12(ведом 19)'!M496</f>
        <v>5595.1</v>
      </c>
    </row>
    <row r="123" spans="1:8" ht="37.5">
      <c r="A123" s="243"/>
      <c r="B123" s="256" t="s">
        <v>107</v>
      </c>
      <c r="C123" s="130" t="s">
        <v>91</v>
      </c>
      <c r="D123" s="131" t="s">
        <v>82</v>
      </c>
      <c r="E123" s="131" t="s">
        <v>89</v>
      </c>
      <c r="F123" s="132" t="s">
        <v>348</v>
      </c>
      <c r="G123" s="133" t="s">
        <v>108</v>
      </c>
      <c r="H123" s="257">
        <f>'прил12(ведом 19)'!M497</f>
        <v>253.1</v>
      </c>
    </row>
    <row r="124" spans="1:8" ht="195.6" customHeight="1">
      <c r="A124" s="243"/>
      <c r="B124" s="219" t="s">
        <v>696</v>
      </c>
      <c r="C124" s="130" t="s">
        <v>91</v>
      </c>
      <c r="D124" s="131" t="s">
        <v>82</v>
      </c>
      <c r="E124" s="131" t="s">
        <v>89</v>
      </c>
      <c r="F124" s="132" t="s">
        <v>468</v>
      </c>
      <c r="G124" s="133"/>
      <c r="H124" s="257">
        <f>SUM(H126:H126)+H125</f>
        <v>2370.6999999999998</v>
      </c>
    </row>
    <row r="125" spans="1:8" ht="91.15" customHeight="1">
      <c r="A125" s="243"/>
      <c r="B125" s="219" t="s">
        <v>101</v>
      </c>
      <c r="C125" s="130" t="s">
        <v>91</v>
      </c>
      <c r="D125" s="131" t="s">
        <v>82</v>
      </c>
      <c r="E125" s="131" t="s">
        <v>89</v>
      </c>
      <c r="F125" s="132" t="s">
        <v>468</v>
      </c>
      <c r="G125" s="133" t="s">
        <v>102</v>
      </c>
      <c r="H125" s="257">
        <f>'прил12(ведом 19)'!M437</f>
        <v>29.789760000000001</v>
      </c>
    </row>
    <row r="126" spans="1:8" ht="56.25">
      <c r="A126" s="243"/>
      <c r="B126" s="256" t="s">
        <v>134</v>
      </c>
      <c r="C126" s="130" t="s">
        <v>91</v>
      </c>
      <c r="D126" s="131" t="s">
        <v>82</v>
      </c>
      <c r="E126" s="131" t="s">
        <v>89</v>
      </c>
      <c r="F126" s="132" t="s">
        <v>468</v>
      </c>
      <c r="G126" s="133" t="s">
        <v>135</v>
      </c>
      <c r="H126" s="257">
        <f>'прил12(ведом 19)'!M438</f>
        <v>2340.9102399999997</v>
      </c>
    </row>
    <row r="127" spans="1:8" ht="37.5">
      <c r="A127" s="243"/>
      <c r="B127" s="219" t="s">
        <v>360</v>
      </c>
      <c r="C127" s="130" t="s">
        <v>91</v>
      </c>
      <c r="D127" s="131" t="s">
        <v>82</v>
      </c>
      <c r="E127" s="131" t="s">
        <v>91</v>
      </c>
      <c r="F127" s="132" t="s">
        <v>96</v>
      </c>
      <c r="G127" s="133"/>
      <c r="H127" s="257">
        <f>H128+H131</f>
        <v>5066.1000000000004</v>
      </c>
    </row>
    <row r="128" spans="1:8" ht="37.5">
      <c r="A128" s="243"/>
      <c r="B128" s="219" t="s">
        <v>709</v>
      </c>
      <c r="C128" s="130" t="s">
        <v>91</v>
      </c>
      <c r="D128" s="131" t="s">
        <v>82</v>
      </c>
      <c r="E128" s="131" t="s">
        <v>91</v>
      </c>
      <c r="F128" s="132" t="s">
        <v>708</v>
      </c>
      <c r="G128" s="133"/>
      <c r="H128" s="257">
        <f>H129+H130</f>
        <v>1062.5</v>
      </c>
    </row>
    <row r="129" spans="1:8" ht="37.5">
      <c r="A129" s="243"/>
      <c r="B129" s="219" t="s">
        <v>107</v>
      </c>
      <c r="C129" s="130" t="s">
        <v>91</v>
      </c>
      <c r="D129" s="131" t="s">
        <v>82</v>
      </c>
      <c r="E129" s="131" t="s">
        <v>91</v>
      </c>
      <c r="F129" s="132" t="s">
        <v>708</v>
      </c>
      <c r="G129" s="133" t="s">
        <v>108</v>
      </c>
      <c r="H129" s="257">
        <f>'прил12(ведом 19)'!M474</f>
        <v>652.79999999999995</v>
      </c>
    </row>
    <row r="130" spans="1:8" ht="56.25">
      <c r="A130" s="243"/>
      <c r="B130" s="219" t="s">
        <v>134</v>
      </c>
      <c r="C130" s="130" t="s">
        <v>91</v>
      </c>
      <c r="D130" s="131" t="s">
        <v>82</v>
      </c>
      <c r="E130" s="131" t="s">
        <v>91</v>
      </c>
      <c r="F130" s="132" t="s">
        <v>708</v>
      </c>
      <c r="G130" s="133" t="s">
        <v>135</v>
      </c>
      <c r="H130" s="257">
        <f>'прил12(ведом 19)'!M475</f>
        <v>409.7</v>
      </c>
    </row>
    <row r="131" spans="1:8" ht="37.5">
      <c r="A131" s="243"/>
      <c r="B131" s="219" t="s">
        <v>470</v>
      </c>
      <c r="C131" s="130" t="s">
        <v>91</v>
      </c>
      <c r="D131" s="131" t="s">
        <v>82</v>
      </c>
      <c r="E131" s="131" t="s">
        <v>91</v>
      </c>
      <c r="F131" s="132" t="s">
        <v>591</v>
      </c>
      <c r="G131" s="133"/>
      <c r="H131" s="257">
        <f>H132</f>
        <v>4003.6</v>
      </c>
    </row>
    <row r="132" spans="1:8" ht="56.25">
      <c r="A132" s="243"/>
      <c r="B132" s="219" t="s">
        <v>134</v>
      </c>
      <c r="C132" s="130" t="s">
        <v>91</v>
      </c>
      <c r="D132" s="131" t="s">
        <v>82</v>
      </c>
      <c r="E132" s="131" t="s">
        <v>91</v>
      </c>
      <c r="F132" s="132" t="s">
        <v>591</v>
      </c>
      <c r="G132" s="133" t="s">
        <v>135</v>
      </c>
      <c r="H132" s="257">
        <f>'прил12(ведом 19)'!M477</f>
        <v>4003.6</v>
      </c>
    </row>
    <row r="133" spans="1:8" ht="18.75">
      <c r="A133" s="243"/>
      <c r="B133" s="260"/>
      <c r="C133" s="519"/>
      <c r="D133" s="520"/>
      <c r="E133" s="520"/>
      <c r="F133" s="521"/>
      <c r="G133" s="242"/>
      <c r="H133" s="257"/>
    </row>
    <row r="134" spans="1:8" s="255" customFormat="1" ht="56.25">
      <c r="A134" s="261">
        <v>2</v>
      </c>
      <c r="B134" s="250" t="s">
        <v>286</v>
      </c>
      <c r="C134" s="262" t="s">
        <v>118</v>
      </c>
      <c r="D134" s="262" t="s">
        <v>94</v>
      </c>
      <c r="E134" s="262" t="s">
        <v>95</v>
      </c>
      <c r="F134" s="263" t="s">
        <v>96</v>
      </c>
      <c r="G134" s="253"/>
      <c r="H134" s="254">
        <f>H135+H161+H168</f>
        <v>84699.6</v>
      </c>
    </row>
    <row r="135" spans="1:8" s="255" customFormat="1" ht="56.25">
      <c r="A135" s="243"/>
      <c r="B135" s="264" t="s">
        <v>287</v>
      </c>
      <c r="C135" s="130" t="s">
        <v>118</v>
      </c>
      <c r="D135" s="131" t="s">
        <v>97</v>
      </c>
      <c r="E135" s="131" t="s">
        <v>95</v>
      </c>
      <c r="F135" s="132" t="s">
        <v>96</v>
      </c>
      <c r="G135" s="242"/>
      <c r="H135" s="257">
        <f>H136+H141+H144+H153+H158</f>
        <v>74732.400000000009</v>
      </c>
    </row>
    <row r="136" spans="1:8" s="255" customFormat="1" ht="37.5">
      <c r="A136" s="243"/>
      <c r="B136" s="264" t="s">
        <v>355</v>
      </c>
      <c r="C136" s="130" t="s">
        <v>118</v>
      </c>
      <c r="D136" s="131" t="s">
        <v>97</v>
      </c>
      <c r="E136" s="131" t="s">
        <v>89</v>
      </c>
      <c r="F136" s="132" t="s">
        <v>96</v>
      </c>
      <c r="G136" s="242"/>
      <c r="H136" s="257">
        <f>H137+H139</f>
        <v>50785.200000000012</v>
      </c>
    </row>
    <row r="137" spans="1:8" s="255" customFormat="1" ht="75">
      <c r="A137" s="243"/>
      <c r="B137" s="265" t="s">
        <v>419</v>
      </c>
      <c r="C137" s="130" t="s">
        <v>118</v>
      </c>
      <c r="D137" s="131" t="s">
        <v>97</v>
      </c>
      <c r="E137" s="131" t="s">
        <v>89</v>
      </c>
      <c r="F137" s="132" t="s">
        <v>152</v>
      </c>
      <c r="G137" s="133"/>
      <c r="H137" s="257">
        <f>H138</f>
        <v>50093.30000000001</v>
      </c>
    </row>
    <row r="138" spans="1:8" s="255" customFormat="1" ht="56.25">
      <c r="A138" s="243"/>
      <c r="B138" s="258" t="s">
        <v>134</v>
      </c>
      <c r="C138" s="130" t="s">
        <v>118</v>
      </c>
      <c r="D138" s="131" t="s">
        <v>97</v>
      </c>
      <c r="E138" s="131" t="s">
        <v>89</v>
      </c>
      <c r="F138" s="132" t="s">
        <v>152</v>
      </c>
      <c r="G138" s="133" t="s">
        <v>135</v>
      </c>
      <c r="H138" s="257">
        <f>'прил12(ведом 19)'!M514</f>
        <v>50093.30000000001</v>
      </c>
    </row>
    <row r="139" spans="1:8" s="255" customFormat="1" ht="37.5">
      <c r="A139" s="243"/>
      <c r="B139" s="258" t="s">
        <v>420</v>
      </c>
      <c r="C139" s="130" t="s">
        <v>118</v>
      </c>
      <c r="D139" s="131" t="s">
        <v>97</v>
      </c>
      <c r="E139" s="131" t="s">
        <v>89</v>
      </c>
      <c r="F139" s="132" t="s">
        <v>421</v>
      </c>
      <c r="G139" s="133"/>
      <c r="H139" s="257">
        <f>H140</f>
        <v>691.9</v>
      </c>
    </row>
    <row r="140" spans="1:8" s="255" customFormat="1" ht="56.25">
      <c r="A140" s="243"/>
      <c r="B140" s="219" t="s">
        <v>134</v>
      </c>
      <c r="C140" s="130" t="s">
        <v>118</v>
      </c>
      <c r="D140" s="131" t="s">
        <v>97</v>
      </c>
      <c r="E140" s="131" t="s">
        <v>89</v>
      </c>
      <c r="F140" s="132" t="s">
        <v>421</v>
      </c>
      <c r="G140" s="133" t="s">
        <v>135</v>
      </c>
      <c r="H140" s="257">
        <f>'прил12(ведом 19)'!M516</f>
        <v>691.9</v>
      </c>
    </row>
    <row r="141" spans="1:8" ht="18.75">
      <c r="A141" s="266"/>
      <c r="B141" s="258" t="s">
        <v>356</v>
      </c>
      <c r="C141" s="130" t="s">
        <v>118</v>
      </c>
      <c r="D141" s="131" t="s">
        <v>97</v>
      </c>
      <c r="E141" s="131" t="s">
        <v>91</v>
      </c>
      <c r="F141" s="132" t="s">
        <v>96</v>
      </c>
      <c r="G141" s="133"/>
      <c r="H141" s="267">
        <f>H142</f>
        <v>180</v>
      </c>
    </row>
    <row r="142" spans="1:8" s="255" customFormat="1" ht="37.5">
      <c r="A142" s="243"/>
      <c r="B142" s="258" t="s">
        <v>284</v>
      </c>
      <c r="C142" s="130" t="s">
        <v>118</v>
      </c>
      <c r="D142" s="131" t="s">
        <v>97</v>
      </c>
      <c r="E142" s="131" t="s">
        <v>91</v>
      </c>
      <c r="F142" s="132" t="s">
        <v>358</v>
      </c>
      <c r="G142" s="133"/>
      <c r="H142" s="257">
        <f>H143</f>
        <v>180</v>
      </c>
    </row>
    <row r="143" spans="1:8" s="255" customFormat="1" ht="37.5">
      <c r="A143" s="243"/>
      <c r="B143" s="258" t="s">
        <v>182</v>
      </c>
      <c r="C143" s="130" t="s">
        <v>118</v>
      </c>
      <c r="D143" s="131" t="s">
        <v>97</v>
      </c>
      <c r="E143" s="131" t="s">
        <v>91</v>
      </c>
      <c r="F143" s="132" t="s">
        <v>358</v>
      </c>
      <c r="G143" s="133" t="s">
        <v>183</v>
      </c>
      <c r="H143" s="257">
        <f>'прил12(ведом 19)'!M528</f>
        <v>180</v>
      </c>
    </row>
    <row r="144" spans="1:8" s="255" customFormat="1" ht="18.75">
      <c r="A144" s="243"/>
      <c r="B144" s="256" t="s">
        <v>422</v>
      </c>
      <c r="C144" s="268" t="s">
        <v>118</v>
      </c>
      <c r="D144" s="269" t="s">
        <v>97</v>
      </c>
      <c r="E144" s="269" t="s">
        <v>118</v>
      </c>
      <c r="F144" s="270" t="s">
        <v>96</v>
      </c>
      <c r="G144" s="271"/>
      <c r="H144" s="257">
        <f>H145+H147+H149+H151</f>
        <v>10520.000000000002</v>
      </c>
    </row>
    <row r="145" spans="1:8" s="255" customFormat="1" ht="75">
      <c r="A145" s="243"/>
      <c r="B145" s="265" t="s">
        <v>423</v>
      </c>
      <c r="C145" s="268" t="s">
        <v>118</v>
      </c>
      <c r="D145" s="269" t="s">
        <v>97</v>
      </c>
      <c r="E145" s="269" t="s">
        <v>118</v>
      </c>
      <c r="F145" s="270" t="s">
        <v>152</v>
      </c>
      <c r="G145" s="271"/>
      <c r="H145" s="257">
        <f>H146</f>
        <v>9715.7000000000007</v>
      </c>
    </row>
    <row r="146" spans="1:8" s="255" customFormat="1" ht="56.25">
      <c r="A146" s="243"/>
      <c r="B146" s="258" t="s">
        <v>134</v>
      </c>
      <c r="C146" s="130" t="s">
        <v>118</v>
      </c>
      <c r="D146" s="131" t="s">
        <v>97</v>
      </c>
      <c r="E146" s="131" t="s">
        <v>118</v>
      </c>
      <c r="F146" s="132" t="s">
        <v>152</v>
      </c>
      <c r="G146" s="133" t="s">
        <v>135</v>
      </c>
      <c r="H146" s="257">
        <f>'прил12(ведом 19)'!M535</f>
        <v>9715.7000000000007</v>
      </c>
    </row>
    <row r="147" spans="1:8" s="255" customFormat="1" ht="40.15" customHeight="1">
      <c r="A147" s="243"/>
      <c r="B147" s="258" t="s">
        <v>420</v>
      </c>
      <c r="C147" s="268" t="s">
        <v>118</v>
      </c>
      <c r="D147" s="269" t="s">
        <v>97</v>
      </c>
      <c r="E147" s="269" t="s">
        <v>118</v>
      </c>
      <c r="F147" s="270" t="s">
        <v>421</v>
      </c>
      <c r="G147" s="271"/>
      <c r="H147" s="257">
        <f>H148</f>
        <v>297.45699999999999</v>
      </c>
    </row>
    <row r="148" spans="1:8" s="255" customFormat="1" ht="56.25">
      <c r="A148" s="243"/>
      <c r="B148" s="258" t="s">
        <v>134</v>
      </c>
      <c r="C148" s="268" t="s">
        <v>118</v>
      </c>
      <c r="D148" s="269" t="s">
        <v>97</v>
      </c>
      <c r="E148" s="269" t="s">
        <v>118</v>
      </c>
      <c r="F148" s="270" t="s">
        <v>421</v>
      </c>
      <c r="G148" s="271" t="s">
        <v>135</v>
      </c>
      <c r="H148" s="257">
        <f>'прил12(ведом 19)'!M537</f>
        <v>297.45699999999999</v>
      </c>
    </row>
    <row r="149" spans="1:8" s="255" customFormat="1" ht="56.25">
      <c r="A149" s="243"/>
      <c r="B149" s="258" t="s">
        <v>288</v>
      </c>
      <c r="C149" s="130" t="s">
        <v>118</v>
      </c>
      <c r="D149" s="131" t="s">
        <v>97</v>
      </c>
      <c r="E149" s="131" t="s">
        <v>118</v>
      </c>
      <c r="F149" s="132" t="s">
        <v>424</v>
      </c>
      <c r="G149" s="133"/>
      <c r="H149" s="257">
        <f>H150</f>
        <v>440</v>
      </c>
    </row>
    <row r="150" spans="1:8" s="255" customFormat="1" ht="56.25">
      <c r="A150" s="243"/>
      <c r="B150" s="258" t="s">
        <v>134</v>
      </c>
      <c r="C150" s="130" t="s">
        <v>118</v>
      </c>
      <c r="D150" s="131" t="s">
        <v>97</v>
      </c>
      <c r="E150" s="131" t="s">
        <v>118</v>
      </c>
      <c r="F150" s="132" t="s">
        <v>424</v>
      </c>
      <c r="G150" s="133" t="s">
        <v>135</v>
      </c>
      <c r="H150" s="257">
        <f>'прил12(ведом 19)'!M539</f>
        <v>440</v>
      </c>
    </row>
    <row r="151" spans="1:8" s="255" customFormat="1" ht="18.75">
      <c r="A151" s="243"/>
      <c r="B151" s="97" t="s">
        <v>712</v>
      </c>
      <c r="C151" s="130" t="s">
        <v>118</v>
      </c>
      <c r="D151" s="131" t="s">
        <v>97</v>
      </c>
      <c r="E151" s="131" t="s">
        <v>118</v>
      </c>
      <c r="F151" s="132" t="s">
        <v>710</v>
      </c>
      <c r="G151" s="133"/>
      <c r="H151" s="257">
        <f>H152</f>
        <v>66.843000000000004</v>
      </c>
    </row>
    <row r="152" spans="1:8" s="255" customFormat="1" ht="56.25">
      <c r="A152" s="243"/>
      <c r="B152" s="258" t="s">
        <v>134</v>
      </c>
      <c r="C152" s="130" t="s">
        <v>118</v>
      </c>
      <c r="D152" s="131" t="s">
        <v>97</v>
      </c>
      <c r="E152" s="131" t="s">
        <v>118</v>
      </c>
      <c r="F152" s="132" t="s">
        <v>710</v>
      </c>
      <c r="G152" s="133" t="s">
        <v>135</v>
      </c>
      <c r="H152" s="257">
        <f>'прил12(ведом 19)'!M541</f>
        <v>66.843000000000004</v>
      </c>
    </row>
    <row r="153" spans="1:8" s="255" customFormat="1" ht="37.5">
      <c r="A153" s="243"/>
      <c r="B153" s="258" t="s">
        <v>425</v>
      </c>
      <c r="C153" s="268" t="s">
        <v>118</v>
      </c>
      <c r="D153" s="269" t="s">
        <v>97</v>
      </c>
      <c r="E153" s="269" t="s">
        <v>104</v>
      </c>
      <c r="F153" s="132" t="s">
        <v>96</v>
      </c>
      <c r="G153" s="133"/>
      <c r="H153" s="257">
        <f>H154</f>
        <v>12977.199999999999</v>
      </c>
    </row>
    <row r="154" spans="1:8" s="255" customFormat="1" ht="75">
      <c r="A154" s="243"/>
      <c r="B154" s="265" t="s">
        <v>423</v>
      </c>
      <c r="C154" s="268" t="s">
        <v>118</v>
      </c>
      <c r="D154" s="269" t="s">
        <v>97</v>
      </c>
      <c r="E154" s="269" t="s">
        <v>104</v>
      </c>
      <c r="F154" s="270" t="s">
        <v>152</v>
      </c>
      <c r="G154" s="271"/>
      <c r="H154" s="257">
        <f>SUM(H155:H157)</f>
        <v>12977.199999999999</v>
      </c>
    </row>
    <row r="155" spans="1:8" s="255" customFormat="1" ht="93.75">
      <c r="A155" s="243"/>
      <c r="B155" s="219" t="s">
        <v>101</v>
      </c>
      <c r="C155" s="130" t="s">
        <v>118</v>
      </c>
      <c r="D155" s="131" t="s">
        <v>97</v>
      </c>
      <c r="E155" s="131" t="s">
        <v>104</v>
      </c>
      <c r="F155" s="132" t="s">
        <v>152</v>
      </c>
      <c r="G155" s="133" t="s">
        <v>102</v>
      </c>
      <c r="H155" s="257">
        <f>'прил12(ведом 19)'!M544</f>
        <v>11825.199999999999</v>
      </c>
    </row>
    <row r="156" spans="1:8" s="255" customFormat="1" ht="37.5">
      <c r="A156" s="243"/>
      <c r="B156" s="219" t="s">
        <v>107</v>
      </c>
      <c r="C156" s="130" t="s">
        <v>118</v>
      </c>
      <c r="D156" s="131" t="s">
        <v>97</v>
      </c>
      <c r="E156" s="131" t="s">
        <v>104</v>
      </c>
      <c r="F156" s="132" t="s">
        <v>152</v>
      </c>
      <c r="G156" s="133" t="s">
        <v>108</v>
      </c>
      <c r="H156" s="257">
        <f>'прил12(ведом 19)'!M545</f>
        <v>1130.0999999999999</v>
      </c>
    </row>
    <row r="157" spans="1:8" s="255" customFormat="1" ht="18.75">
      <c r="A157" s="243"/>
      <c r="B157" s="219" t="s">
        <v>109</v>
      </c>
      <c r="C157" s="130" t="s">
        <v>118</v>
      </c>
      <c r="D157" s="131" t="s">
        <v>97</v>
      </c>
      <c r="E157" s="131" t="s">
        <v>104</v>
      </c>
      <c r="F157" s="132" t="s">
        <v>152</v>
      </c>
      <c r="G157" s="133" t="s">
        <v>110</v>
      </c>
      <c r="H157" s="257">
        <f>'прил12(ведом 19)'!M546</f>
        <v>21.9</v>
      </c>
    </row>
    <row r="158" spans="1:8" s="255" customFormat="1" ht="37.5">
      <c r="A158" s="243"/>
      <c r="B158" s="318" t="s">
        <v>360</v>
      </c>
      <c r="C158" s="130" t="s">
        <v>118</v>
      </c>
      <c r="D158" s="131" t="s">
        <v>97</v>
      </c>
      <c r="E158" s="131" t="s">
        <v>120</v>
      </c>
      <c r="F158" s="132" t="s">
        <v>96</v>
      </c>
      <c r="G158" s="133"/>
      <c r="H158" s="257">
        <f>H159</f>
        <v>270</v>
      </c>
    </row>
    <row r="159" spans="1:8" s="255" customFormat="1" ht="37.5">
      <c r="A159" s="243"/>
      <c r="B159" s="279" t="s">
        <v>709</v>
      </c>
      <c r="C159" s="130" t="s">
        <v>118</v>
      </c>
      <c r="D159" s="131" t="s">
        <v>97</v>
      </c>
      <c r="E159" s="131" t="s">
        <v>120</v>
      </c>
      <c r="F159" s="132" t="s">
        <v>708</v>
      </c>
      <c r="G159" s="133"/>
      <c r="H159" s="257">
        <f>H160</f>
        <v>270</v>
      </c>
    </row>
    <row r="160" spans="1:8" s="255" customFormat="1" ht="56.25">
      <c r="A160" s="243"/>
      <c r="B160" s="311" t="s">
        <v>134</v>
      </c>
      <c r="C160" s="130" t="s">
        <v>118</v>
      </c>
      <c r="D160" s="131" t="s">
        <v>97</v>
      </c>
      <c r="E160" s="131" t="s">
        <v>120</v>
      </c>
      <c r="F160" s="132" t="s">
        <v>708</v>
      </c>
      <c r="G160" s="133" t="s">
        <v>135</v>
      </c>
      <c r="H160" s="257">
        <f>'прил12(ведом 19)'!M522</f>
        <v>270</v>
      </c>
    </row>
    <row r="161" spans="1:8" ht="37.5">
      <c r="A161" s="243"/>
      <c r="B161" s="256" t="s">
        <v>433</v>
      </c>
      <c r="C161" s="268" t="s">
        <v>118</v>
      </c>
      <c r="D161" s="269" t="s">
        <v>149</v>
      </c>
      <c r="E161" s="269" t="s">
        <v>95</v>
      </c>
      <c r="F161" s="132" t="s">
        <v>96</v>
      </c>
      <c r="G161" s="271"/>
      <c r="H161" s="257">
        <f>H162</f>
        <v>1110.8</v>
      </c>
    </row>
    <row r="162" spans="1:8" ht="93.75">
      <c r="A162" s="243"/>
      <c r="B162" s="258" t="s">
        <v>426</v>
      </c>
      <c r="C162" s="268" t="s">
        <v>118</v>
      </c>
      <c r="D162" s="269" t="s">
        <v>149</v>
      </c>
      <c r="E162" s="269" t="s">
        <v>118</v>
      </c>
      <c r="F162" s="132" t="s">
        <v>96</v>
      </c>
      <c r="G162" s="271"/>
      <c r="H162" s="257">
        <f>H163+H166</f>
        <v>1110.8</v>
      </c>
    </row>
    <row r="163" spans="1:8" ht="37.5">
      <c r="A163" s="243"/>
      <c r="B163" s="258" t="s">
        <v>420</v>
      </c>
      <c r="C163" s="268" t="s">
        <v>118</v>
      </c>
      <c r="D163" s="269" t="s">
        <v>149</v>
      </c>
      <c r="E163" s="269" t="s">
        <v>118</v>
      </c>
      <c r="F163" s="270" t="s">
        <v>421</v>
      </c>
      <c r="G163" s="242"/>
      <c r="H163" s="257">
        <f>SUM(H164:H165)</f>
        <v>1068.694</v>
      </c>
    </row>
    <row r="164" spans="1:8" ht="37.5">
      <c r="A164" s="243"/>
      <c r="B164" s="219" t="s">
        <v>107</v>
      </c>
      <c r="C164" s="130" t="s">
        <v>118</v>
      </c>
      <c r="D164" s="131" t="s">
        <v>149</v>
      </c>
      <c r="E164" s="131" t="s">
        <v>118</v>
      </c>
      <c r="F164" s="132" t="s">
        <v>421</v>
      </c>
      <c r="G164" s="133" t="s">
        <v>108</v>
      </c>
      <c r="H164" s="257">
        <f>'прил12(ведом 19)'!M563</f>
        <v>1050.8</v>
      </c>
    </row>
    <row r="165" spans="1:8" ht="56.25">
      <c r="A165" s="243"/>
      <c r="B165" s="258" t="s">
        <v>134</v>
      </c>
      <c r="C165" s="130" t="s">
        <v>118</v>
      </c>
      <c r="D165" s="131" t="s">
        <v>149</v>
      </c>
      <c r="E165" s="131" t="s">
        <v>118</v>
      </c>
      <c r="F165" s="132" t="s">
        <v>421</v>
      </c>
      <c r="G165" s="133" t="s">
        <v>135</v>
      </c>
      <c r="H165" s="257">
        <f>'прил12(ведом 19)'!M550</f>
        <v>17.893999999999998</v>
      </c>
    </row>
    <row r="166" spans="1:8" ht="56.25">
      <c r="A166" s="243"/>
      <c r="B166" s="258" t="s">
        <v>745</v>
      </c>
      <c r="C166" s="130" t="s">
        <v>118</v>
      </c>
      <c r="D166" s="131" t="s">
        <v>149</v>
      </c>
      <c r="E166" s="131" t="s">
        <v>118</v>
      </c>
      <c r="F166" s="132" t="s">
        <v>746</v>
      </c>
      <c r="G166" s="133"/>
      <c r="H166" s="257">
        <f>H167</f>
        <v>42.106000000000002</v>
      </c>
    </row>
    <row r="167" spans="1:8" ht="38.450000000000003" customHeight="1">
      <c r="A167" s="243"/>
      <c r="B167" s="258" t="s">
        <v>134</v>
      </c>
      <c r="C167" s="130" t="s">
        <v>118</v>
      </c>
      <c r="D167" s="131" t="s">
        <v>149</v>
      </c>
      <c r="E167" s="131" t="s">
        <v>118</v>
      </c>
      <c r="F167" s="132" t="s">
        <v>746</v>
      </c>
      <c r="G167" s="133" t="s">
        <v>135</v>
      </c>
      <c r="H167" s="257">
        <f>'прил12(ведом 19)'!M552</f>
        <v>42.106000000000002</v>
      </c>
    </row>
    <row r="168" spans="1:8" s="255" customFormat="1" ht="56.25">
      <c r="A168" s="243"/>
      <c r="B168" s="256" t="s">
        <v>289</v>
      </c>
      <c r="C168" s="130" t="s">
        <v>118</v>
      </c>
      <c r="D168" s="131" t="s">
        <v>82</v>
      </c>
      <c r="E168" s="131" t="s">
        <v>95</v>
      </c>
      <c r="F168" s="132" t="s">
        <v>96</v>
      </c>
      <c r="G168" s="242"/>
      <c r="H168" s="257">
        <f>H169</f>
        <v>8856.4</v>
      </c>
    </row>
    <row r="169" spans="1:8" s="255" customFormat="1" ht="37.5">
      <c r="A169" s="243"/>
      <c r="B169" s="256" t="s">
        <v>361</v>
      </c>
      <c r="C169" s="130" t="s">
        <v>118</v>
      </c>
      <c r="D169" s="131" t="s">
        <v>82</v>
      </c>
      <c r="E169" s="131" t="s">
        <v>89</v>
      </c>
      <c r="F169" s="132" t="s">
        <v>96</v>
      </c>
      <c r="G169" s="133"/>
      <c r="H169" s="257">
        <f>H170+H174</f>
        <v>8856.4</v>
      </c>
    </row>
    <row r="170" spans="1:8" ht="37.5">
      <c r="A170" s="243"/>
      <c r="B170" s="256" t="s">
        <v>99</v>
      </c>
      <c r="C170" s="130" t="s">
        <v>118</v>
      </c>
      <c r="D170" s="131" t="s">
        <v>82</v>
      </c>
      <c r="E170" s="131" t="s">
        <v>89</v>
      </c>
      <c r="F170" s="132" t="s">
        <v>100</v>
      </c>
      <c r="G170" s="271"/>
      <c r="H170" s="257">
        <f>SUM(H171:H173)</f>
        <v>2800.2</v>
      </c>
    </row>
    <row r="171" spans="1:8" ht="93.75">
      <c r="A171" s="243"/>
      <c r="B171" s="256" t="s">
        <v>101</v>
      </c>
      <c r="C171" s="130" t="s">
        <v>118</v>
      </c>
      <c r="D171" s="131" t="s">
        <v>82</v>
      </c>
      <c r="E171" s="131" t="s">
        <v>89</v>
      </c>
      <c r="F171" s="132" t="s">
        <v>100</v>
      </c>
      <c r="G171" s="271" t="s">
        <v>102</v>
      </c>
      <c r="H171" s="257">
        <f>'прил12(ведом 19)'!M567</f>
        <v>2524.5</v>
      </c>
    </row>
    <row r="172" spans="1:8" ht="37.5">
      <c r="A172" s="243"/>
      <c r="B172" s="256" t="s">
        <v>107</v>
      </c>
      <c r="C172" s="130" t="s">
        <v>118</v>
      </c>
      <c r="D172" s="131" t="s">
        <v>82</v>
      </c>
      <c r="E172" s="131" t="s">
        <v>89</v>
      </c>
      <c r="F172" s="132" t="s">
        <v>100</v>
      </c>
      <c r="G172" s="271" t="s">
        <v>108</v>
      </c>
      <c r="H172" s="257">
        <f>'прил12(ведом 19)'!M568</f>
        <v>271.2</v>
      </c>
    </row>
    <row r="173" spans="1:8" ht="18.75">
      <c r="A173" s="243"/>
      <c r="B173" s="256" t="s">
        <v>109</v>
      </c>
      <c r="C173" s="130" t="s">
        <v>118</v>
      </c>
      <c r="D173" s="131" t="s">
        <v>82</v>
      </c>
      <c r="E173" s="131" t="s">
        <v>89</v>
      </c>
      <c r="F173" s="132" t="s">
        <v>100</v>
      </c>
      <c r="G173" s="133" t="s">
        <v>110</v>
      </c>
      <c r="H173" s="257">
        <f>'прил12(ведом 19)'!M569</f>
        <v>4.5</v>
      </c>
    </row>
    <row r="174" spans="1:8" ht="75">
      <c r="A174" s="243"/>
      <c r="B174" s="265" t="s">
        <v>423</v>
      </c>
      <c r="C174" s="130" t="s">
        <v>118</v>
      </c>
      <c r="D174" s="131" t="s">
        <v>82</v>
      </c>
      <c r="E174" s="131" t="s">
        <v>89</v>
      </c>
      <c r="F174" s="132" t="s">
        <v>152</v>
      </c>
      <c r="G174" s="133"/>
      <c r="H174" s="257">
        <f>SUM(H175:H177)</f>
        <v>6056.2</v>
      </c>
    </row>
    <row r="175" spans="1:8" ht="93.75">
      <c r="A175" s="243"/>
      <c r="B175" s="256" t="s">
        <v>101</v>
      </c>
      <c r="C175" s="130" t="s">
        <v>118</v>
      </c>
      <c r="D175" s="131" t="s">
        <v>82</v>
      </c>
      <c r="E175" s="131" t="s">
        <v>89</v>
      </c>
      <c r="F175" s="132" t="s">
        <v>152</v>
      </c>
      <c r="G175" s="271" t="s">
        <v>102</v>
      </c>
      <c r="H175" s="257">
        <f>'прил12(ведом 19)'!M571</f>
        <v>5534.2</v>
      </c>
    </row>
    <row r="176" spans="1:8" ht="37.5">
      <c r="A176" s="243"/>
      <c r="B176" s="256" t="s">
        <v>107</v>
      </c>
      <c r="C176" s="130" t="s">
        <v>118</v>
      </c>
      <c r="D176" s="131" t="s">
        <v>82</v>
      </c>
      <c r="E176" s="131" t="s">
        <v>89</v>
      </c>
      <c r="F176" s="132" t="s">
        <v>152</v>
      </c>
      <c r="G176" s="271" t="s">
        <v>108</v>
      </c>
      <c r="H176" s="257">
        <f>'прил12(ведом 19)'!M572</f>
        <v>520.20000000000005</v>
      </c>
    </row>
    <row r="177" spans="1:8" ht="18.75">
      <c r="A177" s="243"/>
      <c r="B177" s="256" t="s">
        <v>109</v>
      </c>
      <c r="C177" s="130" t="s">
        <v>118</v>
      </c>
      <c r="D177" s="131" t="s">
        <v>82</v>
      </c>
      <c r="E177" s="131" t="s">
        <v>89</v>
      </c>
      <c r="F177" s="132" t="s">
        <v>152</v>
      </c>
      <c r="G177" s="133" t="s">
        <v>110</v>
      </c>
      <c r="H177" s="257">
        <f>'прил12(ведом 19)'!M573</f>
        <v>1.8</v>
      </c>
    </row>
    <row r="178" spans="1:8" ht="18.75">
      <c r="A178" s="243"/>
      <c r="B178" s="260"/>
      <c r="C178" s="272"/>
      <c r="D178" s="272"/>
      <c r="E178" s="273"/>
      <c r="F178" s="274"/>
      <c r="G178" s="242"/>
      <c r="H178" s="257"/>
    </row>
    <row r="179" spans="1:8" s="255" customFormat="1" ht="56.25">
      <c r="A179" s="261">
        <v>3</v>
      </c>
      <c r="B179" s="275" t="s">
        <v>290</v>
      </c>
      <c r="C179" s="262" t="s">
        <v>104</v>
      </c>
      <c r="D179" s="262" t="s">
        <v>94</v>
      </c>
      <c r="E179" s="262" t="s">
        <v>95</v>
      </c>
      <c r="F179" s="263" t="s">
        <v>96</v>
      </c>
      <c r="G179" s="253"/>
      <c r="H179" s="254">
        <f>H180+H188+H211</f>
        <v>64421.373299999992</v>
      </c>
    </row>
    <row r="180" spans="1:8" ht="37.5">
      <c r="A180" s="243"/>
      <c r="B180" s="264" t="s">
        <v>291</v>
      </c>
      <c r="C180" s="130" t="s">
        <v>104</v>
      </c>
      <c r="D180" s="131" t="s">
        <v>97</v>
      </c>
      <c r="E180" s="131" t="s">
        <v>95</v>
      </c>
      <c r="F180" s="132" t="s">
        <v>96</v>
      </c>
      <c r="G180" s="242"/>
      <c r="H180" s="257">
        <f>H181+H184</f>
        <v>903.59999999999991</v>
      </c>
    </row>
    <row r="181" spans="1:8" ht="18.75">
      <c r="A181" s="243"/>
      <c r="B181" s="256" t="s">
        <v>356</v>
      </c>
      <c r="C181" s="130" t="s">
        <v>104</v>
      </c>
      <c r="D181" s="131" t="s">
        <v>97</v>
      </c>
      <c r="E181" s="131" t="s">
        <v>89</v>
      </c>
      <c r="F181" s="132" t="s">
        <v>96</v>
      </c>
      <c r="G181" s="242"/>
      <c r="H181" s="257">
        <f>H182</f>
        <v>165</v>
      </c>
    </row>
    <row r="182" spans="1:8" ht="37.5">
      <c r="A182" s="243"/>
      <c r="B182" s="256" t="s">
        <v>357</v>
      </c>
      <c r="C182" s="130" t="s">
        <v>104</v>
      </c>
      <c r="D182" s="131" t="s">
        <v>97</v>
      </c>
      <c r="E182" s="131" t="s">
        <v>89</v>
      </c>
      <c r="F182" s="132" t="s">
        <v>358</v>
      </c>
      <c r="G182" s="133"/>
      <c r="H182" s="257">
        <f>H183</f>
        <v>165</v>
      </c>
    </row>
    <row r="183" spans="1:8" ht="37.5">
      <c r="A183" s="243"/>
      <c r="B183" s="256" t="s">
        <v>182</v>
      </c>
      <c r="C183" s="130" t="s">
        <v>104</v>
      </c>
      <c r="D183" s="131" t="s">
        <v>97</v>
      </c>
      <c r="E183" s="131" t="s">
        <v>89</v>
      </c>
      <c r="F183" s="132" t="s">
        <v>358</v>
      </c>
      <c r="G183" s="133" t="s">
        <v>183</v>
      </c>
      <c r="H183" s="257">
        <f>'прил12(ведом 19)'!M582</f>
        <v>165</v>
      </c>
    </row>
    <row r="184" spans="1:8" ht="56.25">
      <c r="A184" s="243"/>
      <c r="B184" s="256" t="s">
        <v>371</v>
      </c>
      <c r="C184" s="130" t="s">
        <v>104</v>
      </c>
      <c r="D184" s="131" t="s">
        <v>97</v>
      </c>
      <c r="E184" s="131" t="s">
        <v>91</v>
      </c>
      <c r="F184" s="132" t="s">
        <v>96</v>
      </c>
      <c r="G184" s="133"/>
      <c r="H184" s="257">
        <f>H185</f>
        <v>738.59999999999991</v>
      </c>
    </row>
    <row r="185" spans="1:8" ht="56.25">
      <c r="A185" s="243"/>
      <c r="B185" s="256" t="s">
        <v>292</v>
      </c>
      <c r="C185" s="130" t="s">
        <v>104</v>
      </c>
      <c r="D185" s="131" t="s">
        <v>97</v>
      </c>
      <c r="E185" s="131" t="s">
        <v>91</v>
      </c>
      <c r="F185" s="132" t="s">
        <v>372</v>
      </c>
      <c r="G185" s="133"/>
      <c r="H185" s="257">
        <f>SUM(H186:H187)</f>
        <v>738.59999999999991</v>
      </c>
    </row>
    <row r="186" spans="1:8" ht="93.75">
      <c r="A186" s="243"/>
      <c r="B186" s="219" t="s">
        <v>101</v>
      </c>
      <c r="C186" s="130" t="s">
        <v>104</v>
      </c>
      <c r="D186" s="131" t="s">
        <v>97</v>
      </c>
      <c r="E186" s="131" t="s">
        <v>91</v>
      </c>
      <c r="F186" s="132" t="s">
        <v>372</v>
      </c>
      <c r="G186" s="133" t="s">
        <v>102</v>
      </c>
      <c r="H186" s="257">
        <f>'прил12(ведом 19)'!M606</f>
        <v>691.3</v>
      </c>
    </row>
    <row r="187" spans="1:8" ht="37.5">
      <c r="A187" s="243"/>
      <c r="B187" s="256" t="s">
        <v>107</v>
      </c>
      <c r="C187" s="130" t="s">
        <v>104</v>
      </c>
      <c r="D187" s="131" t="s">
        <v>97</v>
      </c>
      <c r="E187" s="131" t="s">
        <v>91</v>
      </c>
      <c r="F187" s="132" t="s">
        <v>372</v>
      </c>
      <c r="G187" s="133" t="s">
        <v>108</v>
      </c>
      <c r="H187" s="257">
        <f>'прил12(ведом 19)'!M607</f>
        <v>47.3</v>
      </c>
    </row>
    <row r="188" spans="1:8" ht="37.5">
      <c r="A188" s="243"/>
      <c r="B188" s="256" t="s">
        <v>293</v>
      </c>
      <c r="C188" s="130" t="s">
        <v>104</v>
      </c>
      <c r="D188" s="131" t="s">
        <v>149</v>
      </c>
      <c r="E188" s="131" t="s">
        <v>95</v>
      </c>
      <c r="F188" s="132" t="s">
        <v>96</v>
      </c>
      <c r="G188" s="242"/>
      <c r="H188" s="257">
        <f>H189+H194</f>
        <v>29587.773299999997</v>
      </c>
    </row>
    <row r="189" spans="1:8" ht="37.5">
      <c r="A189" s="243"/>
      <c r="B189" s="256" t="s">
        <v>361</v>
      </c>
      <c r="C189" s="130" t="s">
        <v>104</v>
      </c>
      <c r="D189" s="131" t="s">
        <v>149</v>
      </c>
      <c r="E189" s="131" t="s">
        <v>89</v>
      </c>
      <c r="F189" s="132" t="s">
        <v>96</v>
      </c>
      <c r="G189" s="133"/>
      <c r="H189" s="257">
        <f>H190</f>
        <v>2350.1</v>
      </c>
    </row>
    <row r="190" spans="1:8" ht="37.5">
      <c r="A190" s="243"/>
      <c r="B190" s="256" t="s">
        <v>99</v>
      </c>
      <c r="C190" s="130" t="s">
        <v>104</v>
      </c>
      <c r="D190" s="131" t="s">
        <v>149</v>
      </c>
      <c r="E190" s="131" t="s">
        <v>89</v>
      </c>
      <c r="F190" s="132" t="s">
        <v>100</v>
      </c>
      <c r="G190" s="133"/>
      <c r="H190" s="257">
        <f>SUM(H191:H193)</f>
        <v>2350.1</v>
      </c>
    </row>
    <row r="191" spans="1:8" ht="93.75">
      <c r="A191" s="243"/>
      <c r="B191" s="256" t="s">
        <v>101</v>
      </c>
      <c r="C191" s="130" t="s">
        <v>104</v>
      </c>
      <c r="D191" s="131" t="s">
        <v>149</v>
      </c>
      <c r="E191" s="131" t="s">
        <v>89</v>
      </c>
      <c r="F191" s="132" t="s">
        <v>100</v>
      </c>
      <c r="G191" s="133" t="s">
        <v>102</v>
      </c>
      <c r="H191" s="257">
        <f>'прил12(ведом 19)'!M617</f>
        <v>2262.1</v>
      </c>
    </row>
    <row r="192" spans="1:8" ht="37.5">
      <c r="A192" s="243"/>
      <c r="B192" s="256" t="s">
        <v>107</v>
      </c>
      <c r="C192" s="130" t="s">
        <v>104</v>
      </c>
      <c r="D192" s="131" t="s">
        <v>149</v>
      </c>
      <c r="E192" s="131" t="s">
        <v>89</v>
      </c>
      <c r="F192" s="132" t="s">
        <v>100</v>
      </c>
      <c r="G192" s="133" t="s">
        <v>108</v>
      </c>
      <c r="H192" s="257">
        <f>'прил12(ведом 19)'!M618</f>
        <v>85.8</v>
      </c>
    </row>
    <row r="193" spans="1:8" ht="18.75">
      <c r="A193" s="243"/>
      <c r="B193" s="256" t="s">
        <v>109</v>
      </c>
      <c r="C193" s="130" t="s">
        <v>104</v>
      </c>
      <c r="D193" s="131" t="s">
        <v>149</v>
      </c>
      <c r="E193" s="131" t="s">
        <v>89</v>
      </c>
      <c r="F193" s="132" t="s">
        <v>100</v>
      </c>
      <c r="G193" s="133" t="s">
        <v>110</v>
      </c>
      <c r="H193" s="257">
        <f>'прил12(ведом 19)'!M619</f>
        <v>2.2000000000000002</v>
      </c>
    </row>
    <row r="194" spans="1:8" ht="18.75">
      <c r="A194" s="243"/>
      <c r="B194" s="256" t="s">
        <v>503</v>
      </c>
      <c r="C194" s="130" t="s">
        <v>104</v>
      </c>
      <c r="D194" s="131" t="s">
        <v>149</v>
      </c>
      <c r="E194" s="131" t="s">
        <v>91</v>
      </c>
      <c r="F194" s="132" t="s">
        <v>96</v>
      </c>
      <c r="G194" s="133"/>
      <c r="H194" s="257">
        <f>H195+H200+H202+H205+H207+H209</f>
        <v>27237.673299999999</v>
      </c>
    </row>
    <row r="195" spans="1:8" ht="75">
      <c r="A195" s="243"/>
      <c r="B195" s="256" t="s">
        <v>150</v>
      </c>
      <c r="C195" s="130" t="s">
        <v>104</v>
      </c>
      <c r="D195" s="131" t="s">
        <v>149</v>
      </c>
      <c r="E195" s="131" t="s">
        <v>91</v>
      </c>
      <c r="F195" s="132" t="s">
        <v>152</v>
      </c>
      <c r="G195" s="133"/>
      <c r="H195" s="257">
        <f>SUM(H196:H199)</f>
        <v>22260.973299999998</v>
      </c>
    </row>
    <row r="196" spans="1:8" ht="93.75">
      <c r="A196" s="243"/>
      <c r="B196" s="256" t="s">
        <v>101</v>
      </c>
      <c r="C196" s="130" t="s">
        <v>104</v>
      </c>
      <c r="D196" s="131" t="s">
        <v>149</v>
      </c>
      <c r="E196" s="131" t="s">
        <v>91</v>
      </c>
      <c r="F196" s="132" t="s">
        <v>152</v>
      </c>
      <c r="G196" s="133" t="s">
        <v>102</v>
      </c>
      <c r="H196" s="257">
        <f>'прил12(ведом 19)'!M586</f>
        <v>20295.827259999998</v>
      </c>
    </row>
    <row r="197" spans="1:8" ht="37.5">
      <c r="A197" s="243"/>
      <c r="B197" s="256" t="s">
        <v>107</v>
      </c>
      <c r="C197" s="130" t="s">
        <v>104</v>
      </c>
      <c r="D197" s="131" t="s">
        <v>149</v>
      </c>
      <c r="E197" s="131" t="s">
        <v>91</v>
      </c>
      <c r="F197" s="132" t="s">
        <v>152</v>
      </c>
      <c r="G197" s="133" t="s">
        <v>108</v>
      </c>
      <c r="H197" s="257">
        <f>'прил12(ведом 19)'!M587</f>
        <v>1857.3000000000002</v>
      </c>
    </row>
    <row r="198" spans="1:8" ht="37.5">
      <c r="A198" s="243"/>
      <c r="B198" s="672" t="s">
        <v>182</v>
      </c>
      <c r="C198" s="537" t="s">
        <v>104</v>
      </c>
      <c r="D198" s="538" t="s">
        <v>149</v>
      </c>
      <c r="E198" s="538" t="s">
        <v>91</v>
      </c>
      <c r="F198" s="539" t="s">
        <v>152</v>
      </c>
      <c r="G198" s="540" t="s">
        <v>183</v>
      </c>
      <c r="H198" s="257">
        <f>'прил12(ведом 19)'!M588</f>
        <v>16.746040000000001</v>
      </c>
    </row>
    <row r="199" spans="1:8" ht="18.75">
      <c r="A199" s="243"/>
      <c r="B199" s="256" t="s">
        <v>109</v>
      </c>
      <c r="C199" s="130" t="s">
        <v>104</v>
      </c>
      <c r="D199" s="131" t="s">
        <v>149</v>
      </c>
      <c r="E199" s="131" t="s">
        <v>91</v>
      </c>
      <c r="F199" s="132" t="s">
        <v>152</v>
      </c>
      <c r="G199" s="133" t="s">
        <v>110</v>
      </c>
      <c r="H199" s="257">
        <f>'прил12(ведом 19)'!M589</f>
        <v>91.100000000000222</v>
      </c>
    </row>
    <row r="200" spans="1:8" ht="37.5">
      <c r="A200" s="243"/>
      <c r="B200" s="219" t="s">
        <v>570</v>
      </c>
      <c r="C200" s="130" t="s">
        <v>104</v>
      </c>
      <c r="D200" s="131" t="s">
        <v>149</v>
      </c>
      <c r="E200" s="131" t="s">
        <v>91</v>
      </c>
      <c r="F200" s="132" t="s">
        <v>569</v>
      </c>
      <c r="G200" s="133"/>
      <c r="H200" s="257">
        <f>H201</f>
        <v>619.99999999999955</v>
      </c>
    </row>
    <row r="201" spans="1:8" ht="37.5">
      <c r="A201" s="243"/>
      <c r="B201" s="219" t="s">
        <v>107</v>
      </c>
      <c r="C201" s="130" t="s">
        <v>104</v>
      </c>
      <c r="D201" s="131" t="s">
        <v>149</v>
      </c>
      <c r="E201" s="131" t="s">
        <v>91</v>
      </c>
      <c r="F201" s="132" t="s">
        <v>569</v>
      </c>
      <c r="G201" s="133" t="s">
        <v>108</v>
      </c>
      <c r="H201" s="257">
        <f>'прил12(ведом 19)'!M591</f>
        <v>619.99999999999955</v>
      </c>
    </row>
    <row r="202" spans="1:8" ht="56.25">
      <c r="A202" s="243"/>
      <c r="B202" s="219" t="s">
        <v>292</v>
      </c>
      <c r="C202" s="130" t="s">
        <v>104</v>
      </c>
      <c r="D202" s="131" t="s">
        <v>149</v>
      </c>
      <c r="E202" s="131" t="s">
        <v>91</v>
      </c>
      <c r="F202" s="132" t="s">
        <v>372</v>
      </c>
      <c r="G202" s="133"/>
      <c r="H202" s="257">
        <f>H204+H203</f>
        <v>0</v>
      </c>
    </row>
    <row r="203" spans="1:8" ht="93.75">
      <c r="A203" s="243"/>
      <c r="B203" s="219" t="s">
        <v>101</v>
      </c>
      <c r="C203" s="130" t="s">
        <v>104</v>
      </c>
      <c r="D203" s="131" t="s">
        <v>149</v>
      </c>
      <c r="E203" s="131" t="s">
        <v>91</v>
      </c>
      <c r="F203" s="132" t="s">
        <v>372</v>
      </c>
      <c r="G203" s="133" t="s">
        <v>102</v>
      </c>
      <c r="H203" s="257">
        <f>'прил12(ведом 19)'!M593</f>
        <v>0</v>
      </c>
    </row>
    <row r="204" spans="1:8" ht="37.5">
      <c r="A204" s="243"/>
      <c r="B204" s="219" t="s">
        <v>107</v>
      </c>
      <c r="C204" s="130" t="s">
        <v>104</v>
      </c>
      <c r="D204" s="131" t="s">
        <v>149</v>
      </c>
      <c r="E204" s="131" t="s">
        <v>91</v>
      </c>
      <c r="F204" s="132" t="s">
        <v>372</v>
      </c>
      <c r="G204" s="133" t="s">
        <v>108</v>
      </c>
      <c r="H204" s="257">
        <f>'прил12(ведом 19)'!M594</f>
        <v>0</v>
      </c>
    </row>
    <row r="205" spans="1:8" s="542" customFormat="1" ht="92.25" customHeight="1">
      <c r="A205" s="535"/>
      <c r="B205" s="536" t="s">
        <v>777</v>
      </c>
      <c r="C205" s="537" t="s">
        <v>104</v>
      </c>
      <c r="D205" s="538" t="s">
        <v>149</v>
      </c>
      <c r="E205" s="538" t="s">
        <v>91</v>
      </c>
      <c r="F205" s="539" t="s">
        <v>775</v>
      </c>
      <c r="G205" s="540"/>
      <c r="H205" s="541">
        <f>H206</f>
        <v>833.80000000000007</v>
      </c>
    </row>
    <row r="206" spans="1:8" s="542" customFormat="1" ht="37.5">
      <c r="A206" s="535"/>
      <c r="B206" s="536" t="s">
        <v>107</v>
      </c>
      <c r="C206" s="537" t="s">
        <v>104</v>
      </c>
      <c r="D206" s="538" t="s">
        <v>149</v>
      </c>
      <c r="E206" s="538" t="s">
        <v>91</v>
      </c>
      <c r="F206" s="539" t="s">
        <v>775</v>
      </c>
      <c r="G206" s="540" t="s">
        <v>108</v>
      </c>
      <c r="H206" s="541">
        <f>'прил12(ведом 19)'!M596</f>
        <v>833.80000000000007</v>
      </c>
    </row>
    <row r="207" spans="1:8" s="542" customFormat="1" ht="56.25">
      <c r="A207" s="535"/>
      <c r="B207" s="530" t="s">
        <v>782</v>
      </c>
      <c r="C207" s="532" t="s">
        <v>104</v>
      </c>
      <c r="D207" s="533" t="s">
        <v>149</v>
      </c>
      <c r="E207" s="533" t="s">
        <v>91</v>
      </c>
      <c r="F207" s="534" t="s">
        <v>776</v>
      </c>
      <c r="G207" s="531"/>
      <c r="H207" s="541">
        <f>H208</f>
        <v>278.39999999999998</v>
      </c>
    </row>
    <row r="208" spans="1:8" s="542" customFormat="1" ht="93.75">
      <c r="A208" s="535"/>
      <c r="B208" s="91" t="s">
        <v>101</v>
      </c>
      <c r="C208" s="532" t="s">
        <v>104</v>
      </c>
      <c r="D208" s="533" t="s">
        <v>149</v>
      </c>
      <c r="E208" s="533" t="s">
        <v>91</v>
      </c>
      <c r="F208" s="534" t="s">
        <v>781</v>
      </c>
      <c r="G208" s="531" t="s">
        <v>102</v>
      </c>
      <c r="H208" s="541">
        <f>'прил12(ведом 19)'!M598</f>
        <v>278.39999999999998</v>
      </c>
    </row>
    <row r="209" spans="1:8" s="542" customFormat="1" ht="18.75">
      <c r="A209" s="535"/>
      <c r="B209" s="536" t="s">
        <v>778</v>
      </c>
      <c r="C209" s="537" t="s">
        <v>104</v>
      </c>
      <c r="D209" s="538" t="s">
        <v>149</v>
      </c>
      <c r="E209" s="538" t="s">
        <v>91</v>
      </c>
      <c r="F209" s="539" t="s">
        <v>776</v>
      </c>
      <c r="G209" s="540"/>
      <c r="H209" s="541">
        <f>H210</f>
        <v>3244.5</v>
      </c>
    </row>
    <row r="210" spans="1:8" s="542" customFormat="1" ht="37.5">
      <c r="A210" s="535"/>
      <c r="B210" s="536" t="s">
        <v>107</v>
      </c>
      <c r="C210" s="537" t="s">
        <v>104</v>
      </c>
      <c r="D210" s="538" t="s">
        <v>149</v>
      </c>
      <c r="E210" s="538" t="s">
        <v>91</v>
      </c>
      <c r="F210" s="539" t="s">
        <v>776</v>
      </c>
      <c r="G210" s="540" t="s">
        <v>108</v>
      </c>
      <c r="H210" s="541">
        <f>'прил12(ведом 19)'!M600</f>
        <v>3244.5</v>
      </c>
    </row>
    <row r="211" spans="1:8" ht="37.5">
      <c r="A211" s="243"/>
      <c r="B211" s="256" t="s">
        <v>455</v>
      </c>
      <c r="C211" s="223" t="s">
        <v>104</v>
      </c>
      <c r="D211" s="276" t="s">
        <v>83</v>
      </c>
      <c r="E211" s="131" t="s">
        <v>95</v>
      </c>
      <c r="F211" s="132" t="s">
        <v>96</v>
      </c>
      <c r="G211" s="277"/>
      <c r="H211" s="257">
        <f>H217+H212</f>
        <v>33930</v>
      </c>
    </row>
    <row r="212" spans="1:8" ht="56.25">
      <c r="A212" s="243"/>
      <c r="B212" s="219" t="s">
        <v>720</v>
      </c>
      <c r="C212" s="130" t="s">
        <v>104</v>
      </c>
      <c r="D212" s="131" t="s">
        <v>83</v>
      </c>
      <c r="E212" s="131" t="s">
        <v>118</v>
      </c>
      <c r="F212" s="132" t="s">
        <v>96</v>
      </c>
      <c r="G212" s="133"/>
      <c r="H212" s="257">
        <f>H213+H215</f>
        <v>32906.800000000003</v>
      </c>
    </row>
    <row r="213" spans="1:8" ht="56.25">
      <c r="A213" s="243"/>
      <c r="B213" s="219" t="s">
        <v>292</v>
      </c>
      <c r="C213" s="130" t="s">
        <v>104</v>
      </c>
      <c r="D213" s="131" t="s">
        <v>83</v>
      </c>
      <c r="E213" s="131" t="s">
        <v>118</v>
      </c>
      <c r="F213" s="132" t="s">
        <v>372</v>
      </c>
      <c r="G213" s="133"/>
      <c r="H213" s="257">
        <f>H214</f>
        <v>7815.2000000000007</v>
      </c>
    </row>
    <row r="214" spans="1:8" ht="37.5">
      <c r="A214" s="243"/>
      <c r="B214" s="91" t="s">
        <v>275</v>
      </c>
      <c r="C214" s="130" t="s">
        <v>104</v>
      </c>
      <c r="D214" s="131" t="s">
        <v>83</v>
      </c>
      <c r="E214" s="131" t="s">
        <v>118</v>
      </c>
      <c r="F214" s="132" t="s">
        <v>372</v>
      </c>
      <c r="G214" s="133" t="s">
        <v>276</v>
      </c>
      <c r="H214" s="257">
        <f>'прил12(ведом 19)'!M358</f>
        <v>7815.2000000000007</v>
      </c>
    </row>
    <row r="215" spans="1:8" ht="37.5">
      <c r="A215" s="243"/>
      <c r="B215" s="91" t="s">
        <v>735</v>
      </c>
      <c r="C215" s="130" t="s">
        <v>104</v>
      </c>
      <c r="D215" s="131" t="s">
        <v>83</v>
      </c>
      <c r="E215" s="131" t="s">
        <v>118</v>
      </c>
      <c r="F215" s="132" t="s">
        <v>729</v>
      </c>
      <c r="G215" s="133"/>
      <c r="H215" s="257">
        <f>H216</f>
        <v>25091.599999999999</v>
      </c>
    </row>
    <row r="216" spans="1:8" ht="37.5">
      <c r="A216" s="243"/>
      <c r="B216" s="91" t="s">
        <v>275</v>
      </c>
      <c r="C216" s="130" t="s">
        <v>104</v>
      </c>
      <c r="D216" s="131" t="s">
        <v>83</v>
      </c>
      <c r="E216" s="131" t="s">
        <v>118</v>
      </c>
      <c r="F216" s="132" t="s">
        <v>729</v>
      </c>
      <c r="G216" s="133" t="s">
        <v>276</v>
      </c>
      <c r="H216" s="257">
        <f>'прил12(ведом 19)'!M360</f>
        <v>25091.599999999999</v>
      </c>
    </row>
    <row r="217" spans="1:8" ht="75">
      <c r="A217" s="243"/>
      <c r="B217" s="219" t="s">
        <v>530</v>
      </c>
      <c r="C217" s="130" t="s">
        <v>104</v>
      </c>
      <c r="D217" s="131" t="s">
        <v>83</v>
      </c>
      <c r="E217" s="131" t="s">
        <v>104</v>
      </c>
      <c r="F217" s="132" t="s">
        <v>96</v>
      </c>
      <c r="G217" s="133"/>
      <c r="H217" s="257">
        <f>H218</f>
        <v>1023.2</v>
      </c>
    </row>
    <row r="218" spans="1:8" ht="37.5">
      <c r="A218" s="243"/>
      <c r="B218" s="219" t="s">
        <v>132</v>
      </c>
      <c r="C218" s="130" t="s">
        <v>104</v>
      </c>
      <c r="D218" s="131" t="s">
        <v>83</v>
      </c>
      <c r="E218" s="131" t="s">
        <v>104</v>
      </c>
      <c r="F218" s="132" t="s">
        <v>133</v>
      </c>
      <c r="G218" s="133"/>
      <c r="H218" s="257">
        <f>H219</f>
        <v>1023.2</v>
      </c>
    </row>
    <row r="219" spans="1:8" ht="56.25">
      <c r="A219" s="243"/>
      <c r="B219" s="222" t="s">
        <v>134</v>
      </c>
      <c r="C219" s="130" t="s">
        <v>104</v>
      </c>
      <c r="D219" s="131" t="s">
        <v>83</v>
      </c>
      <c r="E219" s="131" t="s">
        <v>104</v>
      </c>
      <c r="F219" s="132" t="s">
        <v>133</v>
      </c>
      <c r="G219" s="133" t="s">
        <v>135</v>
      </c>
      <c r="H219" s="257">
        <f>'прил12(ведом 19)'!M611</f>
        <v>1023.2</v>
      </c>
    </row>
    <row r="220" spans="1:8" ht="18.75">
      <c r="A220" s="243"/>
      <c r="B220" s="260"/>
      <c r="C220" s="519"/>
      <c r="D220" s="520"/>
      <c r="E220" s="520"/>
      <c r="F220" s="521"/>
      <c r="G220" s="242"/>
      <c r="H220" s="257"/>
    </row>
    <row r="221" spans="1:8" s="255" customFormat="1" ht="56.25">
      <c r="A221" s="261">
        <v>4</v>
      </c>
      <c r="B221" s="250" t="s">
        <v>294</v>
      </c>
      <c r="C221" s="251" t="s">
        <v>120</v>
      </c>
      <c r="D221" s="251" t="s">
        <v>94</v>
      </c>
      <c r="E221" s="251" t="s">
        <v>95</v>
      </c>
      <c r="F221" s="252" t="s">
        <v>96</v>
      </c>
      <c r="G221" s="253"/>
      <c r="H221" s="254">
        <f>H222+H229</f>
        <v>5680.2</v>
      </c>
    </row>
    <row r="222" spans="1:8" s="255" customFormat="1" ht="18.75">
      <c r="A222" s="243"/>
      <c r="B222" s="256" t="s">
        <v>295</v>
      </c>
      <c r="C222" s="130" t="s">
        <v>120</v>
      </c>
      <c r="D222" s="131" t="s">
        <v>97</v>
      </c>
      <c r="E222" s="131" t="s">
        <v>95</v>
      </c>
      <c r="F222" s="132" t="s">
        <v>96</v>
      </c>
      <c r="G222" s="242"/>
      <c r="H222" s="257">
        <f>H223</f>
        <v>2751.7</v>
      </c>
    </row>
    <row r="223" spans="1:8" s="255" customFormat="1" ht="75">
      <c r="A223" s="243"/>
      <c r="B223" s="256" t="s">
        <v>367</v>
      </c>
      <c r="C223" s="130" t="s">
        <v>120</v>
      </c>
      <c r="D223" s="131" t="s">
        <v>97</v>
      </c>
      <c r="E223" s="131" t="s">
        <v>89</v>
      </c>
      <c r="F223" s="132" t="s">
        <v>96</v>
      </c>
      <c r="G223" s="133"/>
      <c r="H223" s="257">
        <f>H224+H227</f>
        <v>2751.7</v>
      </c>
    </row>
    <row r="224" spans="1:8" ht="75">
      <c r="A224" s="243"/>
      <c r="B224" s="256" t="s">
        <v>150</v>
      </c>
      <c r="C224" s="130" t="s">
        <v>120</v>
      </c>
      <c r="D224" s="131" t="s">
        <v>97</v>
      </c>
      <c r="E224" s="131" t="s">
        <v>89</v>
      </c>
      <c r="F224" s="132" t="s">
        <v>152</v>
      </c>
      <c r="G224" s="133"/>
      <c r="H224" s="257">
        <f>H225+H226</f>
        <v>2141.9</v>
      </c>
    </row>
    <row r="225" spans="1:8" ht="93.75">
      <c r="A225" s="243"/>
      <c r="B225" s="256" t="s">
        <v>101</v>
      </c>
      <c r="C225" s="130" t="s">
        <v>120</v>
      </c>
      <c r="D225" s="131" t="s">
        <v>97</v>
      </c>
      <c r="E225" s="131" t="s">
        <v>89</v>
      </c>
      <c r="F225" s="132" t="s">
        <v>152</v>
      </c>
      <c r="G225" s="133" t="s">
        <v>102</v>
      </c>
      <c r="H225" s="257">
        <f>'прил12(ведом 19)'!M628</f>
        <v>2114.5</v>
      </c>
    </row>
    <row r="226" spans="1:8" ht="37.5">
      <c r="A226" s="243"/>
      <c r="B226" s="256" t="s">
        <v>107</v>
      </c>
      <c r="C226" s="130" t="s">
        <v>120</v>
      </c>
      <c r="D226" s="131" t="s">
        <v>97</v>
      </c>
      <c r="E226" s="131" t="s">
        <v>89</v>
      </c>
      <c r="F226" s="132" t="s">
        <v>152</v>
      </c>
      <c r="G226" s="133" t="s">
        <v>108</v>
      </c>
      <c r="H226" s="257">
        <f>'прил12(ведом 19)'!M629</f>
        <v>27.4</v>
      </c>
    </row>
    <row r="227" spans="1:8" ht="37.5">
      <c r="A227" s="243"/>
      <c r="B227" s="256" t="s">
        <v>368</v>
      </c>
      <c r="C227" s="130" t="s">
        <v>120</v>
      </c>
      <c r="D227" s="131" t="s">
        <v>97</v>
      </c>
      <c r="E227" s="131" t="s">
        <v>89</v>
      </c>
      <c r="F227" s="132" t="s">
        <v>369</v>
      </c>
      <c r="G227" s="133"/>
      <c r="H227" s="257">
        <f>H228</f>
        <v>609.79999999999995</v>
      </c>
    </row>
    <row r="228" spans="1:8" ht="37.5">
      <c r="A228" s="243"/>
      <c r="B228" s="256" t="s">
        <v>107</v>
      </c>
      <c r="C228" s="130" t="s">
        <v>120</v>
      </c>
      <c r="D228" s="131" t="s">
        <v>97</v>
      </c>
      <c r="E228" s="131" t="s">
        <v>89</v>
      </c>
      <c r="F228" s="132" t="s">
        <v>369</v>
      </c>
      <c r="G228" s="133" t="s">
        <v>108</v>
      </c>
      <c r="H228" s="257">
        <f>'прил12(ведом 19)'!M631</f>
        <v>609.79999999999995</v>
      </c>
    </row>
    <row r="229" spans="1:8" s="255" customFormat="1" ht="37.5">
      <c r="A229" s="243"/>
      <c r="B229" s="256" t="s">
        <v>293</v>
      </c>
      <c r="C229" s="130" t="s">
        <v>120</v>
      </c>
      <c r="D229" s="131" t="s">
        <v>149</v>
      </c>
      <c r="E229" s="131" t="s">
        <v>95</v>
      </c>
      <c r="F229" s="132" t="s">
        <v>96</v>
      </c>
      <c r="G229" s="133"/>
      <c r="H229" s="257">
        <f>H230</f>
        <v>2928.5</v>
      </c>
    </row>
    <row r="230" spans="1:8" s="255" customFormat="1" ht="37.5">
      <c r="A230" s="243"/>
      <c r="B230" s="256" t="s">
        <v>361</v>
      </c>
      <c r="C230" s="130" t="s">
        <v>120</v>
      </c>
      <c r="D230" s="131" t="s">
        <v>149</v>
      </c>
      <c r="E230" s="131" t="s">
        <v>89</v>
      </c>
      <c r="F230" s="132" t="s">
        <v>96</v>
      </c>
      <c r="G230" s="133"/>
      <c r="H230" s="257">
        <f>H231</f>
        <v>2928.5</v>
      </c>
    </row>
    <row r="231" spans="1:8" s="255" customFormat="1" ht="37.5">
      <c r="A231" s="243"/>
      <c r="B231" s="256" t="s">
        <v>99</v>
      </c>
      <c r="C231" s="130" t="s">
        <v>120</v>
      </c>
      <c r="D231" s="131" t="s">
        <v>149</v>
      </c>
      <c r="E231" s="131" t="s">
        <v>89</v>
      </c>
      <c r="F231" s="132" t="s">
        <v>100</v>
      </c>
      <c r="G231" s="133"/>
      <c r="H231" s="257">
        <f>SUM(H232:H234)</f>
        <v>2928.5</v>
      </c>
    </row>
    <row r="232" spans="1:8" s="255" customFormat="1" ht="93.75">
      <c r="A232" s="243"/>
      <c r="B232" s="256" t="s">
        <v>101</v>
      </c>
      <c r="C232" s="130" t="s">
        <v>120</v>
      </c>
      <c r="D232" s="131" t="s">
        <v>149</v>
      </c>
      <c r="E232" s="131" t="s">
        <v>89</v>
      </c>
      <c r="F232" s="132" t="s">
        <v>100</v>
      </c>
      <c r="G232" s="133" t="s">
        <v>102</v>
      </c>
      <c r="H232" s="257">
        <f>'прил12(ведом 19)'!M637</f>
        <v>2534.1</v>
      </c>
    </row>
    <row r="233" spans="1:8" ht="37.5">
      <c r="A233" s="243"/>
      <c r="B233" s="256" t="s">
        <v>107</v>
      </c>
      <c r="C233" s="130" t="s">
        <v>120</v>
      </c>
      <c r="D233" s="131" t="s">
        <v>149</v>
      </c>
      <c r="E233" s="131" t="s">
        <v>89</v>
      </c>
      <c r="F233" s="132" t="s">
        <v>100</v>
      </c>
      <c r="G233" s="133" t="s">
        <v>108</v>
      </c>
      <c r="H233" s="257">
        <f>'прил12(ведом 19)'!M638</f>
        <v>390.8</v>
      </c>
    </row>
    <row r="234" spans="1:8" ht="18.75">
      <c r="A234" s="243"/>
      <c r="B234" s="256" t="s">
        <v>109</v>
      </c>
      <c r="C234" s="130" t="s">
        <v>120</v>
      </c>
      <c r="D234" s="131" t="s">
        <v>149</v>
      </c>
      <c r="E234" s="131" t="s">
        <v>89</v>
      </c>
      <c r="F234" s="132" t="s">
        <v>100</v>
      </c>
      <c r="G234" s="133" t="s">
        <v>110</v>
      </c>
      <c r="H234" s="257">
        <f>'прил12(ведом 19)'!M639</f>
        <v>3.6</v>
      </c>
    </row>
    <row r="235" spans="1:8" ht="18.75">
      <c r="A235" s="243"/>
      <c r="B235" s="260"/>
      <c r="C235" s="520"/>
      <c r="D235" s="520"/>
      <c r="E235" s="273"/>
      <c r="F235" s="274"/>
      <c r="G235" s="242"/>
      <c r="H235" s="257"/>
    </row>
    <row r="236" spans="1:8" s="255" customFormat="1" ht="56.25">
      <c r="A236" s="261">
        <v>5</v>
      </c>
      <c r="B236" s="250" t="s">
        <v>139</v>
      </c>
      <c r="C236" s="262" t="s">
        <v>140</v>
      </c>
      <c r="D236" s="262" t="s">
        <v>94</v>
      </c>
      <c r="E236" s="262" t="s">
        <v>95</v>
      </c>
      <c r="F236" s="263" t="s">
        <v>96</v>
      </c>
      <c r="G236" s="253"/>
      <c r="H236" s="254">
        <f>H249+H237+H258+H267</f>
        <v>15577.980679999997</v>
      </c>
    </row>
    <row r="237" spans="1:8" ht="56.25">
      <c r="A237" s="243"/>
      <c r="B237" s="264" t="s">
        <v>141</v>
      </c>
      <c r="C237" s="130" t="s">
        <v>140</v>
      </c>
      <c r="D237" s="131" t="s">
        <v>97</v>
      </c>
      <c r="E237" s="131" t="s">
        <v>95</v>
      </c>
      <c r="F237" s="132" t="s">
        <v>96</v>
      </c>
      <c r="G237" s="242"/>
      <c r="H237" s="257">
        <f>H238</f>
        <v>6498.1166799999992</v>
      </c>
    </row>
    <row r="238" spans="1:8" ht="75">
      <c r="A238" s="243"/>
      <c r="B238" s="256" t="s">
        <v>142</v>
      </c>
      <c r="C238" s="130" t="s">
        <v>140</v>
      </c>
      <c r="D238" s="131" t="s">
        <v>97</v>
      </c>
      <c r="E238" s="131" t="s">
        <v>89</v>
      </c>
      <c r="F238" s="132" t="s">
        <v>96</v>
      </c>
      <c r="G238" s="133"/>
      <c r="H238" s="257">
        <f>H239+H241+H243+H245+H247</f>
        <v>6498.1166799999992</v>
      </c>
    </row>
    <row r="239" spans="1:8" ht="75">
      <c r="A239" s="243"/>
      <c r="B239" s="264" t="s">
        <v>143</v>
      </c>
      <c r="C239" s="130" t="s">
        <v>140</v>
      </c>
      <c r="D239" s="131" t="s">
        <v>97</v>
      </c>
      <c r="E239" s="131" t="s">
        <v>89</v>
      </c>
      <c r="F239" s="132" t="s">
        <v>144</v>
      </c>
      <c r="G239" s="133"/>
      <c r="H239" s="257">
        <f>H240</f>
        <v>1353.6766799999998</v>
      </c>
    </row>
    <row r="240" spans="1:8" ht="37.5">
      <c r="A240" s="243"/>
      <c r="B240" s="256" t="s">
        <v>107</v>
      </c>
      <c r="C240" s="130" t="s">
        <v>140</v>
      </c>
      <c r="D240" s="131" t="s">
        <v>97</v>
      </c>
      <c r="E240" s="131" t="s">
        <v>89</v>
      </c>
      <c r="F240" s="132" t="s">
        <v>144</v>
      </c>
      <c r="G240" s="133" t="s">
        <v>108</v>
      </c>
      <c r="H240" s="257">
        <f>'прил12(ведом 19)'!M81</f>
        <v>1353.6766799999998</v>
      </c>
    </row>
    <row r="241" spans="1:8" ht="56.25">
      <c r="A241" s="243"/>
      <c r="B241" s="256" t="s">
        <v>145</v>
      </c>
      <c r="C241" s="130" t="s">
        <v>140</v>
      </c>
      <c r="D241" s="131" t="s">
        <v>97</v>
      </c>
      <c r="E241" s="131" t="s">
        <v>89</v>
      </c>
      <c r="F241" s="132" t="s">
        <v>146</v>
      </c>
      <c r="G241" s="133"/>
      <c r="H241" s="257">
        <f>H242</f>
        <v>63.9</v>
      </c>
    </row>
    <row r="242" spans="1:8" ht="37.5">
      <c r="A242" s="243"/>
      <c r="B242" s="256" t="s">
        <v>107</v>
      </c>
      <c r="C242" s="130" t="s">
        <v>140</v>
      </c>
      <c r="D242" s="131" t="s">
        <v>97</v>
      </c>
      <c r="E242" s="131" t="s">
        <v>89</v>
      </c>
      <c r="F242" s="132" t="s">
        <v>146</v>
      </c>
      <c r="G242" s="133" t="s">
        <v>108</v>
      </c>
      <c r="H242" s="257">
        <f>'прил12(ведом 19)'!M83</f>
        <v>63.9</v>
      </c>
    </row>
    <row r="243" spans="1:8" ht="93.75">
      <c r="A243" s="243"/>
      <c r="B243" s="256" t="s">
        <v>456</v>
      </c>
      <c r="C243" s="130" t="s">
        <v>140</v>
      </c>
      <c r="D243" s="131" t="s">
        <v>97</v>
      </c>
      <c r="E243" s="131" t="s">
        <v>89</v>
      </c>
      <c r="F243" s="132" t="s">
        <v>436</v>
      </c>
      <c r="G243" s="133"/>
      <c r="H243" s="257">
        <f>H244</f>
        <v>2643.1</v>
      </c>
    </row>
    <row r="244" spans="1:8" ht="18.75">
      <c r="A244" s="243"/>
      <c r="B244" s="256" t="s">
        <v>185</v>
      </c>
      <c r="C244" s="130" t="s">
        <v>140</v>
      </c>
      <c r="D244" s="131" t="s">
        <v>97</v>
      </c>
      <c r="E244" s="131" t="s">
        <v>89</v>
      </c>
      <c r="F244" s="132" t="s">
        <v>436</v>
      </c>
      <c r="G244" s="133" t="s">
        <v>186</v>
      </c>
      <c r="H244" s="257">
        <f>'прил12(ведом 19)'!M85</f>
        <v>2643.1</v>
      </c>
    </row>
    <row r="245" spans="1:8" ht="112.5">
      <c r="A245" s="243"/>
      <c r="B245" s="256" t="s">
        <v>459</v>
      </c>
      <c r="C245" s="130" t="s">
        <v>140</v>
      </c>
      <c r="D245" s="131" t="s">
        <v>97</v>
      </c>
      <c r="E245" s="131" t="s">
        <v>89</v>
      </c>
      <c r="F245" s="132" t="s">
        <v>437</v>
      </c>
      <c r="G245" s="133"/>
      <c r="H245" s="257">
        <f>H246</f>
        <v>17.800000000000004</v>
      </c>
    </row>
    <row r="246" spans="1:8" ht="18.75">
      <c r="A246" s="243"/>
      <c r="B246" s="256" t="s">
        <v>185</v>
      </c>
      <c r="C246" s="130" t="s">
        <v>140</v>
      </c>
      <c r="D246" s="131" t="s">
        <v>97</v>
      </c>
      <c r="E246" s="131" t="s">
        <v>89</v>
      </c>
      <c r="F246" s="132" t="s">
        <v>437</v>
      </c>
      <c r="G246" s="133" t="s">
        <v>186</v>
      </c>
      <c r="H246" s="257">
        <f>'прил12(ведом 19)'!M87</f>
        <v>17.800000000000004</v>
      </c>
    </row>
    <row r="247" spans="1:8" ht="37.5">
      <c r="A247" s="243"/>
      <c r="B247" s="91" t="s">
        <v>713</v>
      </c>
      <c r="C247" s="130" t="s">
        <v>140</v>
      </c>
      <c r="D247" s="131" t="s">
        <v>97</v>
      </c>
      <c r="E247" s="131" t="s">
        <v>89</v>
      </c>
      <c r="F247" s="132" t="s">
        <v>711</v>
      </c>
      <c r="G247" s="133"/>
      <c r="H247" s="257">
        <f>H248</f>
        <v>2419.64</v>
      </c>
    </row>
    <row r="248" spans="1:8" ht="37.5">
      <c r="A248" s="243"/>
      <c r="B248" s="256" t="s">
        <v>107</v>
      </c>
      <c r="C248" s="130" t="s">
        <v>140</v>
      </c>
      <c r="D248" s="131" t="s">
        <v>97</v>
      </c>
      <c r="E248" s="131" t="s">
        <v>89</v>
      </c>
      <c r="F248" s="132" t="s">
        <v>711</v>
      </c>
      <c r="G248" s="133" t="s">
        <v>108</v>
      </c>
      <c r="H248" s="257">
        <f>'прил12(ведом 19)'!M89</f>
        <v>2419.64</v>
      </c>
    </row>
    <row r="249" spans="1:8" ht="37.5">
      <c r="A249" s="243"/>
      <c r="B249" s="278" t="s">
        <v>187</v>
      </c>
      <c r="C249" s="130" t="s">
        <v>140</v>
      </c>
      <c r="D249" s="131" t="s">
        <v>149</v>
      </c>
      <c r="E249" s="131" t="s">
        <v>95</v>
      </c>
      <c r="F249" s="132" t="s">
        <v>96</v>
      </c>
      <c r="G249" s="242"/>
      <c r="H249" s="257">
        <f>H250+H255</f>
        <v>380.31</v>
      </c>
    </row>
    <row r="250" spans="1:8" ht="37.5">
      <c r="A250" s="243"/>
      <c r="B250" s="256" t="s">
        <v>349</v>
      </c>
      <c r="C250" s="130" t="s">
        <v>140</v>
      </c>
      <c r="D250" s="131" t="s">
        <v>149</v>
      </c>
      <c r="E250" s="131" t="s">
        <v>89</v>
      </c>
      <c r="F250" s="132" t="s">
        <v>96</v>
      </c>
      <c r="G250" s="133"/>
      <c r="H250" s="257">
        <f>H251+H253</f>
        <v>166.5</v>
      </c>
    </row>
    <row r="251" spans="1:8" ht="37.5">
      <c r="A251" s="243"/>
      <c r="B251" s="256" t="s">
        <v>189</v>
      </c>
      <c r="C251" s="130" t="s">
        <v>140</v>
      </c>
      <c r="D251" s="131" t="s">
        <v>149</v>
      </c>
      <c r="E251" s="131" t="s">
        <v>89</v>
      </c>
      <c r="F251" s="132" t="s">
        <v>151</v>
      </c>
      <c r="G251" s="133"/>
      <c r="H251" s="257">
        <f>SUM(H252:H252)</f>
        <v>20.100000000000001</v>
      </c>
    </row>
    <row r="252" spans="1:8" ht="37.5">
      <c r="A252" s="243"/>
      <c r="B252" s="256" t="s">
        <v>107</v>
      </c>
      <c r="C252" s="130" t="s">
        <v>140</v>
      </c>
      <c r="D252" s="131" t="s">
        <v>149</v>
      </c>
      <c r="E252" s="131" t="s">
        <v>89</v>
      </c>
      <c r="F252" s="132" t="s">
        <v>151</v>
      </c>
      <c r="G252" s="133" t="s">
        <v>108</v>
      </c>
      <c r="H252" s="257">
        <f>'прил12(ведом 19)'!M95</f>
        <v>20.100000000000001</v>
      </c>
    </row>
    <row r="253" spans="1:8" ht="93.75">
      <c r="A253" s="243"/>
      <c r="B253" s="278" t="s">
        <v>457</v>
      </c>
      <c r="C253" s="130" t="s">
        <v>140</v>
      </c>
      <c r="D253" s="131" t="s">
        <v>149</v>
      </c>
      <c r="E253" s="131" t="s">
        <v>89</v>
      </c>
      <c r="F253" s="132" t="s">
        <v>438</v>
      </c>
      <c r="G253" s="133"/>
      <c r="H253" s="257">
        <f>H254</f>
        <v>146.4</v>
      </c>
    </row>
    <row r="254" spans="1:8" ht="18.75">
      <c r="A254" s="243"/>
      <c r="B254" s="278" t="s">
        <v>185</v>
      </c>
      <c r="C254" s="130" t="s">
        <v>140</v>
      </c>
      <c r="D254" s="131" t="s">
        <v>149</v>
      </c>
      <c r="E254" s="131" t="s">
        <v>89</v>
      </c>
      <c r="F254" s="132" t="s">
        <v>438</v>
      </c>
      <c r="G254" s="133" t="s">
        <v>186</v>
      </c>
      <c r="H254" s="257">
        <f>'прил12(ведом 19)'!M97</f>
        <v>146.4</v>
      </c>
    </row>
    <row r="255" spans="1:8" ht="56.25">
      <c r="A255" s="243"/>
      <c r="B255" s="265" t="s">
        <v>188</v>
      </c>
      <c r="C255" s="130" t="s">
        <v>140</v>
      </c>
      <c r="D255" s="131" t="s">
        <v>149</v>
      </c>
      <c r="E255" s="131" t="s">
        <v>91</v>
      </c>
      <c r="F255" s="132" t="s">
        <v>96</v>
      </c>
      <c r="G255" s="133"/>
      <c r="H255" s="257">
        <f>H256</f>
        <v>213.81</v>
      </c>
    </row>
    <row r="256" spans="1:8" ht="37.5">
      <c r="A256" s="243"/>
      <c r="B256" s="265" t="s">
        <v>189</v>
      </c>
      <c r="C256" s="130" t="s">
        <v>140</v>
      </c>
      <c r="D256" s="131" t="s">
        <v>149</v>
      </c>
      <c r="E256" s="131" t="s">
        <v>91</v>
      </c>
      <c r="F256" s="132" t="s">
        <v>151</v>
      </c>
      <c r="G256" s="133"/>
      <c r="H256" s="257">
        <f>H257</f>
        <v>213.81</v>
      </c>
    </row>
    <row r="257" spans="1:8" ht="37.5">
      <c r="A257" s="243"/>
      <c r="B257" s="256" t="s">
        <v>107</v>
      </c>
      <c r="C257" s="130" t="s">
        <v>140</v>
      </c>
      <c r="D257" s="131" t="s">
        <v>149</v>
      </c>
      <c r="E257" s="131" t="s">
        <v>91</v>
      </c>
      <c r="F257" s="132" t="s">
        <v>151</v>
      </c>
      <c r="G257" s="133" t="s">
        <v>108</v>
      </c>
      <c r="H257" s="257">
        <f>'прил12(ведом 19)'!M100</f>
        <v>213.81</v>
      </c>
    </row>
    <row r="258" spans="1:8" ht="56.25">
      <c r="A258" s="243"/>
      <c r="B258" s="279" t="s">
        <v>519</v>
      </c>
      <c r="C258" s="130" t="s">
        <v>140</v>
      </c>
      <c r="D258" s="131" t="s">
        <v>82</v>
      </c>
      <c r="E258" s="131" t="s">
        <v>95</v>
      </c>
      <c r="F258" s="132" t="s">
        <v>96</v>
      </c>
      <c r="G258" s="133"/>
      <c r="H258" s="257">
        <f>H259+H264</f>
        <v>8357.5539999999983</v>
      </c>
    </row>
    <row r="259" spans="1:8" ht="75">
      <c r="A259" s="243"/>
      <c r="B259" s="265" t="s">
        <v>429</v>
      </c>
      <c r="C259" s="130" t="s">
        <v>140</v>
      </c>
      <c r="D259" s="131" t="s">
        <v>82</v>
      </c>
      <c r="E259" s="131" t="s">
        <v>89</v>
      </c>
      <c r="F259" s="132" t="s">
        <v>96</v>
      </c>
      <c r="G259" s="133"/>
      <c r="H259" s="257">
        <f>H260</f>
        <v>8271.753999999999</v>
      </c>
    </row>
    <row r="260" spans="1:8" ht="75">
      <c r="A260" s="243"/>
      <c r="B260" s="265" t="s">
        <v>150</v>
      </c>
      <c r="C260" s="130" t="s">
        <v>140</v>
      </c>
      <c r="D260" s="131" t="s">
        <v>82</v>
      </c>
      <c r="E260" s="131" t="s">
        <v>89</v>
      </c>
      <c r="F260" s="132" t="s">
        <v>152</v>
      </c>
      <c r="G260" s="133"/>
      <c r="H260" s="257">
        <f>SUM(H261:H263)</f>
        <v>8271.753999999999</v>
      </c>
    </row>
    <row r="261" spans="1:8" s="255" customFormat="1" ht="93.75">
      <c r="A261" s="243"/>
      <c r="B261" s="256" t="s">
        <v>101</v>
      </c>
      <c r="C261" s="130" t="s">
        <v>140</v>
      </c>
      <c r="D261" s="131" t="s">
        <v>82</v>
      </c>
      <c r="E261" s="131" t="s">
        <v>89</v>
      </c>
      <c r="F261" s="132" t="s">
        <v>152</v>
      </c>
      <c r="G261" s="133" t="s">
        <v>102</v>
      </c>
      <c r="H261" s="257">
        <f>'прил12(ведом 19)'!M104</f>
        <v>6143.5</v>
      </c>
    </row>
    <row r="262" spans="1:8" ht="37.5">
      <c r="A262" s="243"/>
      <c r="B262" s="256" t="s">
        <v>107</v>
      </c>
      <c r="C262" s="130" t="s">
        <v>140</v>
      </c>
      <c r="D262" s="131" t="s">
        <v>82</v>
      </c>
      <c r="E262" s="131" t="s">
        <v>89</v>
      </c>
      <c r="F262" s="132" t="s">
        <v>152</v>
      </c>
      <c r="G262" s="133" t="s">
        <v>108</v>
      </c>
      <c r="H262" s="257">
        <f>'прил12(ведом 19)'!M105</f>
        <v>2090.8539999999998</v>
      </c>
    </row>
    <row r="263" spans="1:8" s="255" customFormat="1" ht="18.75">
      <c r="A263" s="243"/>
      <c r="B263" s="256" t="s">
        <v>109</v>
      </c>
      <c r="C263" s="130" t="s">
        <v>140</v>
      </c>
      <c r="D263" s="131" t="s">
        <v>82</v>
      </c>
      <c r="E263" s="131" t="s">
        <v>89</v>
      </c>
      <c r="F263" s="132" t="s">
        <v>152</v>
      </c>
      <c r="G263" s="133" t="s">
        <v>110</v>
      </c>
      <c r="H263" s="257">
        <f>'прил12(ведом 19)'!M106</f>
        <v>37.4</v>
      </c>
    </row>
    <row r="264" spans="1:8" s="255" customFormat="1" ht="37.5">
      <c r="A264" s="243"/>
      <c r="B264" s="256" t="s">
        <v>744</v>
      </c>
      <c r="C264" s="525" t="s">
        <v>140</v>
      </c>
      <c r="D264" s="526" t="s">
        <v>82</v>
      </c>
      <c r="E264" s="526" t="s">
        <v>91</v>
      </c>
      <c r="F264" s="527" t="s">
        <v>96</v>
      </c>
      <c r="G264" s="133"/>
      <c r="H264" s="257">
        <f>H265</f>
        <v>85.8</v>
      </c>
    </row>
    <row r="265" spans="1:8" s="255" customFormat="1" ht="56.25">
      <c r="A265" s="243"/>
      <c r="B265" s="256" t="s">
        <v>145</v>
      </c>
      <c r="C265" s="525" t="s">
        <v>140</v>
      </c>
      <c r="D265" s="526" t="s">
        <v>82</v>
      </c>
      <c r="E265" s="526" t="s">
        <v>91</v>
      </c>
      <c r="F265" s="527" t="s">
        <v>146</v>
      </c>
      <c r="G265" s="133"/>
      <c r="H265" s="257">
        <f>H266</f>
        <v>85.8</v>
      </c>
    </row>
    <row r="266" spans="1:8" s="255" customFormat="1" ht="37.5">
      <c r="A266" s="243"/>
      <c r="B266" s="256" t="s">
        <v>107</v>
      </c>
      <c r="C266" s="525" t="s">
        <v>140</v>
      </c>
      <c r="D266" s="526" t="s">
        <v>82</v>
      </c>
      <c r="E266" s="526" t="s">
        <v>91</v>
      </c>
      <c r="F266" s="527" t="s">
        <v>146</v>
      </c>
      <c r="G266" s="133" t="s">
        <v>108</v>
      </c>
      <c r="H266" s="257">
        <f>'прил12(ведом 19)'!M109</f>
        <v>85.8</v>
      </c>
    </row>
    <row r="267" spans="1:8" s="255" customFormat="1" ht="56.25">
      <c r="A267" s="243"/>
      <c r="B267" s="333" t="s">
        <v>714</v>
      </c>
      <c r="C267" s="131" t="s">
        <v>140</v>
      </c>
      <c r="D267" s="131" t="s">
        <v>83</v>
      </c>
      <c r="E267" s="131" t="s">
        <v>95</v>
      </c>
      <c r="F267" s="132" t="s">
        <v>96</v>
      </c>
      <c r="G267" s="133"/>
      <c r="H267" s="257">
        <f>H268</f>
        <v>342</v>
      </c>
    </row>
    <row r="268" spans="1:8" s="255" customFormat="1" ht="56.25">
      <c r="A268" s="243"/>
      <c r="B268" s="334" t="s">
        <v>715</v>
      </c>
      <c r="C268" s="131" t="s">
        <v>140</v>
      </c>
      <c r="D268" s="131" t="s">
        <v>83</v>
      </c>
      <c r="E268" s="131" t="s">
        <v>89</v>
      </c>
      <c r="F268" s="132" t="s">
        <v>96</v>
      </c>
      <c r="G268" s="133"/>
      <c r="H268" s="257">
        <f>H269</f>
        <v>342</v>
      </c>
    </row>
    <row r="269" spans="1:8" s="255" customFormat="1" ht="56.25">
      <c r="A269" s="243"/>
      <c r="B269" s="91" t="s">
        <v>145</v>
      </c>
      <c r="C269" s="131" t="s">
        <v>140</v>
      </c>
      <c r="D269" s="131" t="s">
        <v>83</v>
      </c>
      <c r="E269" s="131" t="s">
        <v>89</v>
      </c>
      <c r="F269" s="132" t="s">
        <v>146</v>
      </c>
      <c r="G269" s="133"/>
      <c r="H269" s="257">
        <f>H270</f>
        <v>342</v>
      </c>
    </row>
    <row r="270" spans="1:8" s="255" customFormat="1" ht="37.5">
      <c r="A270" s="243"/>
      <c r="B270" s="256" t="s">
        <v>107</v>
      </c>
      <c r="C270" s="131" t="s">
        <v>140</v>
      </c>
      <c r="D270" s="131" t="s">
        <v>83</v>
      </c>
      <c r="E270" s="131" t="s">
        <v>89</v>
      </c>
      <c r="F270" s="132" t="s">
        <v>146</v>
      </c>
      <c r="G270" s="133" t="s">
        <v>108</v>
      </c>
      <c r="H270" s="257">
        <f>'прил12(ведом 19)'!M113</f>
        <v>342</v>
      </c>
    </row>
    <row r="271" spans="1:8" ht="18.75">
      <c r="A271" s="280"/>
      <c r="B271" s="258"/>
      <c r="C271" s="224"/>
      <c r="D271" s="520"/>
      <c r="E271" s="520"/>
      <c r="F271" s="521"/>
      <c r="G271" s="242"/>
      <c r="H271" s="257"/>
    </row>
    <row r="272" spans="1:8" s="255" customFormat="1" ht="56.25">
      <c r="A272" s="261">
        <v>6</v>
      </c>
      <c r="B272" s="275" t="s">
        <v>296</v>
      </c>
      <c r="C272" s="251" t="s">
        <v>297</v>
      </c>
      <c r="D272" s="251" t="s">
        <v>94</v>
      </c>
      <c r="E272" s="251" t="s">
        <v>95</v>
      </c>
      <c r="F272" s="252" t="s">
        <v>96</v>
      </c>
      <c r="G272" s="253"/>
      <c r="H272" s="254">
        <f>H273</f>
        <v>35445.1</v>
      </c>
    </row>
    <row r="273" spans="1:8" ht="37.5">
      <c r="A273" s="243"/>
      <c r="B273" s="256" t="s">
        <v>455</v>
      </c>
      <c r="C273" s="220" t="s">
        <v>297</v>
      </c>
      <c r="D273" s="221" t="s">
        <v>97</v>
      </c>
      <c r="E273" s="131" t="s">
        <v>95</v>
      </c>
      <c r="F273" s="132" t="s">
        <v>96</v>
      </c>
      <c r="G273" s="133"/>
      <c r="H273" s="257">
        <f>H274+H279+H284+H287</f>
        <v>35445.1</v>
      </c>
    </row>
    <row r="274" spans="1:8" ht="56.25">
      <c r="A274" s="243"/>
      <c r="B274" s="256" t="s">
        <v>398</v>
      </c>
      <c r="C274" s="220" t="s">
        <v>297</v>
      </c>
      <c r="D274" s="221" t="s">
        <v>97</v>
      </c>
      <c r="E274" s="131" t="s">
        <v>89</v>
      </c>
      <c r="F274" s="132" t="s">
        <v>96</v>
      </c>
      <c r="G274" s="133"/>
      <c r="H274" s="257">
        <f>H275</f>
        <v>23472.399999999998</v>
      </c>
    </row>
    <row r="275" spans="1:8" ht="37.5">
      <c r="A275" s="243"/>
      <c r="B275" s="256" t="s">
        <v>99</v>
      </c>
      <c r="C275" s="220" t="s">
        <v>297</v>
      </c>
      <c r="D275" s="221" t="s">
        <v>97</v>
      </c>
      <c r="E275" s="131" t="s">
        <v>89</v>
      </c>
      <c r="F275" s="132" t="s">
        <v>100</v>
      </c>
      <c r="G275" s="133"/>
      <c r="H275" s="257">
        <f>SUM(H276:H278)</f>
        <v>23472.399999999998</v>
      </c>
    </row>
    <row r="276" spans="1:8" ht="93.75">
      <c r="A276" s="243"/>
      <c r="B276" s="256" t="s">
        <v>101</v>
      </c>
      <c r="C276" s="220" t="s">
        <v>297</v>
      </c>
      <c r="D276" s="221" t="s">
        <v>97</v>
      </c>
      <c r="E276" s="131" t="s">
        <v>89</v>
      </c>
      <c r="F276" s="132" t="s">
        <v>100</v>
      </c>
      <c r="G276" s="133" t="s">
        <v>102</v>
      </c>
      <c r="H276" s="257">
        <f>'прил12(ведом 19)'!M213</f>
        <v>22495.7</v>
      </c>
    </row>
    <row r="277" spans="1:8" ht="37.5">
      <c r="A277" s="243"/>
      <c r="B277" s="256" t="s">
        <v>107</v>
      </c>
      <c r="C277" s="220" t="s">
        <v>297</v>
      </c>
      <c r="D277" s="221" t="s">
        <v>97</v>
      </c>
      <c r="E277" s="131" t="s">
        <v>89</v>
      </c>
      <c r="F277" s="132" t="s">
        <v>100</v>
      </c>
      <c r="G277" s="133" t="s">
        <v>108</v>
      </c>
      <c r="H277" s="257">
        <f>'прил12(ведом 19)'!M214</f>
        <v>971.6</v>
      </c>
    </row>
    <row r="278" spans="1:8" ht="18.75">
      <c r="A278" s="243"/>
      <c r="B278" s="256" t="s">
        <v>109</v>
      </c>
      <c r="C278" s="220" t="s">
        <v>297</v>
      </c>
      <c r="D278" s="221" t="s">
        <v>97</v>
      </c>
      <c r="E278" s="131" t="s">
        <v>89</v>
      </c>
      <c r="F278" s="132" t="s">
        <v>100</v>
      </c>
      <c r="G278" s="133" t="s">
        <v>110</v>
      </c>
      <c r="H278" s="257">
        <f>'прил12(ведом 19)'!M215</f>
        <v>5.0999999999999996</v>
      </c>
    </row>
    <row r="279" spans="1:8" ht="37.5">
      <c r="A279" s="243"/>
      <c r="B279" s="256" t="s">
        <v>399</v>
      </c>
      <c r="C279" s="220" t="s">
        <v>297</v>
      </c>
      <c r="D279" s="221" t="s">
        <v>97</v>
      </c>
      <c r="E279" s="131" t="s">
        <v>91</v>
      </c>
      <c r="F279" s="132" t="s">
        <v>96</v>
      </c>
      <c r="G279" s="133"/>
      <c r="H279" s="257">
        <f>H280+H282</f>
        <v>9800</v>
      </c>
    </row>
    <row r="280" spans="1:8" ht="37.5">
      <c r="A280" s="243"/>
      <c r="B280" s="219" t="s">
        <v>335</v>
      </c>
      <c r="C280" s="220" t="s">
        <v>297</v>
      </c>
      <c r="D280" s="221" t="s">
        <v>97</v>
      </c>
      <c r="E280" s="131" t="s">
        <v>91</v>
      </c>
      <c r="F280" s="132" t="s">
        <v>693</v>
      </c>
      <c r="G280" s="133"/>
      <c r="H280" s="257">
        <f>H281</f>
        <v>5000</v>
      </c>
    </row>
    <row r="281" spans="1:8" ht="18.75">
      <c r="A281" s="243"/>
      <c r="B281" s="219" t="s">
        <v>185</v>
      </c>
      <c r="C281" s="220" t="s">
        <v>297</v>
      </c>
      <c r="D281" s="221" t="s">
        <v>97</v>
      </c>
      <c r="E281" s="131" t="s">
        <v>91</v>
      </c>
      <c r="F281" s="132" t="s">
        <v>693</v>
      </c>
      <c r="G281" s="133" t="s">
        <v>186</v>
      </c>
      <c r="H281" s="257">
        <f>'прил12(ведом 19)'!M231</f>
        <v>5000</v>
      </c>
    </row>
    <row r="282" spans="1:8" ht="37.5">
      <c r="A282" s="243"/>
      <c r="B282" s="219" t="s">
        <v>741</v>
      </c>
      <c r="C282" s="220" t="s">
        <v>297</v>
      </c>
      <c r="D282" s="221" t="s">
        <v>97</v>
      </c>
      <c r="E282" s="131" t="s">
        <v>91</v>
      </c>
      <c r="F282" s="132" t="s">
        <v>740</v>
      </c>
      <c r="G282" s="133"/>
      <c r="H282" s="257">
        <f>H283</f>
        <v>4800</v>
      </c>
    </row>
    <row r="283" spans="1:8" ht="18.75">
      <c r="A283" s="243"/>
      <c r="B283" s="219" t="s">
        <v>185</v>
      </c>
      <c r="C283" s="220" t="s">
        <v>297</v>
      </c>
      <c r="D283" s="221" t="s">
        <v>97</v>
      </c>
      <c r="E283" s="131" t="s">
        <v>91</v>
      </c>
      <c r="F283" s="132" t="s">
        <v>740</v>
      </c>
      <c r="G283" s="133" t="s">
        <v>186</v>
      </c>
      <c r="H283" s="257">
        <f>'прил12(ведом 19)'!M236</f>
        <v>4800</v>
      </c>
    </row>
    <row r="284" spans="1:8" ht="37.5">
      <c r="A284" s="243"/>
      <c r="B284" s="256" t="s">
        <v>483</v>
      </c>
      <c r="C284" s="220" t="s">
        <v>297</v>
      </c>
      <c r="D284" s="221" t="s">
        <v>97</v>
      </c>
      <c r="E284" s="131" t="s">
        <v>118</v>
      </c>
      <c r="F284" s="132" t="s">
        <v>96</v>
      </c>
      <c r="G284" s="133"/>
      <c r="H284" s="257">
        <f>H285</f>
        <v>1979.4</v>
      </c>
    </row>
    <row r="285" spans="1:8" ht="56.25">
      <c r="A285" s="243"/>
      <c r="B285" s="256" t="s">
        <v>484</v>
      </c>
      <c r="C285" s="220" t="s">
        <v>297</v>
      </c>
      <c r="D285" s="221" t="s">
        <v>97</v>
      </c>
      <c r="E285" s="131" t="s">
        <v>118</v>
      </c>
      <c r="F285" s="132" t="s">
        <v>167</v>
      </c>
      <c r="G285" s="133"/>
      <c r="H285" s="257">
        <f>H286</f>
        <v>1979.4</v>
      </c>
    </row>
    <row r="286" spans="1:8" ht="37.5">
      <c r="A286" s="243"/>
      <c r="B286" s="256" t="s">
        <v>107</v>
      </c>
      <c r="C286" s="220" t="s">
        <v>297</v>
      </c>
      <c r="D286" s="221" t="s">
        <v>97</v>
      </c>
      <c r="E286" s="131" t="s">
        <v>118</v>
      </c>
      <c r="F286" s="132" t="s">
        <v>167</v>
      </c>
      <c r="G286" s="133" t="s">
        <v>108</v>
      </c>
      <c r="H286" s="257">
        <f>'прил12(ведом 19)'!M224</f>
        <v>1979.4</v>
      </c>
    </row>
    <row r="287" spans="1:8" ht="56.25">
      <c r="A287" s="243"/>
      <c r="B287" s="219" t="s">
        <v>430</v>
      </c>
      <c r="C287" s="220" t="s">
        <v>297</v>
      </c>
      <c r="D287" s="221" t="s">
        <v>97</v>
      </c>
      <c r="E287" s="131" t="s">
        <v>104</v>
      </c>
      <c r="F287" s="132" t="s">
        <v>96</v>
      </c>
      <c r="G287" s="133"/>
      <c r="H287" s="257">
        <f>H288</f>
        <v>193.3</v>
      </c>
    </row>
    <row r="288" spans="1:8" ht="37.5">
      <c r="A288" s="243"/>
      <c r="B288" s="219" t="s">
        <v>532</v>
      </c>
      <c r="C288" s="220" t="s">
        <v>297</v>
      </c>
      <c r="D288" s="221" t="s">
        <v>97</v>
      </c>
      <c r="E288" s="131" t="s">
        <v>104</v>
      </c>
      <c r="F288" s="132" t="s">
        <v>531</v>
      </c>
      <c r="G288" s="133"/>
      <c r="H288" s="257">
        <f>H289</f>
        <v>193.3</v>
      </c>
    </row>
    <row r="289" spans="1:8" ht="37.5">
      <c r="A289" s="243"/>
      <c r="B289" s="219" t="s">
        <v>107</v>
      </c>
      <c r="C289" s="220" t="s">
        <v>297</v>
      </c>
      <c r="D289" s="221" t="s">
        <v>97</v>
      </c>
      <c r="E289" s="131" t="s">
        <v>104</v>
      </c>
      <c r="F289" s="132" t="s">
        <v>531</v>
      </c>
      <c r="G289" s="133" t="s">
        <v>108</v>
      </c>
      <c r="H289" s="257">
        <f>'прил12(ведом 19)'!M218</f>
        <v>193.3</v>
      </c>
    </row>
    <row r="290" spans="1:8" ht="18.75">
      <c r="A290" s="243"/>
      <c r="B290" s="256"/>
      <c r="C290" s="221"/>
      <c r="D290" s="221"/>
      <c r="E290" s="221"/>
      <c r="F290" s="281"/>
      <c r="G290" s="133"/>
      <c r="H290" s="257"/>
    </row>
    <row r="291" spans="1:8" s="255" customFormat="1" ht="56.25">
      <c r="A291" s="249">
        <v>7</v>
      </c>
      <c r="B291" s="282" t="s">
        <v>298</v>
      </c>
      <c r="C291" s="283" t="s">
        <v>299</v>
      </c>
      <c r="D291" s="262" t="s">
        <v>94</v>
      </c>
      <c r="E291" s="262" t="s">
        <v>95</v>
      </c>
      <c r="F291" s="263" t="s">
        <v>96</v>
      </c>
      <c r="G291" s="284"/>
      <c r="H291" s="254">
        <f>H292+H304+H325</f>
        <v>45409.505000000005</v>
      </c>
    </row>
    <row r="292" spans="1:8" ht="37.5">
      <c r="A292" s="280"/>
      <c r="B292" s="285" t="s">
        <v>300</v>
      </c>
      <c r="C292" s="286" t="s">
        <v>299</v>
      </c>
      <c r="D292" s="287" t="s">
        <v>97</v>
      </c>
      <c r="E292" s="287" t="s">
        <v>95</v>
      </c>
      <c r="F292" s="288" t="s">
        <v>96</v>
      </c>
      <c r="G292" s="522"/>
      <c r="H292" s="257">
        <f>H293+H298</f>
        <v>15833.928</v>
      </c>
    </row>
    <row r="293" spans="1:8" ht="93.75">
      <c r="A293" s="280"/>
      <c r="B293" s="285" t="s">
        <v>390</v>
      </c>
      <c r="C293" s="223" t="s">
        <v>299</v>
      </c>
      <c r="D293" s="224" t="s">
        <v>97</v>
      </c>
      <c r="E293" s="224" t="s">
        <v>89</v>
      </c>
      <c r="F293" s="225" t="s">
        <v>96</v>
      </c>
      <c r="G293" s="226"/>
      <c r="H293" s="257">
        <f>H294+H296</f>
        <v>2757.6210000000001</v>
      </c>
    </row>
    <row r="294" spans="1:8" ht="56.25">
      <c r="A294" s="280"/>
      <c r="B294" s="285" t="s">
        <v>301</v>
      </c>
      <c r="C294" s="223" t="s">
        <v>299</v>
      </c>
      <c r="D294" s="224" t="s">
        <v>97</v>
      </c>
      <c r="E294" s="224" t="s">
        <v>89</v>
      </c>
      <c r="F294" s="225" t="s">
        <v>391</v>
      </c>
      <c r="G294" s="226"/>
      <c r="H294" s="257">
        <f>H295</f>
        <v>288.65699999999998</v>
      </c>
    </row>
    <row r="295" spans="1:8" ht="37.5">
      <c r="A295" s="280"/>
      <c r="B295" s="256" t="s">
        <v>107</v>
      </c>
      <c r="C295" s="223" t="s">
        <v>299</v>
      </c>
      <c r="D295" s="224" t="s">
        <v>97</v>
      </c>
      <c r="E295" s="224" t="s">
        <v>89</v>
      </c>
      <c r="F295" s="225" t="s">
        <v>391</v>
      </c>
      <c r="G295" s="226" t="s">
        <v>108</v>
      </c>
      <c r="H295" s="257">
        <f>'прил12(ведом 19)'!M263</f>
        <v>288.65699999999998</v>
      </c>
    </row>
    <row r="296" spans="1:8" ht="37.5">
      <c r="A296" s="280"/>
      <c r="B296" s="222" t="s">
        <v>527</v>
      </c>
      <c r="C296" s="268" t="s">
        <v>299</v>
      </c>
      <c r="D296" s="224" t="s">
        <v>97</v>
      </c>
      <c r="E296" s="224" t="s">
        <v>89</v>
      </c>
      <c r="F296" s="225" t="s">
        <v>526</v>
      </c>
      <c r="G296" s="226"/>
      <c r="H296" s="257">
        <f>H297</f>
        <v>2468.9639999999999</v>
      </c>
    </row>
    <row r="297" spans="1:8" ht="37.5">
      <c r="A297" s="280"/>
      <c r="B297" s="219" t="s">
        <v>107</v>
      </c>
      <c r="C297" s="268" t="s">
        <v>299</v>
      </c>
      <c r="D297" s="224" t="s">
        <v>97</v>
      </c>
      <c r="E297" s="224" t="s">
        <v>89</v>
      </c>
      <c r="F297" s="225" t="s">
        <v>526</v>
      </c>
      <c r="G297" s="226" t="s">
        <v>108</v>
      </c>
      <c r="H297" s="257">
        <f>'прил12(ведом 19)'!M308</f>
        <v>2468.9639999999999</v>
      </c>
    </row>
    <row r="298" spans="1:8" ht="37.5">
      <c r="A298" s="280"/>
      <c r="B298" s="256" t="s">
        <v>454</v>
      </c>
      <c r="C298" s="223" t="s">
        <v>299</v>
      </c>
      <c r="D298" s="224" t="s">
        <v>97</v>
      </c>
      <c r="E298" s="224" t="s">
        <v>91</v>
      </c>
      <c r="F298" s="225" t="s">
        <v>96</v>
      </c>
      <c r="G298" s="226"/>
      <c r="H298" s="257">
        <f>H299+H302</f>
        <v>13076.306999999999</v>
      </c>
    </row>
    <row r="299" spans="1:8" ht="37.5">
      <c r="A299" s="280"/>
      <c r="B299" s="256" t="s">
        <v>453</v>
      </c>
      <c r="C299" s="223" t="s">
        <v>299</v>
      </c>
      <c r="D299" s="224" t="s">
        <v>97</v>
      </c>
      <c r="E299" s="224" t="s">
        <v>91</v>
      </c>
      <c r="F299" s="225" t="s">
        <v>452</v>
      </c>
      <c r="G299" s="226"/>
      <c r="H299" s="257">
        <f>SUM(H300:H301)</f>
        <v>12872.206999999999</v>
      </c>
    </row>
    <row r="300" spans="1:8" ht="37.5">
      <c r="A300" s="280"/>
      <c r="B300" s="256" t="s">
        <v>107</v>
      </c>
      <c r="C300" s="223" t="s">
        <v>299</v>
      </c>
      <c r="D300" s="224" t="s">
        <v>97</v>
      </c>
      <c r="E300" s="224" t="s">
        <v>91</v>
      </c>
      <c r="F300" s="225" t="s">
        <v>452</v>
      </c>
      <c r="G300" s="226" t="s">
        <v>108</v>
      </c>
      <c r="H300" s="257">
        <f>'прил12(ведом 19)'!M266+'прил12(ведом 19)'!M314</f>
        <v>4127.4689999999991</v>
      </c>
    </row>
    <row r="301" spans="1:8" ht="37.5">
      <c r="A301" s="280"/>
      <c r="B301" s="91" t="s">
        <v>275</v>
      </c>
      <c r="C301" s="223" t="s">
        <v>299</v>
      </c>
      <c r="D301" s="224" t="s">
        <v>97</v>
      </c>
      <c r="E301" s="224" t="s">
        <v>91</v>
      </c>
      <c r="F301" s="225" t="s">
        <v>452</v>
      </c>
      <c r="G301" s="226" t="s">
        <v>276</v>
      </c>
      <c r="H301" s="257">
        <f>'прил12(ведом 19)'!M267</f>
        <v>8744.7379999999994</v>
      </c>
    </row>
    <row r="302" spans="1:8" ht="18.75">
      <c r="A302" s="280"/>
      <c r="B302" s="91" t="s">
        <v>126</v>
      </c>
      <c r="C302" s="116" t="s">
        <v>299</v>
      </c>
      <c r="D302" s="109" t="s">
        <v>97</v>
      </c>
      <c r="E302" s="109" t="s">
        <v>91</v>
      </c>
      <c r="F302" s="110" t="s">
        <v>127</v>
      </c>
      <c r="G302" s="226"/>
      <c r="H302" s="257">
        <f>H303</f>
        <v>204.1</v>
      </c>
    </row>
    <row r="303" spans="1:8" ht="37.5">
      <c r="A303" s="280"/>
      <c r="B303" s="91" t="s">
        <v>107</v>
      </c>
      <c r="C303" s="116" t="s">
        <v>299</v>
      </c>
      <c r="D303" s="109" t="s">
        <v>97</v>
      </c>
      <c r="E303" s="109" t="s">
        <v>91</v>
      </c>
      <c r="F303" s="110" t="s">
        <v>127</v>
      </c>
      <c r="G303" s="226" t="s">
        <v>108</v>
      </c>
      <c r="H303" s="257">
        <f>'прил12(ведом 19)'!M269</f>
        <v>204.1</v>
      </c>
    </row>
    <row r="304" spans="1:8" ht="37.5">
      <c r="A304" s="280"/>
      <c r="B304" s="285" t="s">
        <v>302</v>
      </c>
      <c r="C304" s="268" t="s">
        <v>299</v>
      </c>
      <c r="D304" s="224" t="s">
        <v>149</v>
      </c>
      <c r="E304" s="224" t="s">
        <v>95</v>
      </c>
      <c r="F304" s="225" t="s">
        <v>96</v>
      </c>
      <c r="G304" s="226"/>
      <c r="H304" s="257">
        <f>H305+H316+H319</f>
        <v>17516.072</v>
      </c>
    </row>
    <row r="305" spans="1:8" ht="75">
      <c r="A305" s="280"/>
      <c r="B305" s="285" t="s">
        <v>396</v>
      </c>
      <c r="C305" s="268" t="s">
        <v>299</v>
      </c>
      <c r="D305" s="224" t="s">
        <v>149</v>
      </c>
      <c r="E305" s="224" t="s">
        <v>89</v>
      </c>
      <c r="F305" s="225" t="s">
        <v>96</v>
      </c>
      <c r="G305" s="226"/>
      <c r="H305" s="257">
        <f>H306+H310+H314</f>
        <v>17073.3</v>
      </c>
    </row>
    <row r="306" spans="1:8" ht="37.5">
      <c r="A306" s="280"/>
      <c r="B306" s="285" t="s">
        <v>99</v>
      </c>
      <c r="C306" s="289" t="s">
        <v>299</v>
      </c>
      <c r="D306" s="287" t="s">
        <v>149</v>
      </c>
      <c r="E306" s="287" t="s">
        <v>89</v>
      </c>
      <c r="F306" s="288" t="s">
        <v>100</v>
      </c>
      <c r="G306" s="226"/>
      <c r="H306" s="257">
        <f>SUM(H307:H309)</f>
        <v>12494.6</v>
      </c>
    </row>
    <row r="307" spans="1:8" ht="93.75">
      <c r="A307" s="280"/>
      <c r="B307" s="285" t="s">
        <v>101</v>
      </c>
      <c r="C307" s="268" t="s">
        <v>299</v>
      </c>
      <c r="D307" s="224" t="s">
        <v>149</v>
      </c>
      <c r="E307" s="224" t="s">
        <v>89</v>
      </c>
      <c r="F307" s="225" t="s">
        <v>100</v>
      </c>
      <c r="G307" s="226" t="s">
        <v>102</v>
      </c>
      <c r="H307" s="257">
        <f>'прил12(ведом 19)'!M273</f>
        <v>11789.1</v>
      </c>
    </row>
    <row r="308" spans="1:8" ht="37.5">
      <c r="A308" s="280"/>
      <c r="B308" s="256" t="s">
        <v>107</v>
      </c>
      <c r="C308" s="268" t="s">
        <v>299</v>
      </c>
      <c r="D308" s="224" t="s">
        <v>149</v>
      </c>
      <c r="E308" s="224" t="s">
        <v>89</v>
      </c>
      <c r="F308" s="225" t="s">
        <v>100</v>
      </c>
      <c r="G308" s="226" t="s">
        <v>108</v>
      </c>
      <c r="H308" s="257">
        <f>'прил12(ведом 19)'!M274</f>
        <v>704.3</v>
      </c>
    </row>
    <row r="309" spans="1:8" ht="18.75">
      <c r="A309" s="280"/>
      <c r="B309" s="285" t="s">
        <v>109</v>
      </c>
      <c r="C309" s="268" t="s">
        <v>299</v>
      </c>
      <c r="D309" s="224" t="s">
        <v>149</v>
      </c>
      <c r="E309" s="224" t="s">
        <v>89</v>
      </c>
      <c r="F309" s="225" t="s">
        <v>100</v>
      </c>
      <c r="G309" s="226" t="s">
        <v>110</v>
      </c>
      <c r="H309" s="257">
        <f>'прил12(ведом 19)'!M275</f>
        <v>1.2</v>
      </c>
    </row>
    <row r="310" spans="1:8" ht="75">
      <c r="A310" s="280"/>
      <c r="B310" s="285" t="s">
        <v>150</v>
      </c>
      <c r="C310" s="268" t="s">
        <v>299</v>
      </c>
      <c r="D310" s="224" t="s">
        <v>149</v>
      </c>
      <c r="E310" s="224" t="s">
        <v>89</v>
      </c>
      <c r="F310" s="225" t="s">
        <v>152</v>
      </c>
      <c r="G310" s="226"/>
      <c r="H310" s="257">
        <f>SUM(H311:H313)</f>
        <v>4544.8999999999996</v>
      </c>
    </row>
    <row r="311" spans="1:8" ht="93.75">
      <c r="A311" s="280"/>
      <c r="B311" s="285" t="s">
        <v>101</v>
      </c>
      <c r="C311" s="268" t="s">
        <v>299</v>
      </c>
      <c r="D311" s="224" t="s">
        <v>149</v>
      </c>
      <c r="E311" s="224" t="s">
        <v>89</v>
      </c>
      <c r="F311" s="225" t="s">
        <v>152</v>
      </c>
      <c r="G311" s="226" t="s">
        <v>102</v>
      </c>
      <c r="H311" s="257">
        <f>'прил12(ведом 19)'!M277</f>
        <v>4270.8</v>
      </c>
    </row>
    <row r="312" spans="1:8" ht="37.5">
      <c r="A312" s="280"/>
      <c r="B312" s="256" t="s">
        <v>107</v>
      </c>
      <c r="C312" s="289" t="s">
        <v>299</v>
      </c>
      <c r="D312" s="287" t="s">
        <v>149</v>
      </c>
      <c r="E312" s="287" t="s">
        <v>89</v>
      </c>
      <c r="F312" s="288" t="s">
        <v>152</v>
      </c>
      <c r="G312" s="226" t="s">
        <v>108</v>
      </c>
      <c r="H312" s="257">
        <f>'прил12(ведом 19)'!M278</f>
        <v>246.7</v>
      </c>
    </row>
    <row r="313" spans="1:8" ht="18.75">
      <c r="A313" s="280"/>
      <c r="B313" s="285" t="s">
        <v>109</v>
      </c>
      <c r="C313" s="268" t="s">
        <v>299</v>
      </c>
      <c r="D313" s="224" t="s">
        <v>149</v>
      </c>
      <c r="E313" s="224" t="s">
        <v>89</v>
      </c>
      <c r="F313" s="225" t="s">
        <v>152</v>
      </c>
      <c r="G313" s="226" t="s">
        <v>110</v>
      </c>
      <c r="H313" s="257">
        <f>'прил12(ведом 19)'!M279</f>
        <v>27.4</v>
      </c>
    </row>
    <row r="314" spans="1:8" ht="56.25">
      <c r="A314" s="280"/>
      <c r="B314" s="219" t="s">
        <v>486</v>
      </c>
      <c r="C314" s="268" t="s">
        <v>299</v>
      </c>
      <c r="D314" s="224" t="s">
        <v>149</v>
      </c>
      <c r="E314" s="224" t="s">
        <v>89</v>
      </c>
      <c r="F314" s="225" t="s">
        <v>485</v>
      </c>
      <c r="G314" s="226"/>
      <c r="H314" s="257">
        <f>H315</f>
        <v>33.799999999999997</v>
      </c>
    </row>
    <row r="315" spans="1:8" ht="37.5">
      <c r="A315" s="280"/>
      <c r="B315" s="219" t="s">
        <v>107</v>
      </c>
      <c r="C315" s="268" t="s">
        <v>299</v>
      </c>
      <c r="D315" s="224" t="s">
        <v>149</v>
      </c>
      <c r="E315" s="224" t="s">
        <v>89</v>
      </c>
      <c r="F315" s="290" t="s">
        <v>485</v>
      </c>
      <c r="G315" s="226" t="s">
        <v>108</v>
      </c>
      <c r="H315" s="257">
        <f>'прил12(ведом 19)'!M281</f>
        <v>33.799999999999997</v>
      </c>
    </row>
    <row r="316" spans="1:8" ht="37.5">
      <c r="A316" s="280"/>
      <c r="B316" s="291" t="s">
        <v>483</v>
      </c>
      <c r="C316" s="292" t="s">
        <v>299</v>
      </c>
      <c r="D316" s="293" t="s">
        <v>149</v>
      </c>
      <c r="E316" s="293" t="s">
        <v>91</v>
      </c>
      <c r="F316" s="231" t="s">
        <v>96</v>
      </c>
      <c r="G316" s="229"/>
      <c r="H316" s="257">
        <f>H317</f>
        <v>207</v>
      </c>
    </row>
    <row r="317" spans="1:8" ht="56.25">
      <c r="A317" s="280"/>
      <c r="B317" s="294" t="s">
        <v>484</v>
      </c>
      <c r="C317" s="292" t="s">
        <v>299</v>
      </c>
      <c r="D317" s="293" t="s">
        <v>149</v>
      </c>
      <c r="E317" s="293" t="s">
        <v>91</v>
      </c>
      <c r="F317" s="231" t="s">
        <v>167</v>
      </c>
      <c r="G317" s="232"/>
      <c r="H317" s="257">
        <f>H318</f>
        <v>207</v>
      </c>
    </row>
    <row r="318" spans="1:8" ht="37.5">
      <c r="A318" s="280"/>
      <c r="B318" s="295" t="s">
        <v>107</v>
      </c>
      <c r="C318" s="296" t="s">
        <v>299</v>
      </c>
      <c r="D318" s="293" t="s">
        <v>149</v>
      </c>
      <c r="E318" s="293" t="s">
        <v>91</v>
      </c>
      <c r="F318" s="231" t="s">
        <v>167</v>
      </c>
      <c r="G318" s="232" t="s">
        <v>108</v>
      </c>
      <c r="H318" s="257">
        <f>'прил12(ведом 19)'!M284</f>
        <v>207</v>
      </c>
    </row>
    <row r="319" spans="1:8" ht="37.5">
      <c r="A319" s="280"/>
      <c r="B319" s="285" t="s">
        <v>537</v>
      </c>
      <c r="C319" s="297" t="s">
        <v>299</v>
      </c>
      <c r="D319" s="298" t="s">
        <v>149</v>
      </c>
      <c r="E319" s="276" t="s">
        <v>118</v>
      </c>
      <c r="F319" s="299" t="s">
        <v>96</v>
      </c>
      <c r="G319" s="277"/>
      <c r="H319" s="257">
        <f>H320+H323</f>
        <v>235.77199999999999</v>
      </c>
    </row>
    <row r="320" spans="1:8" ht="37.5">
      <c r="A320" s="280"/>
      <c r="B320" s="285" t="s">
        <v>453</v>
      </c>
      <c r="C320" s="297" t="s">
        <v>299</v>
      </c>
      <c r="D320" s="298" t="s">
        <v>149</v>
      </c>
      <c r="E320" s="300" t="s">
        <v>118</v>
      </c>
      <c r="F320" s="301" t="s">
        <v>452</v>
      </c>
      <c r="G320" s="277"/>
      <c r="H320" s="257">
        <f>H321+H322</f>
        <v>235.77199999999999</v>
      </c>
    </row>
    <row r="321" spans="1:8" ht="37.5">
      <c r="A321" s="280"/>
      <c r="B321" s="285" t="s">
        <v>107</v>
      </c>
      <c r="C321" s="687" t="s">
        <v>299</v>
      </c>
      <c r="D321" s="688" t="s">
        <v>149</v>
      </c>
      <c r="E321" s="689" t="s">
        <v>118</v>
      </c>
      <c r="F321" s="690" t="s">
        <v>452</v>
      </c>
      <c r="G321" s="232" t="s">
        <v>108</v>
      </c>
      <c r="H321" s="257">
        <f>'прил12(ведом 19)'!M287</f>
        <v>32.200000000000003</v>
      </c>
    </row>
    <row r="322" spans="1:8" ht="18.75">
      <c r="A322" s="280"/>
      <c r="B322" s="222" t="s">
        <v>109</v>
      </c>
      <c r="C322" s="268" t="s">
        <v>299</v>
      </c>
      <c r="D322" s="276" t="s">
        <v>149</v>
      </c>
      <c r="E322" s="276" t="s">
        <v>118</v>
      </c>
      <c r="F322" s="299" t="s">
        <v>452</v>
      </c>
      <c r="G322" s="277" t="s">
        <v>110</v>
      </c>
      <c r="H322" s="257">
        <f>'прил12(ведом 19)'!M288</f>
        <v>203.572</v>
      </c>
    </row>
    <row r="323" spans="1:8" ht="56.25">
      <c r="A323" s="280"/>
      <c r="B323" s="444" t="s">
        <v>769</v>
      </c>
      <c r="C323" s="268" t="s">
        <v>299</v>
      </c>
      <c r="D323" s="276" t="s">
        <v>149</v>
      </c>
      <c r="E323" s="276" t="s">
        <v>118</v>
      </c>
      <c r="F323" s="299" t="s">
        <v>768</v>
      </c>
      <c r="G323" s="277"/>
      <c r="H323" s="257">
        <f>H324</f>
        <v>0</v>
      </c>
    </row>
    <row r="324" spans="1:8" ht="37.5">
      <c r="A324" s="280"/>
      <c r="B324" s="444" t="s">
        <v>107</v>
      </c>
      <c r="C324" s="268" t="s">
        <v>299</v>
      </c>
      <c r="D324" s="276" t="s">
        <v>149</v>
      </c>
      <c r="E324" s="276" t="s">
        <v>118</v>
      </c>
      <c r="F324" s="299" t="s">
        <v>768</v>
      </c>
      <c r="G324" s="277" t="s">
        <v>108</v>
      </c>
      <c r="H324" s="257">
        <f>'прил12(ведом 19)'!M290</f>
        <v>0</v>
      </c>
    </row>
    <row r="325" spans="1:8" ht="37.5">
      <c r="A325" s="280"/>
      <c r="B325" s="302" t="s">
        <v>455</v>
      </c>
      <c r="C325" s="268" t="s">
        <v>299</v>
      </c>
      <c r="D325" s="276" t="s">
        <v>82</v>
      </c>
      <c r="E325" s="276" t="s">
        <v>95</v>
      </c>
      <c r="F325" s="299" t="s">
        <v>96</v>
      </c>
      <c r="G325" s="277"/>
      <c r="H325" s="257">
        <f>H329+H326</f>
        <v>12059.505000000001</v>
      </c>
    </row>
    <row r="326" spans="1:8" ht="18.75">
      <c r="A326" s="280"/>
      <c r="B326" s="438" t="s">
        <v>766</v>
      </c>
      <c r="C326" s="122" t="s">
        <v>299</v>
      </c>
      <c r="D326" s="121" t="s">
        <v>82</v>
      </c>
      <c r="E326" s="121" t="s">
        <v>104</v>
      </c>
      <c r="F326" s="439" t="s">
        <v>96</v>
      </c>
      <c r="G326" s="440"/>
      <c r="H326" s="257">
        <f>H327</f>
        <v>3551.4050000000002</v>
      </c>
    </row>
    <row r="327" spans="1:8" ht="37.5">
      <c r="A327" s="280"/>
      <c r="B327" s="438" t="s">
        <v>767</v>
      </c>
      <c r="C327" s="122" t="s">
        <v>299</v>
      </c>
      <c r="D327" s="121" t="s">
        <v>82</v>
      </c>
      <c r="E327" s="121" t="s">
        <v>104</v>
      </c>
      <c r="F327" s="439" t="s">
        <v>765</v>
      </c>
      <c r="G327" s="440"/>
      <c r="H327" s="257">
        <f>H328</f>
        <v>3551.4050000000002</v>
      </c>
    </row>
    <row r="328" spans="1:8" ht="18.75">
      <c r="A328" s="280"/>
      <c r="B328" s="438" t="s">
        <v>109</v>
      </c>
      <c r="C328" s="122" t="s">
        <v>299</v>
      </c>
      <c r="D328" s="121" t="s">
        <v>82</v>
      </c>
      <c r="E328" s="121" t="s">
        <v>104</v>
      </c>
      <c r="F328" s="439" t="s">
        <v>765</v>
      </c>
      <c r="G328" s="440" t="s">
        <v>110</v>
      </c>
      <c r="H328" s="257">
        <f>'прил12(ведом 19)'!M294</f>
        <v>3551.4050000000002</v>
      </c>
    </row>
    <row r="329" spans="1:8" ht="56.25">
      <c r="A329" s="280"/>
      <c r="B329" s="222" t="s">
        <v>694</v>
      </c>
      <c r="C329" s="223" t="s">
        <v>299</v>
      </c>
      <c r="D329" s="224" t="s">
        <v>82</v>
      </c>
      <c r="E329" s="224" t="s">
        <v>120</v>
      </c>
      <c r="F329" s="225" t="s">
        <v>96</v>
      </c>
      <c r="G329" s="226"/>
      <c r="H329" s="257">
        <f>H330</f>
        <v>8508.1</v>
      </c>
    </row>
    <row r="330" spans="1:8" ht="168.75">
      <c r="A330" s="280"/>
      <c r="B330" s="227" t="s">
        <v>501</v>
      </c>
      <c r="C330" s="223" t="s">
        <v>299</v>
      </c>
      <c r="D330" s="224" t="s">
        <v>82</v>
      </c>
      <c r="E330" s="224" t="s">
        <v>120</v>
      </c>
      <c r="F330" s="228" t="s">
        <v>502</v>
      </c>
      <c r="G330" s="229"/>
      <c r="H330" s="257">
        <f>H331</f>
        <v>8508.1</v>
      </c>
    </row>
    <row r="331" spans="1:8" ht="37.5">
      <c r="A331" s="280"/>
      <c r="B331" s="476" t="s">
        <v>275</v>
      </c>
      <c r="C331" s="485" t="s">
        <v>299</v>
      </c>
      <c r="D331" s="224" t="s">
        <v>82</v>
      </c>
      <c r="E331" s="224" t="s">
        <v>120</v>
      </c>
      <c r="F331" s="486" t="s">
        <v>502</v>
      </c>
      <c r="G331" s="477" t="s">
        <v>276</v>
      </c>
      <c r="H331" s="475">
        <f>'прил12(ведом 19)'!M342</f>
        <v>8508.1</v>
      </c>
    </row>
    <row r="332" spans="1:8" ht="18.75">
      <c r="A332" s="280"/>
      <c r="B332" s="260"/>
      <c r="C332" s="478"/>
      <c r="D332" s="272"/>
      <c r="E332" s="272"/>
      <c r="F332" s="391"/>
      <c r="G332" s="242"/>
      <c r="H332" s="257"/>
    </row>
    <row r="333" spans="1:8" s="255" customFormat="1" ht="56.25">
      <c r="A333" s="261">
        <v>8</v>
      </c>
      <c r="B333" s="282" t="s">
        <v>379</v>
      </c>
      <c r="C333" s="262" t="s">
        <v>138</v>
      </c>
      <c r="D333" s="262" t="s">
        <v>94</v>
      </c>
      <c r="E333" s="262" t="s">
        <v>95</v>
      </c>
      <c r="F333" s="263" t="s">
        <v>96</v>
      </c>
      <c r="G333" s="253"/>
      <c r="H333" s="254">
        <f>H334</f>
        <v>111103.50000000001</v>
      </c>
    </row>
    <row r="334" spans="1:8" ht="37.5">
      <c r="A334" s="243"/>
      <c r="B334" s="256" t="s">
        <v>455</v>
      </c>
      <c r="C334" s="223" t="s">
        <v>138</v>
      </c>
      <c r="D334" s="224" t="s">
        <v>97</v>
      </c>
      <c r="E334" s="224" t="s">
        <v>95</v>
      </c>
      <c r="F334" s="303" t="s">
        <v>96</v>
      </c>
      <c r="G334" s="242"/>
      <c r="H334" s="257">
        <f>H335+H350+H359+H369+H372</f>
        <v>111103.50000000001</v>
      </c>
    </row>
    <row r="335" spans="1:8" ht="37.5">
      <c r="A335" s="243"/>
      <c r="B335" s="256" t="s">
        <v>364</v>
      </c>
      <c r="C335" s="130" t="s">
        <v>138</v>
      </c>
      <c r="D335" s="131" t="s">
        <v>97</v>
      </c>
      <c r="E335" s="131" t="s">
        <v>89</v>
      </c>
      <c r="F335" s="132" t="s">
        <v>96</v>
      </c>
      <c r="G335" s="242"/>
      <c r="H335" s="257">
        <f>H336+H339+H342+H345+H348</f>
        <v>60150.8</v>
      </c>
    </row>
    <row r="336" spans="1:8" ht="131.25">
      <c r="A336" s="243"/>
      <c r="B336" s="304" t="s">
        <v>497</v>
      </c>
      <c r="C336" s="130" t="s">
        <v>138</v>
      </c>
      <c r="D336" s="131" t="s">
        <v>97</v>
      </c>
      <c r="E336" s="131" t="s">
        <v>89</v>
      </c>
      <c r="F336" s="132" t="s">
        <v>381</v>
      </c>
      <c r="G336" s="133"/>
      <c r="H336" s="257">
        <f>SUM(H337:H338)</f>
        <v>33015.800000000003</v>
      </c>
    </row>
    <row r="337" spans="1:8" ht="37.5">
      <c r="A337" s="243"/>
      <c r="B337" s="305" t="s">
        <v>107</v>
      </c>
      <c r="C337" s="130" t="s">
        <v>138</v>
      </c>
      <c r="D337" s="131" t="s">
        <v>97</v>
      </c>
      <c r="E337" s="131" t="s">
        <v>89</v>
      </c>
      <c r="F337" s="132" t="s">
        <v>381</v>
      </c>
      <c r="G337" s="133" t="s">
        <v>108</v>
      </c>
      <c r="H337" s="257">
        <f>'прил12(ведом 19)'!M655</f>
        <v>164.3</v>
      </c>
    </row>
    <row r="338" spans="1:8" ht="37.5">
      <c r="A338" s="243"/>
      <c r="B338" s="256" t="s">
        <v>182</v>
      </c>
      <c r="C338" s="130" t="s">
        <v>138</v>
      </c>
      <c r="D338" s="131" t="s">
        <v>97</v>
      </c>
      <c r="E338" s="131" t="s">
        <v>89</v>
      </c>
      <c r="F338" s="132" t="s">
        <v>381</v>
      </c>
      <c r="G338" s="133" t="s">
        <v>183</v>
      </c>
      <c r="H338" s="257">
        <f>'прил12(ведом 19)'!M656</f>
        <v>32851.5</v>
      </c>
    </row>
    <row r="339" spans="1:8" ht="93.75">
      <c r="A339" s="243"/>
      <c r="B339" s="256" t="s">
        <v>498</v>
      </c>
      <c r="C339" s="130" t="s">
        <v>138</v>
      </c>
      <c r="D339" s="131" t="s">
        <v>97</v>
      </c>
      <c r="E339" s="131" t="s">
        <v>89</v>
      </c>
      <c r="F339" s="132" t="s">
        <v>382</v>
      </c>
      <c r="G339" s="133"/>
      <c r="H339" s="257">
        <f>SUM(H340:H341)</f>
        <v>26177</v>
      </c>
    </row>
    <row r="340" spans="1:8" ht="37.5">
      <c r="A340" s="243"/>
      <c r="B340" s="305" t="s">
        <v>107</v>
      </c>
      <c r="C340" s="130" t="s">
        <v>138</v>
      </c>
      <c r="D340" s="131" t="s">
        <v>97</v>
      </c>
      <c r="E340" s="131" t="s">
        <v>89</v>
      </c>
      <c r="F340" s="132" t="s">
        <v>382</v>
      </c>
      <c r="G340" s="133" t="s">
        <v>108</v>
      </c>
      <c r="H340" s="257">
        <f>'прил12(ведом 19)'!M658</f>
        <v>130.19999999999999</v>
      </c>
    </row>
    <row r="341" spans="1:8" ht="37.5">
      <c r="A341" s="243"/>
      <c r="B341" s="256" t="s">
        <v>182</v>
      </c>
      <c r="C341" s="130" t="s">
        <v>138</v>
      </c>
      <c r="D341" s="131" t="s">
        <v>97</v>
      </c>
      <c r="E341" s="131" t="s">
        <v>89</v>
      </c>
      <c r="F341" s="132" t="s">
        <v>382</v>
      </c>
      <c r="G341" s="133" t="s">
        <v>183</v>
      </c>
      <c r="H341" s="257">
        <f>'прил12(ведом 19)'!M659</f>
        <v>26046.799999999999</v>
      </c>
    </row>
    <row r="342" spans="1:8" ht="93.75">
      <c r="A342" s="243"/>
      <c r="B342" s="256" t="s">
        <v>499</v>
      </c>
      <c r="C342" s="130" t="s">
        <v>138</v>
      </c>
      <c r="D342" s="131" t="s">
        <v>97</v>
      </c>
      <c r="E342" s="131" t="s">
        <v>89</v>
      </c>
      <c r="F342" s="132" t="s">
        <v>383</v>
      </c>
      <c r="G342" s="133"/>
      <c r="H342" s="257">
        <f>SUM(H343:H344)</f>
        <v>449.4</v>
      </c>
    </row>
    <row r="343" spans="1:8" ht="37.5">
      <c r="A343" s="243"/>
      <c r="B343" s="256" t="s">
        <v>107</v>
      </c>
      <c r="C343" s="130" t="s">
        <v>138</v>
      </c>
      <c r="D343" s="131" t="s">
        <v>97</v>
      </c>
      <c r="E343" s="131" t="s">
        <v>89</v>
      </c>
      <c r="F343" s="132" t="s">
        <v>383</v>
      </c>
      <c r="G343" s="133" t="s">
        <v>108</v>
      </c>
      <c r="H343" s="257">
        <f>'прил12(ведом 19)'!M661</f>
        <v>2.2000000000000002</v>
      </c>
    </row>
    <row r="344" spans="1:8" ht="37.5">
      <c r="A344" s="243"/>
      <c r="B344" s="256" t="s">
        <v>182</v>
      </c>
      <c r="C344" s="130" t="s">
        <v>138</v>
      </c>
      <c r="D344" s="131" t="s">
        <v>97</v>
      </c>
      <c r="E344" s="131" t="s">
        <v>89</v>
      </c>
      <c r="F344" s="132" t="s">
        <v>383</v>
      </c>
      <c r="G344" s="133" t="s">
        <v>183</v>
      </c>
      <c r="H344" s="257">
        <f>'прил12(ведом 19)'!M662</f>
        <v>447.2</v>
      </c>
    </row>
    <row r="345" spans="1:8" ht="112.5">
      <c r="A345" s="243"/>
      <c r="B345" s="256" t="s">
        <v>515</v>
      </c>
      <c r="C345" s="130" t="s">
        <v>138</v>
      </c>
      <c r="D345" s="131" t="s">
        <v>97</v>
      </c>
      <c r="E345" s="131" t="s">
        <v>89</v>
      </c>
      <c r="F345" s="132" t="s">
        <v>384</v>
      </c>
      <c r="G345" s="133"/>
      <c r="H345" s="257">
        <f>SUM(H346:H347)</f>
        <v>493</v>
      </c>
    </row>
    <row r="346" spans="1:8" ht="37.5">
      <c r="A346" s="243"/>
      <c r="B346" s="256" t="s">
        <v>107</v>
      </c>
      <c r="C346" s="130" t="s">
        <v>138</v>
      </c>
      <c r="D346" s="131" t="s">
        <v>97</v>
      </c>
      <c r="E346" s="131" t="s">
        <v>89</v>
      </c>
      <c r="F346" s="132" t="s">
        <v>384</v>
      </c>
      <c r="G346" s="133" t="s">
        <v>108</v>
      </c>
      <c r="H346" s="257">
        <f>'прил12(ведом 19)'!M664</f>
        <v>2.5</v>
      </c>
    </row>
    <row r="347" spans="1:8" ht="37.5">
      <c r="A347" s="243"/>
      <c r="B347" s="256" t="s">
        <v>182</v>
      </c>
      <c r="C347" s="130" t="s">
        <v>138</v>
      </c>
      <c r="D347" s="131" t="s">
        <v>97</v>
      </c>
      <c r="E347" s="131" t="s">
        <v>89</v>
      </c>
      <c r="F347" s="132" t="s">
        <v>384</v>
      </c>
      <c r="G347" s="133" t="s">
        <v>183</v>
      </c>
      <c r="H347" s="257">
        <f>'прил12(ведом 19)'!M665</f>
        <v>490.5</v>
      </c>
    </row>
    <row r="348" spans="1:8" ht="150">
      <c r="A348" s="243"/>
      <c r="B348" s="306" t="s">
        <v>496</v>
      </c>
      <c r="C348" s="130" t="s">
        <v>138</v>
      </c>
      <c r="D348" s="131" t="s">
        <v>97</v>
      </c>
      <c r="E348" s="131" t="s">
        <v>89</v>
      </c>
      <c r="F348" s="132" t="s">
        <v>380</v>
      </c>
      <c r="G348" s="133"/>
      <c r="H348" s="257">
        <f>H349</f>
        <v>15.6</v>
      </c>
    </row>
    <row r="349" spans="1:8" ht="37.5">
      <c r="A349" s="243"/>
      <c r="B349" s="256" t="s">
        <v>182</v>
      </c>
      <c r="C349" s="130" t="s">
        <v>138</v>
      </c>
      <c r="D349" s="131" t="s">
        <v>97</v>
      </c>
      <c r="E349" s="131" t="s">
        <v>89</v>
      </c>
      <c r="F349" s="132" t="s">
        <v>380</v>
      </c>
      <c r="G349" s="133" t="s">
        <v>183</v>
      </c>
      <c r="H349" s="257">
        <f>'прил12(ведом 19)'!M648</f>
        <v>15.6</v>
      </c>
    </row>
    <row r="350" spans="1:8" ht="75">
      <c r="A350" s="243"/>
      <c r="B350" s="285" t="s">
        <v>393</v>
      </c>
      <c r="C350" s="223" t="s">
        <v>138</v>
      </c>
      <c r="D350" s="224" t="s">
        <v>97</v>
      </c>
      <c r="E350" s="224" t="s">
        <v>91</v>
      </c>
      <c r="F350" s="303" t="s">
        <v>96</v>
      </c>
      <c r="G350" s="226"/>
      <c r="H350" s="257">
        <f>H351+H353+H357+H355</f>
        <v>42543.900000000009</v>
      </c>
    </row>
    <row r="351" spans="1:8" ht="187.5">
      <c r="A351" s="243"/>
      <c r="B351" s="304" t="s">
        <v>505</v>
      </c>
      <c r="C351" s="131" t="s">
        <v>138</v>
      </c>
      <c r="D351" s="131" t="s">
        <v>97</v>
      </c>
      <c r="E351" s="131" t="s">
        <v>91</v>
      </c>
      <c r="F351" s="132" t="s">
        <v>506</v>
      </c>
      <c r="G351" s="133"/>
      <c r="H351" s="257">
        <f>H352</f>
        <v>5.2</v>
      </c>
    </row>
    <row r="352" spans="1:8" ht="37.5">
      <c r="A352" s="243"/>
      <c r="B352" s="256" t="s">
        <v>182</v>
      </c>
      <c r="C352" s="131" t="s">
        <v>138</v>
      </c>
      <c r="D352" s="131" t="s">
        <v>97</v>
      </c>
      <c r="E352" s="131" t="s">
        <v>91</v>
      </c>
      <c r="F352" s="132" t="s">
        <v>506</v>
      </c>
      <c r="G352" s="133" t="s">
        <v>183</v>
      </c>
      <c r="H352" s="257">
        <f>'прил12(ведом 19)'!M668</f>
        <v>5.2</v>
      </c>
    </row>
    <row r="353" spans="1:8" ht="281.25">
      <c r="A353" s="243"/>
      <c r="B353" s="304" t="s">
        <v>514</v>
      </c>
      <c r="C353" s="131" t="s">
        <v>138</v>
      </c>
      <c r="D353" s="131" t="s">
        <v>97</v>
      </c>
      <c r="E353" s="131" t="s">
        <v>91</v>
      </c>
      <c r="F353" s="132" t="s">
        <v>507</v>
      </c>
      <c r="G353" s="133"/>
      <c r="H353" s="257">
        <f>H354</f>
        <v>165</v>
      </c>
    </row>
    <row r="354" spans="1:8" ht="37.5">
      <c r="A354" s="243"/>
      <c r="B354" s="256" t="s">
        <v>182</v>
      </c>
      <c r="C354" s="131" t="s">
        <v>138</v>
      </c>
      <c r="D354" s="131" t="s">
        <v>97</v>
      </c>
      <c r="E354" s="131" t="s">
        <v>91</v>
      </c>
      <c r="F354" s="132" t="s">
        <v>507</v>
      </c>
      <c r="G354" s="133" t="s">
        <v>183</v>
      </c>
      <c r="H354" s="257">
        <f>'прил12(ведом 19)'!M670</f>
        <v>165</v>
      </c>
    </row>
    <row r="355" spans="1:8" ht="94.5" customHeight="1">
      <c r="A355" s="243"/>
      <c r="B355" s="222" t="s">
        <v>394</v>
      </c>
      <c r="C355" s="223" t="s">
        <v>138</v>
      </c>
      <c r="D355" s="276" t="s">
        <v>97</v>
      </c>
      <c r="E355" s="276" t="s">
        <v>91</v>
      </c>
      <c r="F355" s="303" t="s">
        <v>706</v>
      </c>
      <c r="G355" s="226"/>
      <c r="H355" s="257">
        <f>H356</f>
        <v>34180.200000000004</v>
      </c>
    </row>
    <row r="356" spans="1:8" ht="37.5">
      <c r="A356" s="243"/>
      <c r="B356" s="222" t="s">
        <v>275</v>
      </c>
      <c r="C356" s="223" t="s">
        <v>138</v>
      </c>
      <c r="D356" s="276" t="s">
        <v>97</v>
      </c>
      <c r="E356" s="276" t="s">
        <v>91</v>
      </c>
      <c r="F356" s="303" t="s">
        <v>706</v>
      </c>
      <c r="G356" s="319" t="s">
        <v>276</v>
      </c>
      <c r="H356" s="257">
        <f>'прил12(ведом 19)'!M349</f>
        <v>34180.200000000004</v>
      </c>
    </row>
    <row r="357" spans="1:8" ht="97.5" customHeight="1">
      <c r="A357" s="243"/>
      <c r="B357" s="222" t="s">
        <v>394</v>
      </c>
      <c r="C357" s="223" t="s">
        <v>138</v>
      </c>
      <c r="D357" s="276" t="s">
        <v>97</v>
      </c>
      <c r="E357" s="276" t="s">
        <v>91</v>
      </c>
      <c r="F357" s="303" t="s">
        <v>395</v>
      </c>
      <c r="G357" s="226"/>
      <c r="H357" s="257">
        <f>H358</f>
        <v>8193.5</v>
      </c>
    </row>
    <row r="358" spans="1:8" ht="37.5">
      <c r="A358" s="243"/>
      <c r="B358" s="222" t="s">
        <v>275</v>
      </c>
      <c r="C358" s="223" t="s">
        <v>138</v>
      </c>
      <c r="D358" s="276" t="s">
        <v>97</v>
      </c>
      <c r="E358" s="276" t="s">
        <v>91</v>
      </c>
      <c r="F358" s="303" t="s">
        <v>395</v>
      </c>
      <c r="G358" s="319" t="s">
        <v>276</v>
      </c>
      <c r="H358" s="257">
        <f>'прил12(ведом 19)'!M351</f>
        <v>8193.5</v>
      </c>
    </row>
    <row r="359" spans="1:8" ht="37.5">
      <c r="A359" s="243"/>
      <c r="B359" s="256" t="s">
        <v>302</v>
      </c>
      <c r="C359" s="130" t="s">
        <v>138</v>
      </c>
      <c r="D359" s="131" t="s">
        <v>97</v>
      </c>
      <c r="E359" s="131" t="s">
        <v>118</v>
      </c>
      <c r="F359" s="132" t="s">
        <v>96</v>
      </c>
      <c r="G359" s="133"/>
      <c r="H359" s="257">
        <f>H360+H363+H366</f>
        <v>6248.8</v>
      </c>
    </row>
    <row r="360" spans="1:8" ht="75">
      <c r="A360" s="243"/>
      <c r="B360" s="256" t="s">
        <v>304</v>
      </c>
      <c r="C360" s="130" t="s">
        <v>138</v>
      </c>
      <c r="D360" s="131" t="s">
        <v>97</v>
      </c>
      <c r="E360" s="131" t="s">
        <v>118</v>
      </c>
      <c r="F360" s="132" t="s">
        <v>386</v>
      </c>
      <c r="G360" s="133"/>
      <c r="H360" s="257">
        <f>SUM(H361:H362)</f>
        <v>4784.5</v>
      </c>
    </row>
    <row r="361" spans="1:8" ht="93.75">
      <c r="A361" s="243"/>
      <c r="B361" s="256" t="s">
        <v>101</v>
      </c>
      <c r="C361" s="130" t="s">
        <v>138</v>
      </c>
      <c r="D361" s="131" t="s">
        <v>97</v>
      </c>
      <c r="E361" s="131" t="s">
        <v>118</v>
      </c>
      <c r="F361" s="132" t="s">
        <v>386</v>
      </c>
      <c r="G361" s="133" t="s">
        <v>102</v>
      </c>
      <c r="H361" s="257">
        <f>'прил12(ведом 19)'!M676</f>
        <v>4434.5</v>
      </c>
    </row>
    <row r="362" spans="1:8" ht="37.5">
      <c r="A362" s="243"/>
      <c r="B362" s="256" t="s">
        <v>107</v>
      </c>
      <c r="C362" s="307" t="s">
        <v>138</v>
      </c>
      <c r="D362" s="308" t="s">
        <v>97</v>
      </c>
      <c r="E362" s="308" t="s">
        <v>118</v>
      </c>
      <c r="F362" s="309" t="s">
        <v>386</v>
      </c>
      <c r="G362" s="133" t="s">
        <v>108</v>
      </c>
      <c r="H362" s="257">
        <f>'прил12(ведом 19)'!M677</f>
        <v>350</v>
      </c>
    </row>
    <row r="363" spans="1:8" ht="56.25">
      <c r="A363" s="243"/>
      <c r="B363" s="219" t="s">
        <v>552</v>
      </c>
      <c r="C363" s="130" t="s">
        <v>138</v>
      </c>
      <c r="D363" s="131" t="s">
        <v>97</v>
      </c>
      <c r="E363" s="131" t="s">
        <v>118</v>
      </c>
      <c r="F363" s="132" t="s">
        <v>387</v>
      </c>
      <c r="G363" s="133"/>
      <c r="H363" s="257">
        <f>SUM(H364:H365)</f>
        <v>617.29999999999995</v>
      </c>
    </row>
    <row r="364" spans="1:8" ht="93.75">
      <c r="A364" s="243"/>
      <c r="B364" s="256" t="s">
        <v>101</v>
      </c>
      <c r="C364" s="130" t="s">
        <v>138</v>
      </c>
      <c r="D364" s="131" t="s">
        <v>97</v>
      </c>
      <c r="E364" s="131" t="s">
        <v>118</v>
      </c>
      <c r="F364" s="132" t="s">
        <v>387</v>
      </c>
      <c r="G364" s="133" t="s">
        <v>102</v>
      </c>
      <c r="H364" s="257">
        <f>'прил12(ведом 19)'!M679</f>
        <v>567.29999999999995</v>
      </c>
    </row>
    <row r="365" spans="1:8" ht="37.5">
      <c r="A365" s="243"/>
      <c r="B365" s="256" t="s">
        <v>107</v>
      </c>
      <c r="C365" s="130" t="s">
        <v>138</v>
      </c>
      <c r="D365" s="131" t="s">
        <v>97</v>
      </c>
      <c r="E365" s="131" t="s">
        <v>118</v>
      </c>
      <c r="F365" s="132" t="s">
        <v>387</v>
      </c>
      <c r="G365" s="133" t="s">
        <v>108</v>
      </c>
      <c r="H365" s="257">
        <f>'прил12(ведом 19)'!M680</f>
        <v>50</v>
      </c>
    </row>
    <row r="366" spans="1:8" ht="18.75">
      <c r="A366" s="243"/>
      <c r="B366" s="256" t="s">
        <v>305</v>
      </c>
      <c r="C366" s="130" t="s">
        <v>138</v>
      </c>
      <c r="D366" s="131" t="s">
        <v>97</v>
      </c>
      <c r="E366" s="131" t="s">
        <v>118</v>
      </c>
      <c r="F366" s="132" t="s">
        <v>388</v>
      </c>
      <c r="G366" s="133"/>
      <c r="H366" s="257">
        <f>H367+H368</f>
        <v>847</v>
      </c>
    </row>
    <row r="367" spans="1:8" ht="93.75">
      <c r="A367" s="243"/>
      <c r="B367" s="256" t="s">
        <v>101</v>
      </c>
      <c r="C367" s="130" t="s">
        <v>138</v>
      </c>
      <c r="D367" s="131" t="s">
        <v>97</v>
      </c>
      <c r="E367" s="131" t="s">
        <v>118</v>
      </c>
      <c r="F367" s="132" t="s">
        <v>388</v>
      </c>
      <c r="G367" s="133" t="s">
        <v>102</v>
      </c>
      <c r="H367" s="257">
        <f>'прил12(ведом 19)'!M682</f>
        <v>767</v>
      </c>
    </row>
    <row r="368" spans="1:8" ht="37.5">
      <c r="A368" s="243"/>
      <c r="B368" s="256" t="s">
        <v>107</v>
      </c>
      <c r="C368" s="130" t="s">
        <v>138</v>
      </c>
      <c r="D368" s="131" t="s">
        <v>97</v>
      </c>
      <c r="E368" s="131" t="s">
        <v>118</v>
      </c>
      <c r="F368" s="132" t="s">
        <v>388</v>
      </c>
      <c r="G368" s="133" t="s">
        <v>108</v>
      </c>
      <c r="H368" s="257">
        <f>'прил12(ведом 19)'!M683</f>
        <v>80</v>
      </c>
    </row>
    <row r="369" spans="1:8" ht="78" customHeight="1">
      <c r="A369" s="280"/>
      <c r="B369" s="265" t="s">
        <v>504</v>
      </c>
      <c r="C369" s="130" t="s">
        <v>138</v>
      </c>
      <c r="D369" s="131" t="s">
        <v>97</v>
      </c>
      <c r="E369" s="131" t="s">
        <v>104</v>
      </c>
      <c r="F369" s="132" t="s">
        <v>96</v>
      </c>
      <c r="G369" s="133"/>
      <c r="H369" s="257">
        <f>H370</f>
        <v>276</v>
      </c>
    </row>
    <row r="370" spans="1:8" ht="75">
      <c r="A370" s="280"/>
      <c r="B370" s="265" t="s">
        <v>489</v>
      </c>
      <c r="C370" s="130" t="s">
        <v>138</v>
      </c>
      <c r="D370" s="131" t="s">
        <v>97</v>
      </c>
      <c r="E370" s="131" t="s">
        <v>104</v>
      </c>
      <c r="F370" s="132" t="s">
        <v>488</v>
      </c>
      <c r="G370" s="133"/>
      <c r="H370" s="257">
        <f>H371</f>
        <v>276</v>
      </c>
    </row>
    <row r="371" spans="1:8" ht="29.25" customHeight="1">
      <c r="A371" s="280"/>
      <c r="B371" s="258" t="s">
        <v>182</v>
      </c>
      <c r="C371" s="130" t="s">
        <v>138</v>
      </c>
      <c r="D371" s="131" t="s">
        <v>97</v>
      </c>
      <c r="E371" s="131" t="s">
        <v>104</v>
      </c>
      <c r="F371" s="132" t="s">
        <v>488</v>
      </c>
      <c r="G371" s="133" t="s">
        <v>183</v>
      </c>
      <c r="H371" s="257">
        <f>'прил12(ведом 19)'!M179</f>
        <v>276</v>
      </c>
    </row>
    <row r="372" spans="1:8" ht="37.5">
      <c r="A372" s="280"/>
      <c r="B372" s="310" t="s">
        <v>698</v>
      </c>
      <c r="C372" s="130" t="s">
        <v>138</v>
      </c>
      <c r="D372" s="131" t="s">
        <v>97</v>
      </c>
      <c r="E372" s="131" t="s">
        <v>120</v>
      </c>
      <c r="F372" s="132" t="s">
        <v>96</v>
      </c>
      <c r="G372" s="133"/>
      <c r="H372" s="257">
        <f>H373</f>
        <v>1884</v>
      </c>
    </row>
    <row r="373" spans="1:8" ht="56.25">
      <c r="A373" s="280"/>
      <c r="B373" s="310" t="s">
        <v>700</v>
      </c>
      <c r="C373" s="130" t="s">
        <v>138</v>
      </c>
      <c r="D373" s="131" t="s">
        <v>97</v>
      </c>
      <c r="E373" s="131" t="s">
        <v>120</v>
      </c>
      <c r="F373" s="132" t="s">
        <v>701</v>
      </c>
      <c r="G373" s="133"/>
      <c r="H373" s="257">
        <f>H374</f>
        <v>1884</v>
      </c>
    </row>
    <row r="374" spans="1:8" ht="43.5" customHeight="1">
      <c r="A374" s="280"/>
      <c r="B374" s="311" t="s">
        <v>699</v>
      </c>
      <c r="C374" s="130" t="s">
        <v>138</v>
      </c>
      <c r="D374" s="131" t="s">
        <v>97</v>
      </c>
      <c r="E374" s="131" t="s">
        <v>120</v>
      </c>
      <c r="F374" s="132" t="s">
        <v>701</v>
      </c>
      <c r="G374" s="133" t="s">
        <v>183</v>
      </c>
      <c r="H374" s="257">
        <f>'прил12(ведом 19)'!M185</f>
        <v>1884</v>
      </c>
    </row>
    <row r="375" spans="1:8" ht="18.75">
      <c r="A375" s="243"/>
      <c r="B375" s="256"/>
      <c r="C375" s="131"/>
      <c r="D375" s="131"/>
      <c r="E375" s="131"/>
      <c r="F375" s="132"/>
      <c r="G375" s="133"/>
      <c r="H375" s="257"/>
    </row>
    <row r="376" spans="1:8" ht="75">
      <c r="A376" s="261">
        <v>9</v>
      </c>
      <c r="B376" s="275" t="s">
        <v>446</v>
      </c>
      <c r="C376" s="262" t="s">
        <v>166</v>
      </c>
      <c r="D376" s="262" t="s">
        <v>94</v>
      </c>
      <c r="E376" s="262" t="s">
        <v>95</v>
      </c>
      <c r="F376" s="263" t="s">
        <v>96</v>
      </c>
      <c r="G376" s="312"/>
      <c r="H376" s="254">
        <f>H383+H377</f>
        <v>18248.5</v>
      </c>
    </row>
    <row r="377" spans="1:8" ht="37.5">
      <c r="A377" s="261"/>
      <c r="B377" s="256" t="s">
        <v>448</v>
      </c>
      <c r="C377" s="130" t="s">
        <v>166</v>
      </c>
      <c r="D377" s="131" t="s">
        <v>97</v>
      </c>
      <c r="E377" s="131" t="s">
        <v>95</v>
      </c>
      <c r="F377" s="132" t="s">
        <v>96</v>
      </c>
      <c r="G377" s="133"/>
      <c r="H377" s="257">
        <f>H378</f>
        <v>18212.8</v>
      </c>
    </row>
    <row r="378" spans="1:8" ht="56.25">
      <c r="A378" s="261"/>
      <c r="B378" s="219" t="s">
        <v>528</v>
      </c>
      <c r="C378" s="130" t="s">
        <v>166</v>
      </c>
      <c r="D378" s="131" t="s">
        <v>97</v>
      </c>
      <c r="E378" s="131" t="s">
        <v>89</v>
      </c>
      <c r="F378" s="132" t="s">
        <v>96</v>
      </c>
      <c r="G378" s="133"/>
      <c r="H378" s="257">
        <f>H379+H381</f>
        <v>18212.8</v>
      </c>
    </row>
    <row r="379" spans="1:8" ht="56.25">
      <c r="A379" s="261"/>
      <c r="B379" s="256" t="s">
        <v>449</v>
      </c>
      <c r="C379" s="130" t="s">
        <v>166</v>
      </c>
      <c r="D379" s="131" t="s">
        <v>97</v>
      </c>
      <c r="E379" s="131" t="s">
        <v>89</v>
      </c>
      <c r="F379" s="132" t="s">
        <v>450</v>
      </c>
      <c r="G379" s="133"/>
      <c r="H379" s="257">
        <f>SUM(H380:H380)</f>
        <v>1815.2820000000002</v>
      </c>
    </row>
    <row r="380" spans="1:8" ht="37.5">
      <c r="A380" s="261"/>
      <c r="B380" s="256" t="s">
        <v>275</v>
      </c>
      <c r="C380" s="130" t="s">
        <v>166</v>
      </c>
      <c r="D380" s="131" t="s">
        <v>97</v>
      </c>
      <c r="E380" s="131" t="s">
        <v>89</v>
      </c>
      <c r="F380" s="132" t="s">
        <v>450</v>
      </c>
      <c r="G380" s="133" t="s">
        <v>276</v>
      </c>
      <c r="H380" s="257">
        <f>'прил12(ведом 19)'!M320+'прил12(ведом 19)'!M166</f>
        <v>1815.2820000000002</v>
      </c>
    </row>
    <row r="381" spans="1:8" ht="37.5">
      <c r="A381" s="261"/>
      <c r="B381" s="256" t="s">
        <v>752</v>
      </c>
      <c r="C381" s="130" t="s">
        <v>166</v>
      </c>
      <c r="D381" s="131" t="s">
        <v>97</v>
      </c>
      <c r="E381" s="131" t="s">
        <v>89</v>
      </c>
      <c r="F381" s="132" t="s">
        <v>749</v>
      </c>
      <c r="G381" s="133"/>
      <c r="H381" s="257">
        <f>H382</f>
        <v>16397.518</v>
      </c>
    </row>
    <row r="382" spans="1:8" ht="37.5">
      <c r="A382" s="261"/>
      <c r="B382" s="256" t="s">
        <v>275</v>
      </c>
      <c r="C382" s="130" t="s">
        <v>166</v>
      </c>
      <c r="D382" s="131" t="s">
        <v>97</v>
      </c>
      <c r="E382" s="131" t="s">
        <v>89</v>
      </c>
      <c r="F382" s="132" t="s">
        <v>749</v>
      </c>
      <c r="G382" s="133" t="s">
        <v>276</v>
      </c>
      <c r="H382" s="257">
        <f>'прил12(ведом 19)'!M322</f>
        <v>16397.518</v>
      </c>
    </row>
    <row r="383" spans="1:8" ht="37.5">
      <c r="A383" s="280"/>
      <c r="B383" s="256" t="s">
        <v>455</v>
      </c>
      <c r="C383" s="130" t="s">
        <v>166</v>
      </c>
      <c r="D383" s="131" t="s">
        <v>82</v>
      </c>
      <c r="E383" s="131" t="s">
        <v>95</v>
      </c>
      <c r="F383" s="132" t="s">
        <v>96</v>
      </c>
      <c r="G383" s="133"/>
      <c r="H383" s="257">
        <f>H384</f>
        <v>35.700000000000003</v>
      </c>
    </row>
    <row r="384" spans="1:8" ht="56.25">
      <c r="A384" s="280"/>
      <c r="B384" s="256" t="s">
        <v>442</v>
      </c>
      <c r="C384" s="130" t="s">
        <v>166</v>
      </c>
      <c r="D384" s="131" t="s">
        <v>82</v>
      </c>
      <c r="E384" s="131" t="s">
        <v>138</v>
      </c>
      <c r="F384" s="132" t="s">
        <v>96</v>
      </c>
      <c r="G384" s="133"/>
      <c r="H384" s="257">
        <f>H385</f>
        <v>35.700000000000003</v>
      </c>
    </row>
    <row r="385" spans="1:8" ht="18.75">
      <c r="A385" s="280"/>
      <c r="B385" s="256" t="s">
        <v>458</v>
      </c>
      <c r="C385" s="130" t="s">
        <v>166</v>
      </c>
      <c r="D385" s="131" t="s">
        <v>82</v>
      </c>
      <c r="E385" s="131" t="s">
        <v>138</v>
      </c>
      <c r="F385" s="132" t="s">
        <v>443</v>
      </c>
      <c r="G385" s="133"/>
      <c r="H385" s="257">
        <f>H386</f>
        <v>35.700000000000003</v>
      </c>
    </row>
    <row r="386" spans="1:8" ht="18.75">
      <c r="A386" s="280"/>
      <c r="B386" s="256" t="s">
        <v>185</v>
      </c>
      <c r="C386" s="130" t="s">
        <v>166</v>
      </c>
      <c r="D386" s="131" t="s">
        <v>82</v>
      </c>
      <c r="E386" s="131" t="s">
        <v>138</v>
      </c>
      <c r="F386" s="132" t="s">
        <v>443</v>
      </c>
      <c r="G386" s="133" t="s">
        <v>186</v>
      </c>
      <c r="H386" s="257">
        <f>'прил12(ведом 19)'!M172</f>
        <v>35.700000000000003</v>
      </c>
    </row>
    <row r="387" spans="1:8" ht="18.75">
      <c r="A387" s="280"/>
      <c r="B387" s="258"/>
      <c r="C387" s="224"/>
      <c r="D387" s="520"/>
      <c r="E387" s="520"/>
      <c r="F387" s="521"/>
      <c r="G387" s="242"/>
      <c r="H387" s="257"/>
    </row>
    <row r="388" spans="1:8" s="255" customFormat="1" ht="56.25">
      <c r="A388" s="261">
        <v>10</v>
      </c>
      <c r="B388" s="275" t="s">
        <v>155</v>
      </c>
      <c r="C388" s="262" t="s">
        <v>122</v>
      </c>
      <c r="D388" s="262" t="s">
        <v>94</v>
      </c>
      <c r="E388" s="262" t="s">
        <v>95</v>
      </c>
      <c r="F388" s="263" t="s">
        <v>96</v>
      </c>
      <c r="G388" s="312"/>
      <c r="H388" s="254">
        <f>H389</f>
        <v>17441.2</v>
      </c>
    </row>
    <row r="389" spans="1:8" ht="37.5">
      <c r="A389" s="243"/>
      <c r="B389" s="256" t="s">
        <v>455</v>
      </c>
      <c r="C389" s="130" t="s">
        <v>122</v>
      </c>
      <c r="D389" s="131" t="s">
        <v>97</v>
      </c>
      <c r="E389" s="131" t="s">
        <v>95</v>
      </c>
      <c r="F389" s="132" t="s">
        <v>96</v>
      </c>
      <c r="G389" s="271"/>
      <c r="H389" s="257">
        <f>H390+H393</f>
        <v>17441.2</v>
      </c>
    </row>
    <row r="390" spans="1:8" ht="37.5">
      <c r="A390" s="243"/>
      <c r="B390" s="256" t="s">
        <v>156</v>
      </c>
      <c r="C390" s="130" t="s">
        <v>122</v>
      </c>
      <c r="D390" s="131" t="s">
        <v>97</v>
      </c>
      <c r="E390" s="131" t="s">
        <v>89</v>
      </c>
      <c r="F390" s="132" t="s">
        <v>96</v>
      </c>
      <c r="G390" s="271"/>
      <c r="H390" s="257">
        <f>H391</f>
        <v>17261</v>
      </c>
    </row>
    <row r="391" spans="1:8" ht="160.5" customHeight="1">
      <c r="A391" s="243"/>
      <c r="B391" s="219" t="s">
        <v>543</v>
      </c>
      <c r="C391" s="130" t="s">
        <v>122</v>
      </c>
      <c r="D391" s="131" t="s">
        <v>97</v>
      </c>
      <c r="E391" s="131" t="s">
        <v>89</v>
      </c>
      <c r="F391" s="132" t="s">
        <v>157</v>
      </c>
      <c r="G391" s="133"/>
      <c r="H391" s="257">
        <f>H392</f>
        <v>17261</v>
      </c>
    </row>
    <row r="392" spans="1:8" ht="18.75">
      <c r="A392" s="243"/>
      <c r="B392" s="256" t="s">
        <v>109</v>
      </c>
      <c r="C392" s="130" t="s">
        <v>122</v>
      </c>
      <c r="D392" s="131" t="s">
        <v>97</v>
      </c>
      <c r="E392" s="131" t="s">
        <v>89</v>
      </c>
      <c r="F392" s="132" t="s">
        <v>157</v>
      </c>
      <c r="G392" s="133" t="s">
        <v>110</v>
      </c>
      <c r="H392" s="257">
        <f>'прил12(ведом 19)'!M120</f>
        <v>17261</v>
      </c>
    </row>
    <row r="393" spans="1:8" ht="56.25">
      <c r="A393" s="243"/>
      <c r="B393" s="256" t="s">
        <v>158</v>
      </c>
      <c r="C393" s="130" t="s">
        <v>122</v>
      </c>
      <c r="D393" s="131" t="s">
        <v>97</v>
      </c>
      <c r="E393" s="131" t="s">
        <v>91</v>
      </c>
      <c r="F393" s="132" t="s">
        <v>96</v>
      </c>
      <c r="G393" s="133"/>
      <c r="H393" s="257">
        <f>H394</f>
        <v>180.2</v>
      </c>
    </row>
    <row r="394" spans="1:8" ht="18.75">
      <c r="A394" s="243"/>
      <c r="B394" s="219" t="s">
        <v>553</v>
      </c>
      <c r="C394" s="130" t="s">
        <v>122</v>
      </c>
      <c r="D394" s="131" t="s">
        <v>97</v>
      </c>
      <c r="E394" s="131" t="s">
        <v>91</v>
      </c>
      <c r="F394" s="132" t="s">
        <v>159</v>
      </c>
      <c r="G394" s="133"/>
      <c r="H394" s="257">
        <f>H395</f>
        <v>180.2</v>
      </c>
    </row>
    <row r="395" spans="1:8" ht="37.5">
      <c r="A395" s="243"/>
      <c r="B395" s="256" t="s">
        <v>107</v>
      </c>
      <c r="C395" s="130" t="s">
        <v>122</v>
      </c>
      <c r="D395" s="131" t="s">
        <v>97</v>
      </c>
      <c r="E395" s="131" t="s">
        <v>91</v>
      </c>
      <c r="F395" s="132" t="s">
        <v>159</v>
      </c>
      <c r="G395" s="133" t="s">
        <v>108</v>
      </c>
      <c r="H395" s="257">
        <f>'прил12(ведом 19)'!M123</f>
        <v>180.2</v>
      </c>
    </row>
    <row r="396" spans="1:8" ht="18.75">
      <c r="A396" s="243"/>
      <c r="B396" s="260"/>
      <c r="C396" s="520"/>
      <c r="D396" s="520"/>
      <c r="E396" s="520"/>
      <c r="F396" s="521"/>
      <c r="G396" s="242"/>
      <c r="H396" s="257"/>
    </row>
    <row r="397" spans="1:8" s="255" customFormat="1" ht="56.25">
      <c r="A397" s="261">
        <v>11</v>
      </c>
      <c r="B397" s="275" t="s">
        <v>161</v>
      </c>
      <c r="C397" s="262" t="s">
        <v>162</v>
      </c>
      <c r="D397" s="262" t="s">
        <v>94</v>
      </c>
      <c r="E397" s="262" t="s">
        <v>95</v>
      </c>
      <c r="F397" s="263" t="s">
        <v>96</v>
      </c>
      <c r="G397" s="253"/>
      <c r="H397" s="254">
        <f>H398</f>
        <v>5673.0294000000004</v>
      </c>
    </row>
    <row r="398" spans="1:8" s="255" customFormat="1" ht="37.5">
      <c r="A398" s="243"/>
      <c r="B398" s="256" t="s">
        <v>455</v>
      </c>
      <c r="C398" s="130" t="s">
        <v>162</v>
      </c>
      <c r="D398" s="131" t="s">
        <v>97</v>
      </c>
      <c r="E398" s="131" t="s">
        <v>95</v>
      </c>
      <c r="F398" s="132" t="s">
        <v>96</v>
      </c>
      <c r="G398" s="133"/>
      <c r="H398" s="257">
        <f>H399</f>
        <v>5673.0294000000004</v>
      </c>
    </row>
    <row r="399" spans="1:8" s="255" customFormat="1" ht="75">
      <c r="A399" s="243"/>
      <c r="B399" s="256" t="s">
        <v>163</v>
      </c>
      <c r="C399" s="130" t="s">
        <v>162</v>
      </c>
      <c r="D399" s="131" t="s">
        <v>97</v>
      </c>
      <c r="E399" s="131" t="s">
        <v>89</v>
      </c>
      <c r="F399" s="132" t="s">
        <v>96</v>
      </c>
      <c r="G399" s="133"/>
      <c r="H399" s="257">
        <f>H400+H402</f>
        <v>5673.0294000000004</v>
      </c>
    </row>
    <row r="400" spans="1:8" s="255" customFormat="1" ht="75">
      <c r="A400" s="243"/>
      <c r="B400" s="264" t="s">
        <v>164</v>
      </c>
      <c r="C400" s="130" t="s">
        <v>162</v>
      </c>
      <c r="D400" s="131" t="s">
        <v>97</v>
      </c>
      <c r="E400" s="131" t="s">
        <v>89</v>
      </c>
      <c r="F400" s="132" t="s">
        <v>165</v>
      </c>
      <c r="G400" s="133"/>
      <c r="H400" s="257">
        <f>H401</f>
        <v>4419.3294000000005</v>
      </c>
    </row>
    <row r="401" spans="1:8" ht="37.5">
      <c r="A401" s="243"/>
      <c r="B401" s="256" t="s">
        <v>107</v>
      </c>
      <c r="C401" s="130" t="s">
        <v>162</v>
      </c>
      <c r="D401" s="131" t="s">
        <v>97</v>
      </c>
      <c r="E401" s="131" t="s">
        <v>89</v>
      </c>
      <c r="F401" s="132" t="s">
        <v>165</v>
      </c>
      <c r="G401" s="133" t="s">
        <v>108</v>
      </c>
      <c r="H401" s="257">
        <f>'прил12(ведом 19)'!M129</f>
        <v>4419.3294000000005</v>
      </c>
    </row>
    <row r="402" spans="1:8" ht="75">
      <c r="A402" s="243"/>
      <c r="B402" s="256" t="s">
        <v>748</v>
      </c>
      <c r="C402" s="131" t="s">
        <v>162</v>
      </c>
      <c r="D402" s="131" t="s">
        <v>97</v>
      </c>
      <c r="E402" s="131" t="s">
        <v>89</v>
      </c>
      <c r="F402" s="132" t="s">
        <v>747</v>
      </c>
      <c r="G402" s="133"/>
      <c r="H402" s="257">
        <f>H403</f>
        <v>1253.7</v>
      </c>
    </row>
    <row r="403" spans="1:8" ht="37.5">
      <c r="A403" s="243"/>
      <c r="B403" s="256" t="s">
        <v>107</v>
      </c>
      <c r="C403" s="131" t="s">
        <v>162</v>
      </c>
      <c r="D403" s="131" t="s">
        <v>97</v>
      </c>
      <c r="E403" s="131" t="s">
        <v>89</v>
      </c>
      <c r="F403" s="132" t="s">
        <v>747</v>
      </c>
      <c r="G403" s="133" t="s">
        <v>108</v>
      </c>
      <c r="H403" s="257">
        <f>'прил12(ведом 19)'!M131</f>
        <v>1253.7</v>
      </c>
    </row>
    <row r="404" spans="1:8" ht="18.75">
      <c r="A404" s="243"/>
      <c r="B404" s="260"/>
      <c r="C404" s="520"/>
      <c r="D404" s="520"/>
      <c r="E404" s="520"/>
      <c r="F404" s="521"/>
      <c r="G404" s="242"/>
      <c r="H404" s="257"/>
    </row>
    <row r="405" spans="1:8" s="255" customFormat="1" ht="59.25" customHeight="1">
      <c r="A405" s="261">
        <v>12</v>
      </c>
      <c r="B405" s="275" t="s">
        <v>169</v>
      </c>
      <c r="C405" s="262" t="s">
        <v>129</v>
      </c>
      <c r="D405" s="262" t="s">
        <v>94</v>
      </c>
      <c r="E405" s="262" t="s">
        <v>95</v>
      </c>
      <c r="F405" s="263" t="s">
        <v>96</v>
      </c>
      <c r="G405" s="253"/>
      <c r="H405" s="254">
        <f>H406+H410</f>
        <v>1157.8</v>
      </c>
    </row>
    <row r="406" spans="1:8" s="255" customFormat="1" ht="37.5">
      <c r="A406" s="243"/>
      <c r="B406" s="278" t="s">
        <v>170</v>
      </c>
      <c r="C406" s="130" t="s">
        <v>129</v>
      </c>
      <c r="D406" s="131" t="s">
        <v>97</v>
      </c>
      <c r="E406" s="131" t="s">
        <v>95</v>
      </c>
      <c r="F406" s="132" t="s">
        <v>96</v>
      </c>
      <c r="G406" s="133"/>
      <c r="H406" s="257">
        <f>H407</f>
        <v>184.7</v>
      </c>
    </row>
    <row r="407" spans="1:8" s="255" customFormat="1" ht="37.5">
      <c r="A407" s="243"/>
      <c r="B407" s="256" t="s">
        <v>171</v>
      </c>
      <c r="C407" s="130" t="s">
        <v>129</v>
      </c>
      <c r="D407" s="131" t="s">
        <v>97</v>
      </c>
      <c r="E407" s="131" t="s">
        <v>89</v>
      </c>
      <c r="F407" s="132" t="s">
        <v>96</v>
      </c>
      <c r="G407" s="133"/>
      <c r="H407" s="257">
        <f>H408</f>
        <v>184.7</v>
      </c>
    </row>
    <row r="408" spans="1:8" s="255" customFormat="1" ht="37.5">
      <c r="A408" s="243"/>
      <c r="B408" s="278" t="s">
        <v>172</v>
      </c>
      <c r="C408" s="130" t="s">
        <v>129</v>
      </c>
      <c r="D408" s="131" t="s">
        <v>97</v>
      </c>
      <c r="E408" s="131" t="s">
        <v>89</v>
      </c>
      <c r="F408" s="132" t="s">
        <v>173</v>
      </c>
      <c r="G408" s="133"/>
      <c r="H408" s="257">
        <f>SUM(H409:H409)</f>
        <v>184.7</v>
      </c>
    </row>
    <row r="409" spans="1:8" s="255" customFormat="1" ht="37.5">
      <c r="A409" s="243"/>
      <c r="B409" s="256" t="s">
        <v>107</v>
      </c>
      <c r="C409" s="130" t="s">
        <v>129</v>
      </c>
      <c r="D409" s="131" t="s">
        <v>97</v>
      </c>
      <c r="E409" s="131" t="s">
        <v>89</v>
      </c>
      <c r="F409" s="132" t="s">
        <v>173</v>
      </c>
      <c r="G409" s="133" t="s">
        <v>108</v>
      </c>
      <c r="H409" s="257">
        <f>'прил12(ведом 19)'!M137</f>
        <v>184.7</v>
      </c>
    </row>
    <row r="410" spans="1:8" s="255" customFormat="1" ht="37.5">
      <c r="A410" s="243"/>
      <c r="B410" s="278" t="s">
        <v>174</v>
      </c>
      <c r="C410" s="130" t="s">
        <v>129</v>
      </c>
      <c r="D410" s="131" t="s">
        <v>149</v>
      </c>
      <c r="E410" s="131" t="s">
        <v>95</v>
      </c>
      <c r="F410" s="132" t="s">
        <v>96</v>
      </c>
      <c r="G410" s="133"/>
      <c r="H410" s="257">
        <f>H411</f>
        <v>973.1</v>
      </c>
    </row>
    <row r="411" spans="1:8" s="255" customFormat="1" ht="37.5">
      <c r="A411" s="243"/>
      <c r="B411" s="278" t="s">
        <v>175</v>
      </c>
      <c r="C411" s="130" t="s">
        <v>129</v>
      </c>
      <c r="D411" s="131" t="s">
        <v>149</v>
      </c>
      <c r="E411" s="131" t="s">
        <v>89</v>
      </c>
      <c r="F411" s="132" t="s">
        <v>96</v>
      </c>
      <c r="G411" s="133"/>
      <c r="H411" s="257">
        <f>H412</f>
        <v>973.1</v>
      </c>
    </row>
    <row r="412" spans="1:8" s="255" customFormat="1" ht="75">
      <c r="A412" s="243"/>
      <c r="B412" s="278" t="s">
        <v>176</v>
      </c>
      <c r="C412" s="130" t="s">
        <v>129</v>
      </c>
      <c r="D412" s="131" t="s">
        <v>149</v>
      </c>
      <c r="E412" s="131" t="s">
        <v>89</v>
      </c>
      <c r="F412" s="132" t="s">
        <v>177</v>
      </c>
      <c r="G412" s="133"/>
      <c r="H412" s="257">
        <f>H413</f>
        <v>973.1</v>
      </c>
    </row>
    <row r="413" spans="1:8" ht="37.5">
      <c r="A413" s="243"/>
      <c r="B413" s="256" t="s">
        <v>107</v>
      </c>
      <c r="C413" s="130" t="s">
        <v>129</v>
      </c>
      <c r="D413" s="131" t="s">
        <v>149</v>
      </c>
      <c r="E413" s="131" t="s">
        <v>89</v>
      </c>
      <c r="F413" s="132" t="s">
        <v>177</v>
      </c>
      <c r="G413" s="133" t="s">
        <v>108</v>
      </c>
      <c r="H413" s="257">
        <f>'прил12(ведом 19)'!M141</f>
        <v>973.1</v>
      </c>
    </row>
    <row r="414" spans="1:8" ht="18.75">
      <c r="A414" s="243"/>
      <c r="B414" s="260"/>
      <c r="C414" s="520"/>
      <c r="D414" s="520"/>
      <c r="E414" s="520"/>
      <c r="F414" s="521"/>
      <c r="G414" s="242"/>
      <c r="H414" s="257"/>
    </row>
    <row r="415" spans="1:8" s="255" customFormat="1" ht="60" customHeight="1">
      <c r="A415" s="261">
        <v>13</v>
      </c>
      <c r="B415" s="275" t="s">
        <v>178</v>
      </c>
      <c r="C415" s="262" t="s">
        <v>148</v>
      </c>
      <c r="D415" s="262" t="s">
        <v>94</v>
      </c>
      <c r="E415" s="262" t="s">
        <v>95</v>
      </c>
      <c r="F415" s="263" t="s">
        <v>96</v>
      </c>
      <c r="G415" s="253"/>
      <c r="H415" s="254">
        <f>H416</f>
        <v>1386.9</v>
      </c>
    </row>
    <row r="416" spans="1:8" s="255" customFormat="1" ht="37.5">
      <c r="A416" s="243"/>
      <c r="B416" s="256" t="s">
        <v>455</v>
      </c>
      <c r="C416" s="130" t="s">
        <v>148</v>
      </c>
      <c r="D416" s="131" t="s">
        <v>97</v>
      </c>
      <c r="E416" s="131" t="s">
        <v>95</v>
      </c>
      <c r="F416" s="132" t="s">
        <v>96</v>
      </c>
      <c r="G416" s="133"/>
      <c r="H416" s="257">
        <f>H417</f>
        <v>1386.9</v>
      </c>
    </row>
    <row r="417" spans="1:8" s="255" customFormat="1" ht="56.25">
      <c r="A417" s="243"/>
      <c r="B417" s="278" t="s">
        <v>403</v>
      </c>
      <c r="C417" s="130" t="s">
        <v>148</v>
      </c>
      <c r="D417" s="131" t="s">
        <v>97</v>
      </c>
      <c r="E417" s="131" t="s">
        <v>89</v>
      </c>
      <c r="F417" s="132" t="s">
        <v>96</v>
      </c>
      <c r="G417" s="133"/>
      <c r="H417" s="257">
        <f>H418+H420</f>
        <v>1386.9</v>
      </c>
    </row>
    <row r="418" spans="1:8" s="255" customFormat="1" ht="56.25">
      <c r="A418" s="243"/>
      <c r="B418" s="278" t="s">
        <v>179</v>
      </c>
      <c r="C418" s="130" t="s">
        <v>148</v>
      </c>
      <c r="D418" s="131" t="s">
        <v>97</v>
      </c>
      <c r="E418" s="131" t="s">
        <v>89</v>
      </c>
      <c r="F418" s="132" t="s">
        <v>180</v>
      </c>
      <c r="G418" s="133"/>
      <c r="H418" s="257">
        <f>H419</f>
        <v>607.9</v>
      </c>
    </row>
    <row r="419" spans="1:8" ht="37.5">
      <c r="A419" s="243"/>
      <c r="B419" s="256" t="s">
        <v>107</v>
      </c>
      <c r="C419" s="130" t="s">
        <v>148</v>
      </c>
      <c r="D419" s="131" t="s">
        <v>97</v>
      </c>
      <c r="E419" s="131" t="s">
        <v>89</v>
      </c>
      <c r="F419" s="132" t="s">
        <v>180</v>
      </c>
      <c r="G419" s="133" t="s">
        <v>108</v>
      </c>
      <c r="H419" s="257">
        <f>'прил12(ведом 19)'!M146+'прил12(ведом 19)'!M557</f>
        <v>607.9</v>
      </c>
    </row>
    <row r="420" spans="1:8" ht="56.25">
      <c r="A420" s="243"/>
      <c r="B420" s="219" t="s">
        <v>595</v>
      </c>
      <c r="C420" s="130" t="s">
        <v>148</v>
      </c>
      <c r="D420" s="131" t="s">
        <v>97</v>
      </c>
      <c r="E420" s="131" t="s">
        <v>89</v>
      </c>
      <c r="F420" s="132" t="s">
        <v>594</v>
      </c>
      <c r="G420" s="133"/>
      <c r="H420" s="257">
        <f>H421</f>
        <v>779</v>
      </c>
    </row>
    <row r="421" spans="1:8" ht="37.5">
      <c r="A421" s="243"/>
      <c r="B421" s="219" t="s">
        <v>107</v>
      </c>
      <c r="C421" s="130" t="s">
        <v>148</v>
      </c>
      <c r="D421" s="131" t="s">
        <v>97</v>
      </c>
      <c r="E421" s="131" t="s">
        <v>89</v>
      </c>
      <c r="F421" s="132" t="s">
        <v>594</v>
      </c>
      <c r="G421" s="133" t="s">
        <v>108</v>
      </c>
      <c r="H421" s="257">
        <f>'прил12(ведом 19)'!M148</f>
        <v>779</v>
      </c>
    </row>
    <row r="422" spans="1:8" s="255" customFormat="1" ht="18.75">
      <c r="A422" s="243"/>
      <c r="B422" s="258"/>
      <c r="C422" s="520"/>
      <c r="D422" s="520"/>
      <c r="E422" s="520"/>
      <c r="F422" s="521"/>
      <c r="G422" s="242"/>
      <c r="H422" s="257"/>
    </row>
    <row r="423" spans="1:8" s="255" customFormat="1" ht="75">
      <c r="A423" s="261">
        <v>14</v>
      </c>
      <c r="B423" s="275" t="s">
        <v>130</v>
      </c>
      <c r="C423" s="262" t="s">
        <v>131</v>
      </c>
      <c r="D423" s="262" t="s">
        <v>94</v>
      </c>
      <c r="E423" s="262" t="s">
        <v>95</v>
      </c>
      <c r="F423" s="263" t="s">
        <v>96</v>
      </c>
      <c r="G423" s="253"/>
      <c r="H423" s="254">
        <f>H424</f>
        <v>976.40000000000009</v>
      </c>
    </row>
    <row r="424" spans="1:8" ht="37.5">
      <c r="A424" s="243"/>
      <c r="B424" s="256" t="s">
        <v>455</v>
      </c>
      <c r="C424" s="130" t="s">
        <v>131</v>
      </c>
      <c r="D424" s="131" t="s">
        <v>97</v>
      </c>
      <c r="E424" s="131" t="s">
        <v>95</v>
      </c>
      <c r="F424" s="132" t="s">
        <v>96</v>
      </c>
      <c r="G424" s="133"/>
      <c r="H424" s="257">
        <f>H425</f>
        <v>976.40000000000009</v>
      </c>
    </row>
    <row r="425" spans="1:8" ht="37.5">
      <c r="A425" s="243"/>
      <c r="B425" s="265" t="s">
        <v>343</v>
      </c>
      <c r="C425" s="130" t="s">
        <v>131</v>
      </c>
      <c r="D425" s="131" t="s">
        <v>97</v>
      </c>
      <c r="E425" s="131" t="s">
        <v>89</v>
      </c>
      <c r="F425" s="132" t="s">
        <v>96</v>
      </c>
      <c r="G425" s="133"/>
      <c r="H425" s="257">
        <f>H426</f>
        <v>976.40000000000009</v>
      </c>
    </row>
    <row r="426" spans="1:8" ht="37.5">
      <c r="A426" s="243"/>
      <c r="B426" s="265" t="s">
        <v>132</v>
      </c>
      <c r="C426" s="130" t="s">
        <v>131</v>
      </c>
      <c r="D426" s="131" t="s">
        <v>97</v>
      </c>
      <c r="E426" s="131" t="s">
        <v>89</v>
      </c>
      <c r="F426" s="132" t="s">
        <v>133</v>
      </c>
      <c r="G426" s="133"/>
      <c r="H426" s="257">
        <f>H427</f>
        <v>976.40000000000009</v>
      </c>
    </row>
    <row r="427" spans="1:8" ht="56.25">
      <c r="A427" s="243"/>
      <c r="B427" s="258" t="s">
        <v>134</v>
      </c>
      <c r="C427" s="130" t="s">
        <v>131</v>
      </c>
      <c r="D427" s="131" t="s">
        <v>97</v>
      </c>
      <c r="E427" s="131" t="s">
        <v>89</v>
      </c>
      <c r="F427" s="132" t="s">
        <v>133</v>
      </c>
      <c r="G427" s="133" t="s">
        <v>135</v>
      </c>
      <c r="H427" s="257">
        <f>'прил12(ведом 19)'!M61+'прил12(ведом 19)'!M190</f>
        <v>976.40000000000009</v>
      </c>
    </row>
    <row r="428" spans="1:8" ht="18.75">
      <c r="A428" s="243"/>
      <c r="B428" s="258"/>
      <c r="C428" s="520"/>
      <c r="D428" s="520"/>
      <c r="E428" s="520"/>
      <c r="F428" s="521"/>
      <c r="G428" s="242"/>
      <c r="H428" s="257"/>
    </row>
    <row r="429" spans="1:8" s="255" customFormat="1" ht="56.25">
      <c r="A429" s="261">
        <v>15</v>
      </c>
      <c r="B429" s="275" t="s">
        <v>92</v>
      </c>
      <c r="C429" s="262" t="s">
        <v>93</v>
      </c>
      <c r="D429" s="262" t="s">
        <v>94</v>
      </c>
      <c r="E429" s="262" t="s">
        <v>95</v>
      </c>
      <c r="F429" s="263" t="s">
        <v>96</v>
      </c>
      <c r="G429" s="253"/>
      <c r="H429" s="254">
        <f>H430</f>
        <v>78294.302390000012</v>
      </c>
    </row>
    <row r="430" spans="1:8" s="255" customFormat="1" ht="27" customHeight="1">
      <c r="A430" s="243"/>
      <c r="B430" s="256" t="s">
        <v>455</v>
      </c>
      <c r="C430" s="130" t="s">
        <v>93</v>
      </c>
      <c r="D430" s="131" t="s">
        <v>97</v>
      </c>
      <c r="E430" s="131" t="s">
        <v>95</v>
      </c>
      <c r="F430" s="132" t="s">
        <v>96</v>
      </c>
      <c r="G430" s="133"/>
      <c r="H430" s="257">
        <f>H431+H434+H454+H459+H464+H472+H469</f>
        <v>78294.302390000012</v>
      </c>
    </row>
    <row r="431" spans="1:8" s="255" customFormat="1" ht="37.5">
      <c r="A431" s="243"/>
      <c r="B431" s="256" t="s">
        <v>98</v>
      </c>
      <c r="C431" s="130" t="s">
        <v>93</v>
      </c>
      <c r="D431" s="131" t="s">
        <v>97</v>
      </c>
      <c r="E431" s="131" t="s">
        <v>89</v>
      </c>
      <c r="F431" s="132" t="s">
        <v>96</v>
      </c>
      <c r="G431" s="133"/>
      <c r="H431" s="257">
        <f>H432</f>
        <v>1971.5</v>
      </c>
    </row>
    <row r="432" spans="1:8" s="255" customFormat="1" ht="37.5">
      <c r="A432" s="243"/>
      <c r="B432" s="256" t="s">
        <v>99</v>
      </c>
      <c r="C432" s="130" t="s">
        <v>93</v>
      </c>
      <c r="D432" s="131" t="s">
        <v>97</v>
      </c>
      <c r="E432" s="131" t="s">
        <v>89</v>
      </c>
      <c r="F432" s="132" t="s">
        <v>100</v>
      </c>
      <c r="G432" s="133"/>
      <c r="H432" s="257">
        <f>H433</f>
        <v>1971.5</v>
      </c>
    </row>
    <row r="433" spans="1:8" s="255" customFormat="1" ht="93.75">
      <c r="A433" s="243"/>
      <c r="B433" s="256" t="s">
        <v>101</v>
      </c>
      <c r="C433" s="130" t="s">
        <v>93</v>
      </c>
      <c r="D433" s="131" t="s">
        <v>97</v>
      </c>
      <c r="E433" s="131" t="s">
        <v>89</v>
      </c>
      <c r="F433" s="132" t="s">
        <v>100</v>
      </c>
      <c r="G433" s="133" t="s">
        <v>102</v>
      </c>
      <c r="H433" s="257">
        <f>'прил12(ведом 19)'!M21</f>
        <v>1971.5</v>
      </c>
    </row>
    <row r="434" spans="1:8" s="255" customFormat="1" ht="37.5">
      <c r="A434" s="243"/>
      <c r="B434" s="256" t="s">
        <v>106</v>
      </c>
      <c r="C434" s="130" t="s">
        <v>93</v>
      </c>
      <c r="D434" s="131" t="s">
        <v>97</v>
      </c>
      <c r="E434" s="131" t="s">
        <v>91</v>
      </c>
      <c r="F434" s="132" t="s">
        <v>96</v>
      </c>
      <c r="G434" s="133"/>
      <c r="H434" s="257">
        <f>H435+H443+H445+H447+H450+H452+H441+H439</f>
        <v>62036.602390000007</v>
      </c>
    </row>
    <row r="435" spans="1:8" s="255" customFormat="1" ht="37.5">
      <c r="A435" s="243"/>
      <c r="B435" s="256" t="s">
        <v>99</v>
      </c>
      <c r="C435" s="130" t="s">
        <v>93</v>
      </c>
      <c r="D435" s="131" t="s">
        <v>97</v>
      </c>
      <c r="E435" s="131" t="s">
        <v>91</v>
      </c>
      <c r="F435" s="132" t="s">
        <v>100</v>
      </c>
      <c r="G435" s="133"/>
      <c r="H435" s="257">
        <f>SUM(H436:H438)</f>
        <v>58057.202390000006</v>
      </c>
    </row>
    <row r="436" spans="1:8" s="255" customFormat="1" ht="93.75">
      <c r="A436" s="243"/>
      <c r="B436" s="256" t="s">
        <v>101</v>
      </c>
      <c r="C436" s="130" t="s">
        <v>93</v>
      </c>
      <c r="D436" s="131" t="s">
        <v>97</v>
      </c>
      <c r="E436" s="131" t="s">
        <v>91</v>
      </c>
      <c r="F436" s="132" t="s">
        <v>100</v>
      </c>
      <c r="G436" s="133" t="s">
        <v>102</v>
      </c>
      <c r="H436" s="257">
        <f>'прил12(ведом 19)'!M27</f>
        <v>51501.600000000006</v>
      </c>
    </row>
    <row r="437" spans="1:8" ht="37.5">
      <c r="A437" s="243"/>
      <c r="B437" s="256" t="s">
        <v>107</v>
      </c>
      <c r="C437" s="130" t="s">
        <v>93</v>
      </c>
      <c r="D437" s="131" t="s">
        <v>97</v>
      </c>
      <c r="E437" s="131" t="s">
        <v>91</v>
      </c>
      <c r="F437" s="132" t="s">
        <v>100</v>
      </c>
      <c r="G437" s="133" t="s">
        <v>108</v>
      </c>
      <c r="H437" s="257">
        <f>'прил12(ведом 19)'!M28</f>
        <v>6100.0023899999997</v>
      </c>
    </row>
    <row r="438" spans="1:8" s="255" customFormat="1" ht="18.75">
      <c r="A438" s="243"/>
      <c r="B438" s="256" t="s">
        <v>109</v>
      </c>
      <c r="C438" s="130" t="s">
        <v>93</v>
      </c>
      <c r="D438" s="131" t="s">
        <v>97</v>
      </c>
      <c r="E438" s="131" t="s">
        <v>91</v>
      </c>
      <c r="F438" s="132" t="s">
        <v>100</v>
      </c>
      <c r="G438" s="133" t="s">
        <v>110</v>
      </c>
      <c r="H438" s="257">
        <f>'прил12(ведом 19)'!M29</f>
        <v>455.6</v>
      </c>
    </row>
    <row r="439" spans="1:8" s="255" customFormat="1" ht="18.75">
      <c r="A439" s="243"/>
      <c r="B439" s="219" t="s">
        <v>705</v>
      </c>
      <c r="C439" s="130" t="s">
        <v>93</v>
      </c>
      <c r="D439" s="131" t="s">
        <v>97</v>
      </c>
      <c r="E439" s="131" t="s">
        <v>91</v>
      </c>
      <c r="F439" s="132" t="s">
        <v>704</v>
      </c>
      <c r="G439" s="133"/>
      <c r="H439" s="257">
        <f>H440</f>
        <v>103.9</v>
      </c>
    </row>
    <row r="440" spans="1:8" s="255" customFormat="1" ht="37.5">
      <c r="A440" s="243"/>
      <c r="B440" s="256" t="s">
        <v>107</v>
      </c>
      <c r="C440" s="130" t="s">
        <v>93</v>
      </c>
      <c r="D440" s="131" t="s">
        <v>97</v>
      </c>
      <c r="E440" s="131" t="s">
        <v>91</v>
      </c>
      <c r="F440" s="132" t="s">
        <v>704</v>
      </c>
      <c r="G440" s="133" t="s">
        <v>108</v>
      </c>
      <c r="H440" s="257">
        <f>'прил12(ведом 19)'!M66</f>
        <v>103.9</v>
      </c>
    </row>
    <row r="441" spans="1:8" s="255" customFormat="1" ht="75">
      <c r="A441" s="243"/>
      <c r="B441" s="219" t="s">
        <v>587</v>
      </c>
      <c r="C441" s="130" t="s">
        <v>93</v>
      </c>
      <c r="D441" s="131" t="s">
        <v>97</v>
      </c>
      <c r="E441" s="131" t="s">
        <v>91</v>
      </c>
      <c r="F441" s="132" t="s">
        <v>586</v>
      </c>
      <c r="G441" s="133"/>
      <c r="H441" s="257">
        <f>H442</f>
        <v>10.4</v>
      </c>
    </row>
    <row r="442" spans="1:8" s="255" customFormat="1" ht="37.5">
      <c r="A442" s="243"/>
      <c r="B442" s="219" t="s">
        <v>107</v>
      </c>
      <c r="C442" s="130" t="s">
        <v>93</v>
      </c>
      <c r="D442" s="131" t="s">
        <v>97</v>
      </c>
      <c r="E442" s="131" t="s">
        <v>91</v>
      </c>
      <c r="F442" s="132" t="s">
        <v>586</v>
      </c>
      <c r="G442" s="133" t="s">
        <v>108</v>
      </c>
      <c r="H442" s="257">
        <f>'прил12(ведом 19)'!M49</f>
        <v>10.4</v>
      </c>
    </row>
    <row r="443" spans="1:8" ht="93.75">
      <c r="A443" s="243"/>
      <c r="B443" s="256" t="s">
        <v>116</v>
      </c>
      <c r="C443" s="130" t="s">
        <v>93</v>
      </c>
      <c r="D443" s="131" t="s">
        <v>97</v>
      </c>
      <c r="E443" s="131" t="s">
        <v>91</v>
      </c>
      <c r="F443" s="132" t="s">
        <v>342</v>
      </c>
      <c r="G443" s="133"/>
      <c r="H443" s="257">
        <f>H444</f>
        <v>66</v>
      </c>
    </row>
    <row r="444" spans="1:8" ht="37.5">
      <c r="A444" s="243"/>
      <c r="B444" s="256" t="s">
        <v>107</v>
      </c>
      <c r="C444" s="130" t="s">
        <v>93</v>
      </c>
      <c r="D444" s="131" t="s">
        <v>97</v>
      </c>
      <c r="E444" s="131" t="s">
        <v>91</v>
      </c>
      <c r="F444" s="132" t="s">
        <v>342</v>
      </c>
      <c r="G444" s="133" t="s">
        <v>108</v>
      </c>
      <c r="H444" s="257">
        <f>'прил12(ведом 19)'!M31</f>
        <v>66</v>
      </c>
    </row>
    <row r="445" spans="1:8" ht="170.25" customHeight="1">
      <c r="A445" s="243"/>
      <c r="B445" s="219" t="s">
        <v>695</v>
      </c>
      <c r="C445" s="130" t="s">
        <v>93</v>
      </c>
      <c r="D445" s="131" t="s">
        <v>97</v>
      </c>
      <c r="E445" s="131" t="s">
        <v>91</v>
      </c>
      <c r="F445" s="132" t="s">
        <v>111</v>
      </c>
      <c r="G445" s="133"/>
      <c r="H445" s="257">
        <f>H446</f>
        <v>617.1</v>
      </c>
    </row>
    <row r="446" spans="1:8" ht="93.75">
      <c r="A446" s="243"/>
      <c r="B446" s="256" t="s">
        <v>101</v>
      </c>
      <c r="C446" s="130" t="s">
        <v>93</v>
      </c>
      <c r="D446" s="131" t="s">
        <v>97</v>
      </c>
      <c r="E446" s="131" t="s">
        <v>91</v>
      </c>
      <c r="F446" s="132" t="s">
        <v>111</v>
      </c>
      <c r="G446" s="133" t="s">
        <v>102</v>
      </c>
      <c r="H446" s="257">
        <f>'прил12(ведом 19)'!M33</f>
        <v>617.1</v>
      </c>
    </row>
    <row r="447" spans="1:8" ht="75">
      <c r="A447" s="243"/>
      <c r="B447" s="256" t="s">
        <v>112</v>
      </c>
      <c r="C447" s="130" t="s">
        <v>93</v>
      </c>
      <c r="D447" s="131" t="s">
        <v>97</v>
      </c>
      <c r="E447" s="131" t="s">
        <v>91</v>
      </c>
      <c r="F447" s="132" t="s">
        <v>113</v>
      </c>
      <c r="G447" s="133"/>
      <c r="H447" s="257">
        <f>SUM(H448:H449)</f>
        <v>2498.7000000000003</v>
      </c>
    </row>
    <row r="448" spans="1:8" ht="93.75">
      <c r="A448" s="243"/>
      <c r="B448" s="256" t="s">
        <v>101</v>
      </c>
      <c r="C448" s="130" t="s">
        <v>93</v>
      </c>
      <c r="D448" s="131" t="s">
        <v>97</v>
      </c>
      <c r="E448" s="131" t="s">
        <v>91</v>
      </c>
      <c r="F448" s="132" t="s">
        <v>113</v>
      </c>
      <c r="G448" s="133" t="s">
        <v>102</v>
      </c>
      <c r="H448" s="257">
        <f>'прил12(ведом 19)'!M35</f>
        <v>2399.8000000000002</v>
      </c>
    </row>
    <row r="449" spans="1:8" ht="37.5">
      <c r="A449" s="243"/>
      <c r="B449" s="219" t="s">
        <v>107</v>
      </c>
      <c r="C449" s="130" t="s">
        <v>93</v>
      </c>
      <c r="D449" s="131" t="s">
        <v>97</v>
      </c>
      <c r="E449" s="131" t="s">
        <v>91</v>
      </c>
      <c r="F449" s="132" t="s">
        <v>113</v>
      </c>
      <c r="G449" s="133" t="s">
        <v>108</v>
      </c>
      <c r="H449" s="257">
        <f>'прил12(ведом 19)'!M36</f>
        <v>98.9</v>
      </c>
    </row>
    <row r="450" spans="1:8" ht="56.25">
      <c r="A450" s="243"/>
      <c r="B450" s="256" t="s">
        <v>114</v>
      </c>
      <c r="C450" s="130" t="s">
        <v>93</v>
      </c>
      <c r="D450" s="131" t="s">
        <v>97</v>
      </c>
      <c r="E450" s="131" t="s">
        <v>91</v>
      </c>
      <c r="F450" s="132" t="s">
        <v>115</v>
      </c>
      <c r="G450" s="133"/>
      <c r="H450" s="257">
        <f>H451</f>
        <v>617.29999999999995</v>
      </c>
    </row>
    <row r="451" spans="1:8" ht="93.75">
      <c r="A451" s="243"/>
      <c r="B451" s="256" t="s">
        <v>101</v>
      </c>
      <c r="C451" s="130" t="s">
        <v>93</v>
      </c>
      <c r="D451" s="131" t="s">
        <v>97</v>
      </c>
      <c r="E451" s="131" t="s">
        <v>91</v>
      </c>
      <c r="F451" s="132" t="s">
        <v>115</v>
      </c>
      <c r="G451" s="133" t="s">
        <v>102</v>
      </c>
      <c r="H451" s="257">
        <f>'прил12(ведом 19)'!M38</f>
        <v>617.29999999999995</v>
      </c>
    </row>
    <row r="452" spans="1:8" ht="18.75">
      <c r="A452" s="243"/>
      <c r="B452" s="219" t="s">
        <v>540</v>
      </c>
      <c r="C452" s="130" t="s">
        <v>93</v>
      </c>
      <c r="D452" s="131" t="s">
        <v>97</v>
      </c>
      <c r="E452" s="131" t="s">
        <v>91</v>
      </c>
      <c r="F452" s="132" t="s">
        <v>539</v>
      </c>
      <c r="G452" s="133"/>
      <c r="H452" s="257">
        <f>H453</f>
        <v>66</v>
      </c>
    </row>
    <row r="453" spans="1:8" ht="37.5">
      <c r="A453" s="243"/>
      <c r="B453" s="219" t="s">
        <v>107</v>
      </c>
      <c r="C453" s="130" t="s">
        <v>93</v>
      </c>
      <c r="D453" s="131" t="s">
        <v>97</v>
      </c>
      <c r="E453" s="131" t="s">
        <v>91</v>
      </c>
      <c r="F453" s="132" t="s">
        <v>539</v>
      </c>
      <c r="G453" s="133" t="s">
        <v>108</v>
      </c>
      <c r="H453" s="257">
        <f>'прил12(ведом 19)'!M40</f>
        <v>66</v>
      </c>
    </row>
    <row r="454" spans="1:8" ht="18.75">
      <c r="A454" s="243"/>
      <c r="B454" s="256" t="s">
        <v>117</v>
      </c>
      <c r="C454" s="130" t="s">
        <v>93</v>
      </c>
      <c r="D454" s="131" t="s">
        <v>97</v>
      </c>
      <c r="E454" s="131" t="s">
        <v>118</v>
      </c>
      <c r="F454" s="132" t="s">
        <v>96</v>
      </c>
      <c r="G454" s="133"/>
      <c r="H454" s="257">
        <f>H455+H457</f>
        <v>974.80000000000007</v>
      </c>
    </row>
    <row r="455" spans="1:8" ht="37.5">
      <c r="A455" s="243"/>
      <c r="B455" s="256" t="s">
        <v>99</v>
      </c>
      <c r="C455" s="130" t="s">
        <v>93</v>
      </c>
      <c r="D455" s="131" t="s">
        <v>97</v>
      </c>
      <c r="E455" s="131" t="s">
        <v>118</v>
      </c>
      <c r="F455" s="132" t="s">
        <v>100</v>
      </c>
      <c r="G455" s="133"/>
      <c r="H455" s="257">
        <f>H456</f>
        <v>63.6</v>
      </c>
    </row>
    <row r="456" spans="1:8" ht="37.5">
      <c r="A456" s="243"/>
      <c r="B456" s="256" t="s">
        <v>107</v>
      </c>
      <c r="C456" s="130" t="s">
        <v>93</v>
      </c>
      <c r="D456" s="131" t="s">
        <v>97</v>
      </c>
      <c r="E456" s="131" t="s">
        <v>118</v>
      </c>
      <c r="F456" s="132" t="s">
        <v>100</v>
      </c>
      <c r="G456" s="133" t="s">
        <v>108</v>
      </c>
      <c r="H456" s="257">
        <f>'прил12(ведом 19)'!M43</f>
        <v>63.6</v>
      </c>
    </row>
    <row r="457" spans="1:8" ht="56.25">
      <c r="A457" s="243"/>
      <c r="B457" s="219" t="s">
        <v>567</v>
      </c>
      <c r="C457" s="130" t="s">
        <v>93</v>
      </c>
      <c r="D457" s="131" t="s">
        <v>97</v>
      </c>
      <c r="E457" s="131" t="s">
        <v>118</v>
      </c>
      <c r="F457" s="132" t="s">
        <v>566</v>
      </c>
      <c r="G457" s="133"/>
      <c r="H457" s="257">
        <f>H458</f>
        <v>911.2</v>
      </c>
    </row>
    <row r="458" spans="1:8" ht="37.5">
      <c r="A458" s="243"/>
      <c r="B458" s="219" t="s">
        <v>107</v>
      </c>
      <c r="C458" s="130" t="s">
        <v>93</v>
      </c>
      <c r="D458" s="131" t="s">
        <v>97</v>
      </c>
      <c r="E458" s="131" t="s">
        <v>118</v>
      </c>
      <c r="F458" s="132" t="s">
        <v>566</v>
      </c>
      <c r="G458" s="133" t="s">
        <v>108</v>
      </c>
      <c r="H458" s="257">
        <f>'прил12(ведом 19)'!M69</f>
        <v>911.2</v>
      </c>
    </row>
    <row r="459" spans="1:8" ht="18.75">
      <c r="A459" s="243"/>
      <c r="B459" s="256" t="s">
        <v>119</v>
      </c>
      <c r="C459" s="130" t="s">
        <v>93</v>
      </c>
      <c r="D459" s="131" t="s">
        <v>97</v>
      </c>
      <c r="E459" s="131" t="s">
        <v>104</v>
      </c>
      <c r="F459" s="132" t="s">
        <v>96</v>
      </c>
      <c r="G459" s="133"/>
      <c r="H459" s="257">
        <f>H460+H462</f>
        <v>2142.9</v>
      </c>
    </row>
    <row r="460" spans="1:8" ht="56.25">
      <c r="A460" s="243"/>
      <c r="B460" s="278" t="s">
        <v>484</v>
      </c>
      <c r="C460" s="130" t="s">
        <v>93</v>
      </c>
      <c r="D460" s="131" t="s">
        <v>97</v>
      </c>
      <c r="E460" s="131" t="s">
        <v>104</v>
      </c>
      <c r="F460" s="132" t="s">
        <v>167</v>
      </c>
      <c r="G460" s="133"/>
      <c r="H460" s="257">
        <f>H461</f>
        <v>185.3</v>
      </c>
    </row>
    <row r="461" spans="1:8" ht="37.5">
      <c r="A461" s="243"/>
      <c r="B461" s="256" t="s">
        <v>107</v>
      </c>
      <c r="C461" s="130" t="s">
        <v>93</v>
      </c>
      <c r="D461" s="131" t="s">
        <v>97</v>
      </c>
      <c r="E461" s="131" t="s">
        <v>104</v>
      </c>
      <c r="F461" s="132" t="s">
        <v>167</v>
      </c>
      <c r="G461" s="133" t="s">
        <v>108</v>
      </c>
      <c r="H461" s="257">
        <f>'прил12(ведом 19)'!M72</f>
        <v>185.3</v>
      </c>
    </row>
    <row r="462" spans="1:8" ht="56.25">
      <c r="A462" s="243"/>
      <c r="B462" s="256" t="s">
        <v>486</v>
      </c>
      <c r="C462" s="130" t="s">
        <v>93</v>
      </c>
      <c r="D462" s="131" t="s">
        <v>97</v>
      </c>
      <c r="E462" s="131" t="s">
        <v>104</v>
      </c>
      <c r="F462" s="132" t="s">
        <v>485</v>
      </c>
      <c r="G462" s="133"/>
      <c r="H462" s="257">
        <f>H463</f>
        <v>1957.6</v>
      </c>
    </row>
    <row r="463" spans="1:8" ht="37.5">
      <c r="A463" s="243"/>
      <c r="B463" s="256" t="s">
        <v>107</v>
      </c>
      <c r="C463" s="130" t="s">
        <v>93</v>
      </c>
      <c r="D463" s="131" t="s">
        <v>97</v>
      </c>
      <c r="E463" s="131" t="s">
        <v>104</v>
      </c>
      <c r="F463" s="132" t="s">
        <v>485</v>
      </c>
      <c r="G463" s="133" t="s">
        <v>108</v>
      </c>
      <c r="H463" s="257">
        <f>'прил12(ведом 19)'!M74</f>
        <v>1957.6</v>
      </c>
    </row>
    <row r="464" spans="1:8" ht="75">
      <c r="A464" s="280"/>
      <c r="B464" s="285" t="s">
        <v>392</v>
      </c>
      <c r="C464" s="268" t="s">
        <v>93</v>
      </c>
      <c r="D464" s="224" t="s">
        <v>97</v>
      </c>
      <c r="E464" s="224" t="s">
        <v>140</v>
      </c>
      <c r="F464" s="225" t="s">
        <v>96</v>
      </c>
      <c r="G464" s="226"/>
      <c r="H464" s="257">
        <f>H465</f>
        <v>5143.2</v>
      </c>
    </row>
    <row r="465" spans="1:8" ht="75">
      <c r="A465" s="280"/>
      <c r="B465" s="285" t="s">
        <v>150</v>
      </c>
      <c r="C465" s="268" t="s">
        <v>93</v>
      </c>
      <c r="D465" s="224" t="s">
        <v>97</v>
      </c>
      <c r="E465" s="224" t="s">
        <v>140</v>
      </c>
      <c r="F465" s="225" t="s">
        <v>152</v>
      </c>
      <c r="G465" s="226"/>
      <c r="H465" s="257">
        <f>SUM(H466:H468)</f>
        <v>5143.2</v>
      </c>
    </row>
    <row r="466" spans="1:8" ht="93.75">
      <c r="A466" s="280"/>
      <c r="B466" s="285" t="s">
        <v>101</v>
      </c>
      <c r="C466" s="268" t="s">
        <v>93</v>
      </c>
      <c r="D466" s="224" t="s">
        <v>97</v>
      </c>
      <c r="E466" s="224" t="s">
        <v>140</v>
      </c>
      <c r="F466" s="225" t="s">
        <v>152</v>
      </c>
      <c r="G466" s="226" t="s">
        <v>102</v>
      </c>
      <c r="H466" s="257">
        <f>'прил12(ведом 19)'!M299</f>
        <v>4547.4809999999998</v>
      </c>
    </row>
    <row r="467" spans="1:8" ht="37.5">
      <c r="A467" s="280"/>
      <c r="B467" s="256" t="s">
        <v>107</v>
      </c>
      <c r="C467" s="268" t="s">
        <v>93</v>
      </c>
      <c r="D467" s="224" t="s">
        <v>97</v>
      </c>
      <c r="E467" s="224" t="s">
        <v>140</v>
      </c>
      <c r="F467" s="225" t="s">
        <v>152</v>
      </c>
      <c r="G467" s="226" t="s">
        <v>108</v>
      </c>
      <c r="H467" s="257">
        <f>'прил12(ведом 19)'!M300</f>
        <v>595.61899999999991</v>
      </c>
    </row>
    <row r="468" spans="1:8" ht="18.75">
      <c r="A468" s="280"/>
      <c r="B468" s="222" t="s">
        <v>109</v>
      </c>
      <c r="C468" s="268" t="s">
        <v>93</v>
      </c>
      <c r="D468" s="224" t="s">
        <v>97</v>
      </c>
      <c r="E468" s="224" t="s">
        <v>140</v>
      </c>
      <c r="F468" s="225" t="s">
        <v>152</v>
      </c>
      <c r="G468" s="226" t="s">
        <v>110</v>
      </c>
      <c r="H468" s="257">
        <f>'прил12(ведом 19)'!M301</f>
        <v>0.1</v>
      </c>
    </row>
    <row r="469" spans="1:8" ht="56.25">
      <c r="A469" s="280"/>
      <c r="B469" s="311" t="s">
        <v>561</v>
      </c>
      <c r="C469" s="130" t="s">
        <v>93</v>
      </c>
      <c r="D469" s="131" t="s">
        <v>97</v>
      </c>
      <c r="E469" s="131" t="s">
        <v>138</v>
      </c>
      <c r="F469" s="132" t="s">
        <v>96</v>
      </c>
      <c r="G469" s="133"/>
      <c r="H469" s="257">
        <f>H470</f>
        <v>14.3</v>
      </c>
    </row>
    <row r="470" spans="1:8" ht="18.75">
      <c r="A470" s="280"/>
      <c r="B470" s="311" t="s">
        <v>562</v>
      </c>
      <c r="C470" s="130" t="s">
        <v>93</v>
      </c>
      <c r="D470" s="131" t="s">
        <v>97</v>
      </c>
      <c r="E470" s="131" t="s">
        <v>138</v>
      </c>
      <c r="F470" s="132" t="s">
        <v>563</v>
      </c>
      <c r="G470" s="133"/>
      <c r="H470" s="257">
        <f>H471</f>
        <v>14.3</v>
      </c>
    </row>
    <row r="471" spans="1:8" ht="37.5">
      <c r="A471" s="280"/>
      <c r="B471" s="311" t="s">
        <v>564</v>
      </c>
      <c r="C471" s="130" t="s">
        <v>93</v>
      </c>
      <c r="D471" s="131" t="s">
        <v>97</v>
      </c>
      <c r="E471" s="131" t="s">
        <v>138</v>
      </c>
      <c r="F471" s="132" t="s">
        <v>563</v>
      </c>
      <c r="G471" s="133" t="s">
        <v>565</v>
      </c>
      <c r="H471" s="257">
        <f>'прил12(ведом 19)'!M197</f>
        <v>14.3</v>
      </c>
    </row>
    <row r="472" spans="1:8" ht="37.5">
      <c r="A472" s="280"/>
      <c r="B472" s="219" t="s">
        <v>439</v>
      </c>
      <c r="C472" s="130" t="s">
        <v>93</v>
      </c>
      <c r="D472" s="131" t="s">
        <v>97</v>
      </c>
      <c r="E472" s="131" t="s">
        <v>148</v>
      </c>
      <c r="F472" s="132" t="s">
        <v>96</v>
      </c>
      <c r="G472" s="226"/>
      <c r="H472" s="257">
        <f>H479+H473+H477</f>
        <v>6011</v>
      </c>
    </row>
    <row r="473" spans="1:8" ht="75">
      <c r="A473" s="280"/>
      <c r="B473" s="310" t="s">
        <v>150</v>
      </c>
      <c r="C473" s="130" t="s">
        <v>93</v>
      </c>
      <c r="D473" s="131" t="s">
        <v>97</v>
      </c>
      <c r="E473" s="131" t="s">
        <v>148</v>
      </c>
      <c r="F473" s="132" t="s">
        <v>152</v>
      </c>
      <c r="G473" s="133"/>
      <c r="H473" s="257">
        <f>SUM(H474:H476)</f>
        <v>4507.1000000000004</v>
      </c>
    </row>
    <row r="474" spans="1:8" ht="93.75">
      <c r="A474" s="280"/>
      <c r="B474" s="219" t="s">
        <v>101</v>
      </c>
      <c r="C474" s="130" t="s">
        <v>93</v>
      </c>
      <c r="D474" s="131" t="s">
        <v>97</v>
      </c>
      <c r="E474" s="131" t="s">
        <v>148</v>
      </c>
      <c r="F474" s="132" t="s">
        <v>152</v>
      </c>
      <c r="G474" s="133" t="s">
        <v>102</v>
      </c>
      <c r="H474" s="257">
        <f>'прил12(ведом 19)'!M153</f>
        <v>4158.7</v>
      </c>
    </row>
    <row r="475" spans="1:8" ht="37.5">
      <c r="A475" s="280"/>
      <c r="B475" s="219" t="s">
        <v>107</v>
      </c>
      <c r="C475" s="130" t="s">
        <v>93</v>
      </c>
      <c r="D475" s="131" t="s">
        <v>97</v>
      </c>
      <c r="E475" s="131" t="s">
        <v>148</v>
      </c>
      <c r="F475" s="132" t="s">
        <v>152</v>
      </c>
      <c r="G475" s="133" t="s">
        <v>108</v>
      </c>
      <c r="H475" s="257">
        <f>'прил12(ведом 19)'!M154</f>
        <v>299.8</v>
      </c>
    </row>
    <row r="476" spans="1:8" ht="18.75">
      <c r="A476" s="280"/>
      <c r="B476" s="219" t="s">
        <v>109</v>
      </c>
      <c r="C476" s="130" t="s">
        <v>93</v>
      </c>
      <c r="D476" s="131" t="s">
        <v>97</v>
      </c>
      <c r="E476" s="131" t="s">
        <v>148</v>
      </c>
      <c r="F476" s="132" t="s">
        <v>152</v>
      </c>
      <c r="G476" s="133" t="s">
        <v>110</v>
      </c>
      <c r="H476" s="257">
        <f>'прил12(ведом 19)'!M155</f>
        <v>48.6</v>
      </c>
    </row>
    <row r="477" spans="1:8" ht="37.5">
      <c r="A477" s="280"/>
      <c r="B477" s="219" t="s">
        <v>743</v>
      </c>
      <c r="C477" s="130" t="s">
        <v>93</v>
      </c>
      <c r="D477" s="131" t="s">
        <v>97</v>
      </c>
      <c r="E477" s="131" t="s">
        <v>148</v>
      </c>
      <c r="F477" s="132" t="s">
        <v>742</v>
      </c>
      <c r="G477" s="133"/>
      <c r="H477" s="257">
        <f>H478</f>
        <v>1300</v>
      </c>
    </row>
    <row r="478" spans="1:8" ht="37.5">
      <c r="A478" s="280"/>
      <c r="B478" s="219" t="s">
        <v>107</v>
      </c>
      <c r="C478" s="130" t="s">
        <v>93</v>
      </c>
      <c r="D478" s="131" t="s">
        <v>97</v>
      </c>
      <c r="E478" s="131" t="s">
        <v>148</v>
      </c>
      <c r="F478" s="132" t="s">
        <v>742</v>
      </c>
      <c r="G478" s="133" t="s">
        <v>108</v>
      </c>
      <c r="H478" s="257">
        <f>'прил12(ведом 19)'!M157</f>
        <v>1300</v>
      </c>
    </row>
    <row r="479" spans="1:8" ht="56.25">
      <c r="A479" s="280"/>
      <c r="B479" s="219" t="s">
        <v>568</v>
      </c>
      <c r="C479" s="130" t="s">
        <v>93</v>
      </c>
      <c r="D479" s="131" t="s">
        <v>97</v>
      </c>
      <c r="E479" s="131" t="s">
        <v>148</v>
      </c>
      <c r="F479" s="132" t="s">
        <v>440</v>
      </c>
      <c r="G479" s="133"/>
      <c r="H479" s="257">
        <f>H480</f>
        <v>203.89999999999998</v>
      </c>
    </row>
    <row r="480" spans="1:8" ht="18.75">
      <c r="A480" s="280"/>
      <c r="B480" s="256" t="s">
        <v>185</v>
      </c>
      <c r="C480" s="130" t="s">
        <v>93</v>
      </c>
      <c r="D480" s="131" t="s">
        <v>97</v>
      </c>
      <c r="E480" s="131" t="s">
        <v>148</v>
      </c>
      <c r="F480" s="132" t="s">
        <v>440</v>
      </c>
      <c r="G480" s="133" t="s">
        <v>186</v>
      </c>
      <c r="H480" s="257">
        <f>'прил12(ведом 19)'!M159</f>
        <v>203.89999999999998</v>
      </c>
    </row>
    <row r="481" spans="1:8" ht="18.75">
      <c r="A481" s="280"/>
      <c r="B481" s="256"/>
      <c r="C481" s="131"/>
      <c r="D481" s="131"/>
      <c r="E481" s="131"/>
      <c r="F481" s="132"/>
      <c r="G481" s="133"/>
      <c r="H481" s="257"/>
    </row>
    <row r="482" spans="1:8" ht="56.25">
      <c r="A482" s="261">
        <v>16</v>
      </c>
      <c r="B482" s="282" t="s">
        <v>306</v>
      </c>
      <c r="C482" s="262" t="s">
        <v>307</v>
      </c>
      <c r="D482" s="262" t="s">
        <v>94</v>
      </c>
      <c r="E482" s="262" t="s">
        <v>95</v>
      </c>
      <c r="F482" s="263" t="s">
        <v>96</v>
      </c>
      <c r="G482" s="253"/>
      <c r="H482" s="254">
        <f>H483</f>
        <v>90.6</v>
      </c>
    </row>
    <row r="483" spans="1:8" ht="29.25" customHeight="1">
      <c r="A483" s="243"/>
      <c r="B483" s="256" t="s">
        <v>455</v>
      </c>
      <c r="C483" s="130" t="s">
        <v>307</v>
      </c>
      <c r="D483" s="131" t="s">
        <v>97</v>
      </c>
      <c r="E483" s="131" t="s">
        <v>95</v>
      </c>
      <c r="F483" s="132" t="s">
        <v>96</v>
      </c>
      <c r="G483" s="133"/>
      <c r="H483" s="257">
        <f>H484</f>
        <v>90.6</v>
      </c>
    </row>
    <row r="484" spans="1:8" ht="56.25">
      <c r="A484" s="243"/>
      <c r="B484" s="256" t="s">
        <v>365</v>
      </c>
      <c r="C484" s="130" t="s">
        <v>307</v>
      </c>
      <c r="D484" s="131" t="s">
        <v>97</v>
      </c>
      <c r="E484" s="131" t="s">
        <v>89</v>
      </c>
      <c r="F484" s="132" t="s">
        <v>96</v>
      </c>
      <c r="G484" s="133"/>
      <c r="H484" s="257">
        <f>H485</f>
        <v>90.6</v>
      </c>
    </row>
    <row r="485" spans="1:8" ht="37.5">
      <c r="A485" s="243"/>
      <c r="B485" s="256" t="s">
        <v>308</v>
      </c>
      <c r="C485" s="130" t="s">
        <v>307</v>
      </c>
      <c r="D485" s="131" t="s">
        <v>97</v>
      </c>
      <c r="E485" s="131" t="s">
        <v>89</v>
      </c>
      <c r="F485" s="132" t="s">
        <v>359</v>
      </c>
      <c r="G485" s="133"/>
      <c r="H485" s="257">
        <f>H486</f>
        <v>90.6</v>
      </c>
    </row>
    <row r="486" spans="1:8" ht="56.25">
      <c r="A486" s="243"/>
      <c r="B486" s="256" t="s">
        <v>134</v>
      </c>
      <c r="C486" s="130" t="s">
        <v>307</v>
      </c>
      <c r="D486" s="131" t="s">
        <v>97</v>
      </c>
      <c r="E486" s="131" t="s">
        <v>89</v>
      </c>
      <c r="F486" s="132" t="s">
        <v>359</v>
      </c>
      <c r="G486" s="133" t="s">
        <v>135</v>
      </c>
      <c r="H486" s="257">
        <f>'прил12(ведом 19)'!M388</f>
        <v>90.6</v>
      </c>
    </row>
    <row r="487" spans="1:8" ht="18.75">
      <c r="A487" s="280"/>
      <c r="B487" s="256"/>
      <c r="C487" s="131"/>
      <c r="D487" s="131"/>
      <c r="E487" s="131"/>
      <c r="F487" s="131"/>
      <c r="G487" s="133"/>
      <c r="H487" s="257"/>
    </row>
    <row r="488" spans="1:8" ht="37.5">
      <c r="A488" s="261">
        <v>17</v>
      </c>
      <c r="B488" s="313" t="s">
        <v>192</v>
      </c>
      <c r="C488" s="262" t="s">
        <v>193</v>
      </c>
      <c r="D488" s="262" t="s">
        <v>94</v>
      </c>
      <c r="E488" s="262" t="s">
        <v>95</v>
      </c>
      <c r="F488" s="262" t="s">
        <v>96</v>
      </c>
      <c r="G488" s="253"/>
      <c r="H488" s="254">
        <f>H489</f>
        <v>3999.2000000000003</v>
      </c>
    </row>
    <row r="489" spans="1:8" ht="56.25">
      <c r="A489" s="243"/>
      <c r="B489" s="265" t="s">
        <v>195</v>
      </c>
      <c r="C489" s="130" t="s">
        <v>193</v>
      </c>
      <c r="D489" s="131" t="s">
        <v>97</v>
      </c>
      <c r="E489" s="131" t="s">
        <v>95</v>
      </c>
      <c r="F489" s="132" t="s">
        <v>96</v>
      </c>
      <c r="G489" s="133"/>
      <c r="H489" s="257">
        <f>H490+H493+H498</f>
        <v>3999.2000000000003</v>
      </c>
    </row>
    <row r="490" spans="1:8" ht="37.5">
      <c r="A490" s="243"/>
      <c r="B490" s="256" t="s">
        <v>194</v>
      </c>
      <c r="C490" s="130" t="s">
        <v>193</v>
      </c>
      <c r="D490" s="131" t="s">
        <v>97</v>
      </c>
      <c r="E490" s="131" t="s">
        <v>89</v>
      </c>
      <c r="F490" s="132" t="s">
        <v>96</v>
      </c>
      <c r="G490" s="133"/>
      <c r="H490" s="257">
        <f>H491</f>
        <v>1182.7</v>
      </c>
    </row>
    <row r="491" spans="1:8" ht="37.5">
      <c r="A491" s="243"/>
      <c r="B491" s="256" t="s">
        <v>99</v>
      </c>
      <c r="C491" s="130" t="s">
        <v>193</v>
      </c>
      <c r="D491" s="131" t="s">
        <v>97</v>
      </c>
      <c r="E491" s="131" t="s">
        <v>89</v>
      </c>
      <c r="F491" s="132" t="s">
        <v>100</v>
      </c>
      <c r="G491" s="133"/>
      <c r="H491" s="257">
        <f>H492</f>
        <v>1182.7</v>
      </c>
    </row>
    <row r="492" spans="1:8" ht="93.75">
      <c r="A492" s="243"/>
      <c r="B492" s="265" t="s">
        <v>101</v>
      </c>
      <c r="C492" s="130" t="s">
        <v>193</v>
      </c>
      <c r="D492" s="131" t="s">
        <v>97</v>
      </c>
      <c r="E492" s="131" t="s">
        <v>89</v>
      </c>
      <c r="F492" s="132" t="s">
        <v>100</v>
      </c>
      <c r="G492" s="133" t="s">
        <v>102</v>
      </c>
      <c r="H492" s="257">
        <f>'прил12(ведом 19)'!M246</f>
        <v>1182.7</v>
      </c>
    </row>
    <row r="493" spans="1:8" ht="37.5">
      <c r="A493" s="243"/>
      <c r="B493" s="256" t="s">
        <v>196</v>
      </c>
      <c r="C493" s="130" t="s">
        <v>193</v>
      </c>
      <c r="D493" s="131" t="s">
        <v>97</v>
      </c>
      <c r="E493" s="131" t="s">
        <v>91</v>
      </c>
      <c r="F493" s="132" t="s">
        <v>96</v>
      </c>
      <c r="G493" s="133"/>
      <c r="H493" s="257">
        <f>H494</f>
        <v>1952.9</v>
      </c>
    </row>
    <row r="494" spans="1:8" ht="37.5">
      <c r="A494" s="243"/>
      <c r="B494" s="256" t="s">
        <v>99</v>
      </c>
      <c r="C494" s="130" t="s">
        <v>193</v>
      </c>
      <c r="D494" s="131" t="s">
        <v>97</v>
      </c>
      <c r="E494" s="131" t="s">
        <v>91</v>
      </c>
      <c r="F494" s="132" t="s">
        <v>100</v>
      </c>
      <c r="G494" s="133"/>
      <c r="H494" s="257">
        <f>SUM(H495:H497)</f>
        <v>1952.9</v>
      </c>
    </row>
    <row r="495" spans="1:8" ht="93.75">
      <c r="A495" s="243"/>
      <c r="B495" s="256" t="s">
        <v>101</v>
      </c>
      <c r="C495" s="130" t="s">
        <v>193</v>
      </c>
      <c r="D495" s="131" t="s">
        <v>97</v>
      </c>
      <c r="E495" s="131" t="s">
        <v>91</v>
      </c>
      <c r="F495" s="132" t="s">
        <v>100</v>
      </c>
      <c r="G495" s="133" t="s">
        <v>102</v>
      </c>
      <c r="H495" s="257">
        <f>'прил12(ведом 19)'!M249</f>
        <v>1759.077</v>
      </c>
    </row>
    <row r="496" spans="1:8" ht="37.5">
      <c r="A496" s="243"/>
      <c r="B496" s="256" t="s">
        <v>107</v>
      </c>
      <c r="C496" s="130" t="s">
        <v>193</v>
      </c>
      <c r="D496" s="131" t="s">
        <v>97</v>
      </c>
      <c r="E496" s="131" t="s">
        <v>91</v>
      </c>
      <c r="F496" s="132" t="s">
        <v>100</v>
      </c>
      <c r="G496" s="133" t="s">
        <v>108</v>
      </c>
      <c r="H496" s="257">
        <f>'прил12(ведом 19)'!M250</f>
        <v>183.82300000000001</v>
      </c>
    </row>
    <row r="497" spans="1:8" ht="18.75">
      <c r="A497" s="243"/>
      <c r="B497" s="256" t="s">
        <v>109</v>
      </c>
      <c r="C497" s="130" t="s">
        <v>193</v>
      </c>
      <c r="D497" s="131" t="s">
        <v>97</v>
      </c>
      <c r="E497" s="131" t="s">
        <v>91</v>
      </c>
      <c r="F497" s="132" t="s">
        <v>100</v>
      </c>
      <c r="G497" s="133" t="s">
        <v>110</v>
      </c>
      <c r="H497" s="257">
        <f>'прил12(ведом 19)'!M251</f>
        <v>10</v>
      </c>
    </row>
    <row r="498" spans="1:8" ht="56.25">
      <c r="A498" s="243"/>
      <c r="B498" s="256" t="s">
        <v>430</v>
      </c>
      <c r="C498" s="130" t="s">
        <v>193</v>
      </c>
      <c r="D498" s="131" t="s">
        <v>97</v>
      </c>
      <c r="E498" s="131" t="s">
        <v>118</v>
      </c>
      <c r="F498" s="132" t="s">
        <v>96</v>
      </c>
      <c r="G498" s="133"/>
      <c r="H498" s="257">
        <f>H499</f>
        <v>863.6</v>
      </c>
    </row>
    <row r="499" spans="1:8" ht="37.5">
      <c r="A499" s="243"/>
      <c r="B499" s="256" t="s">
        <v>309</v>
      </c>
      <c r="C499" s="130" t="s">
        <v>193</v>
      </c>
      <c r="D499" s="131" t="s">
        <v>97</v>
      </c>
      <c r="E499" s="131" t="s">
        <v>118</v>
      </c>
      <c r="F499" s="132" t="s">
        <v>197</v>
      </c>
      <c r="G499" s="133"/>
      <c r="H499" s="257">
        <f>SUM(H500:H500)</f>
        <v>863.6</v>
      </c>
    </row>
    <row r="500" spans="1:8" ht="93.75">
      <c r="A500" s="243"/>
      <c r="B500" s="256" t="s">
        <v>101</v>
      </c>
      <c r="C500" s="130" t="s">
        <v>193</v>
      </c>
      <c r="D500" s="131" t="s">
        <v>97</v>
      </c>
      <c r="E500" s="131" t="s">
        <v>118</v>
      </c>
      <c r="F500" s="132" t="s">
        <v>197</v>
      </c>
      <c r="G500" s="133" t="s">
        <v>102</v>
      </c>
      <c r="H500" s="257">
        <f>'прил12(ведом 19)'!M254</f>
        <v>863.6</v>
      </c>
    </row>
    <row r="501" spans="1:8" ht="18.75">
      <c r="A501" s="243"/>
      <c r="B501" s="260"/>
      <c r="C501" s="520"/>
      <c r="D501" s="520"/>
      <c r="E501" s="520"/>
      <c r="F501" s="520"/>
      <c r="G501" s="242"/>
      <c r="H501" s="257"/>
    </row>
    <row r="502" spans="1:8" s="255" customFormat="1" ht="37.5">
      <c r="A502" s="261">
        <v>18</v>
      </c>
      <c r="B502" s="313" t="s">
        <v>123</v>
      </c>
      <c r="C502" s="262" t="s">
        <v>124</v>
      </c>
      <c r="D502" s="262" t="s">
        <v>94</v>
      </c>
      <c r="E502" s="262" t="s">
        <v>95</v>
      </c>
      <c r="F502" s="262" t="s">
        <v>96</v>
      </c>
      <c r="G502" s="253"/>
      <c r="H502" s="254">
        <f>H503</f>
        <v>5226.5999999999995</v>
      </c>
    </row>
    <row r="503" spans="1:8" ht="37.5">
      <c r="A503" s="243"/>
      <c r="B503" s="265" t="s">
        <v>125</v>
      </c>
      <c r="C503" s="130" t="s">
        <v>124</v>
      </c>
      <c r="D503" s="131" t="s">
        <v>97</v>
      </c>
      <c r="E503" s="131" t="s">
        <v>95</v>
      </c>
      <c r="F503" s="132" t="s">
        <v>96</v>
      </c>
      <c r="G503" s="133"/>
      <c r="H503" s="257">
        <f>H504</f>
        <v>5226.5999999999995</v>
      </c>
    </row>
    <row r="504" spans="1:8" ht="18.75">
      <c r="A504" s="243"/>
      <c r="B504" s="256" t="s">
        <v>121</v>
      </c>
      <c r="C504" s="130" t="s">
        <v>124</v>
      </c>
      <c r="D504" s="131" t="s">
        <v>97</v>
      </c>
      <c r="E504" s="131" t="s">
        <v>89</v>
      </c>
      <c r="F504" s="132" t="s">
        <v>96</v>
      </c>
      <c r="G504" s="133"/>
      <c r="H504" s="257">
        <f>H505+H507</f>
        <v>5226.5999999999995</v>
      </c>
    </row>
    <row r="505" spans="1:8" ht="18.75">
      <c r="A505" s="243"/>
      <c r="B505" s="256" t="s">
        <v>126</v>
      </c>
      <c r="C505" s="130" t="s">
        <v>124</v>
      </c>
      <c r="D505" s="131" t="s">
        <v>97</v>
      </c>
      <c r="E505" s="131" t="s">
        <v>89</v>
      </c>
      <c r="F505" s="132" t="s">
        <v>127</v>
      </c>
      <c r="G505" s="133"/>
      <c r="H505" s="257">
        <f>H506</f>
        <v>650.03099999999927</v>
      </c>
    </row>
    <row r="506" spans="1:8" ht="18.75">
      <c r="A506" s="243"/>
      <c r="B506" s="256" t="s">
        <v>109</v>
      </c>
      <c r="C506" s="130" t="s">
        <v>124</v>
      </c>
      <c r="D506" s="131" t="s">
        <v>97</v>
      </c>
      <c r="E506" s="131" t="s">
        <v>89</v>
      </c>
      <c r="F506" s="132" t="s">
        <v>127</v>
      </c>
      <c r="G506" s="133" t="s">
        <v>110</v>
      </c>
      <c r="H506" s="257">
        <f>'прил12(ведом 19)'!M55</f>
        <v>650.03099999999927</v>
      </c>
    </row>
    <row r="507" spans="1:8" ht="93.75">
      <c r="A507" s="474"/>
      <c r="B507" s="256" t="s">
        <v>758</v>
      </c>
      <c r="C507" s="130" t="s">
        <v>124</v>
      </c>
      <c r="D507" s="131" t="s">
        <v>97</v>
      </c>
      <c r="E507" s="131" t="s">
        <v>89</v>
      </c>
      <c r="F507" s="131" t="s">
        <v>757</v>
      </c>
      <c r="G507" s="133"/>
      <c r="H507" s="257">
        <f>H508</f>
        <v>4576.5690000000004</v>
      </c>
    </row>
    <row r="508" spans="1:8" ht="18.75">
      <c r="A508" s="474"/>
      <c r="B508" s="256" t="s">
        <v>185</v>
      </c>
      <c r="C508" s="130" t="s">
        <v>124</v>
      </c>
      <c r="D508" s="131" t="s">
        <v>97</v>
      </c>
      <c r="E508" s="131" t="s">
        <v>89</v>
      </c>
      <c r="F508" s="131" t="s">
        <v>757</v>
      </c>
      <c r="G508" s="133" t="s">
        <v>186</v>
      </c>
      <c r="H508" s="483">
        <f>'прил12(ведом 19)'!M204</f>
        <v>4576.5690000000004</v>
      </c>
    </row>
    <row r="509" spans="1:8" ht="18.75">
      <c r="A509" s="314"/>
      <c r="B509" s="315"/>
      <c r="C509" s="316"/>
      <c r="D509" s="316"/>
      <c r="E509" s="316"/>
      <c r="F509" s="316"/>
      <c r="G509" s="316"/>
      <c r="H509" s="317"/>
    </row>
    <row r="510" spans="1:8" ht="18.75">
      <c r="A510" s="238"/>
      <c r="B510" s="203"/>
      <c r="C510" s="144"/>
      <c r="D510" s="144"/>
      <c r="E510" s="144"/>
      <c r="F510" s="144"/>
      <c r="G510" s="206"/>
    </row>
    <row r="511" spans="1:8" ht="18.75">
      <c r="A511" s="205" t="s">
        <v>544</v>
      </c>
      <c r="B511" s="203"/>
      <c r="C511" s="144"/>
      <c r="D511" s="144"/>
      <c r="E511" s="144"/>
      <c r="F511" s="144"/>
      <c r="G511" s="206"/>
    </row>
    <row r="512" spans="1:8" ht="18.75">
      <c r="A512" s="205" t="s">
        <v>545</v>
      </c>
      <c r="B512" s="203"/>
      <c r="C512" s="144"/>
      <c r="D512" s="144"/>
      <c r="E512" s="144"/>
      <c r="F512" s="144"/>
      <c r="G512" s="206"/>
    </row>
    <row r="513" spans="1:8" ht="18.75">
      <c r="A513" s="209" t="s">
        <v>546</v>
      </c>
      <c r="B513" s="203"/>
      <c r="C513" s="208"/>
      <c r="D513" s="144"/>
      <c r="E513" s="144"/>
      <c r="F513" s="144"/>
      <c r="G513" s="208"/>
      <c r="H513" s="210" t="s">
        <v>592</v>
      </c>
    </row>
    <row r="514" spans="1:8">
      <c r="A514" s="238"/>
      <c r="B514" s="203"/>
      <c r="C514" s="144"/>
      <c r="D514" s="144"/>
      <c r="E514" s="144"/>
      <c r="F514" s="144"/>
    </row>
    <row r="515" spans="1:8">
      <c r="A515" s="238"/>
      <c r="B515" s="203"/>
      <c r="C515" s="144"/>
      <c r="D515" s="144"/>
      <c r="E515" s="144"/>
      <c r="F515" s="144"/>
    </row>
    <row r="516" spans="1:8">
      <c r="A516" s="238"/>
      <c r="B516" s="203"/>
      <c r="C516" s="144"/>
      <c r="D516" s="144"/>
      <c r="E516" s="144"/>
      <c r="F516" s="144"/>
    </row>
    <row r="517" spans="1:8" ht="18.75">
      <c r="A517" s="238"/>
      <c r="B517" s="203"/>
      <c r="C517" s="144"/>
      <c r="D517" s="144"/>
      <c r="E517" s="144"/>
      <c r="F517" s="144"/>
      <c r="G517" s="206"/>
    </row>
  </sheetData>
  <mergeCells count="3">
    <mergeCell ref="A7:H7"/>
    <mergeCell ref="C10:F10"/>
    <mergeCell ref="C11:F11"/>
  </mergeCells>
  <printOptions horizontalCentered="1"/>
  <pageMargins left="1.1811023622047245" right="0.39370078740157483" top="0.78740157480314965" bottom="0.78740157480314965" header="0" footer="0"/>
  <pageSetup paperSize="9" scale="78" fitToHeight="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rgb="FF92D050"/>
    <pageSetUpPr fitToPage="1"/>
  </sheetPr>
  <dimension ref="A1:J289"/>
  <sheetViews>
    <sheetView zoomScale="90" zoomScaleNormal="90" zoomScaleSheetLayoutView="70" workbookViewId="0">
      <pane ySplit="5" topLeftCell="A6" activePane="bottomLeft" state="frozen"/>
      <selection activeCell="K21" sqref="K21"/>
      <selection pane="bottomLeft" activeCell="I2" sqref="I2"/>
    </sheetView>
  </sheetViews>
  <sheetFormatPr defaultColWidth="9.140625" defaultRowHeight="15.75"/>
  <cols>
    <col min="1" max="1" width="4.5703125" style="233" customWidth="1"/>
    <col min="2" max="2" width="62.42578125" style="234" customWidth="1"/>
    <col min="3" max="3" width="3.140625" style="235" customWidth="1"/>
    <col min="4" max="4" width="2.28515625" style="235" customWidth="1"/>
    <col min="5" max="5" width="3" style="235" customWidth="1"/>
    <col min="6" max="6" width="8.5703125" style="235" customWidth="1"/>
    <col min="7" max="7" width="5.5703125" style="236" customWidth="1"/>
    <col min="8" max="8" width="14" style="207" customWidth="1"/>
    <col min="9" max="9" width="13.28515625" style="208" customWidth="1"/>
    <col min="10" max="16384" width="9.140625" style="208"/>
  </cols>
  <sheetData>
    <row r="1" spans="1:10" s="161" customFormat="1" ht="18.75">
      <c r="I1" s="163" t="s">
        <v>707</v>
      </c>
    </row>
    <row r="2" spans="1:10" s="161" customFormat="1" ht="18.75">
      <c r="I2" s="163" t="s">
        <v>787</v>
      </c>
    </row>
    <row r="3" spans="1:10" s="161" customFormat="1" ht="18.75">
      <c r="H3" s="163"/>
    </row>
    <row r="4" spans="1:10" ht="18.75">
      <c r="I4" s="163" t="s">
        <v>648</v>
      </c>
    </row>
    <row r="5" spans="1:10" ht="18.75">
      <c r="I5" s="163" t="s">
        <v>703</v>
      </c>
    </row>
    <row r="8" spans="1:10" ht="72" customHeight="1">
      <c r="A8" s="748" t="s">
        <v>649</v>
      </c>
      <c r="B8" s="748"/>
      <c r="C8" s="748"/>
      <c r="D8" s="748"/>
      <c r="E8" s="748"/>
      <c r="F8" s="748"/>
      <c r="G8" s="748"/>
      <c r="H8" s="748"/>
      <c r="I8" s="748"/>
    </row>
    <row r="9" spans="1:10">
      <c r="A9" s="208"/>
      <c r="B9" s="208"/>
      <c r="C9" s="233"/>
      <c r="D9" s="233"/>
      <c r="E9" s="233"/>
      <c r="F9" s="233"/>
      <c r="G9" s="237"/>
    </row>
    <row r="10" spans="1:10" ht="18.75">
      <c r="A10" s="238"/>
      <c r="B10" s="203"/>
      <c r="C10" s="144"/>
      <c r="D10" s="144"/>
      <c r="E10" s="144"/>
      <c r="F10" s="144"/>
      <c r="G10" s="208"/>
      <c r="I10" s="389" t="s">
        <v>74</v>
      </c>
    </row>
    <row r="11" spans="1:10" ht="18.75">
      <c r="A11" s="756" t="s">
        <v>75</v>
      </c>
      <c r="B11" s="757" t="s">
        <v>76</v>
      </c>
      <c r="C11" s="757" t="s">
        <v>80</v>
      </c>
      <c r="D11" s="757"/>
      <c r="E11" s="757"/>
      <c r="F11" s="757"/>
      <c r="G11" s="757" t="s">
        <v>81</v>
      </c>
      <c r="H11" s="755" t="s">
        <v>65</v>
      </c>
      <c r="I11" s="755"/>
    </row>
    <row r="12" spans="1:10" ht="40.9" customHeight="1">
      <c r="A12" s="756"/>
      <c r="B12" s="757"/>
      <c r="C12" s="757"/>
      <c r="D12" s="757"/>
      <c r="E12" s="757"/>
      <c r="F12" s="757"/>
      <c r="G12" s="757"/>
      <c r="H12" s="361" t="s">
        <v>547</v>
      </c>
      <c r="I12" s="361" t="s">
        <v>619</v>
      </c>
    </row>
    <row r="13" spans="1:10" ht="18.75">
      <c r="A13" s="214">
        <v>1</v>
      </c>
      <c r="B13" s="241">
        <v>2</v>
      </c>
      <c r="C13" s="752" t="s">
        <v>82</v>
      </c>
      <c r="D13" s="753"/>
      <c r="E13" s="753"/>
      <c r="F13" s="754"/>
      <c r="G13" s="242" t="s">
        <v>83</v>
      </c>
      <c r="H13" s="215">
        <v>5</v>
      </c>
      <c r="I13" s="215">
        <v>6</v>
      </c>
    </row>
    <row r="14" spans="1:10" ht="18.75">
      <c r="A14" s="243"/>
      <c r="B14" s="244" t="s">
        <v>274</v>
      </c>
      <c r="C14" s="245"/>
      <c r="D14" s="245"/>
      <c r="E14" s="245"/>
      <c r="F14" s="245"/>
      <c r="G14" s="246"/>
      <c r="H14" s="247">
        <f>H15+H73+H98+H118+H131+H146+H156+H166+H203+H212+H224+H264+H273+H279+H218+H258</f>
        <v>1240152.2000000002</v>
      </c>
      <c r="I14" s="247">
        <f>I15+I73+I98+I118+I131+I146+I156+I166+I203+I212+I224+I264+I273+I279+I218+I258</f>
        <v>1236516.7000000002</v>
      </c>
      <c r="J14" s="248"/>
    </row>
    <row r="15" spans="1:10" s="255" customFormat="1" ht="56.25">
      <c r="A15" s="249">
        <v>1</v>
      </c>
      <c r="B15" s="250" t="s">
        <v>277</v>
      </c>
      <c r="C15" s="251" t="s">
        <v>91</v>
      </c>
      <c r="D15" s="251" t="s">
        <v>94</v>
      </c>
      <c r="E15" s="251" t="s">
        <v>95</v>
      </c>
      <c r="F15" s="252" t="s">
        <v>96</v>
      </c>
      <c r="G15" s="253"/>
      <c r="H15" s="254">
        <f>H16+H44+H55</f>
        <v>841391.19999999984</v>
      </c>
      <c r="I15" s="254">
        <f>I16+I44+I55</f>
        <v>818155.6</v>
      </c>
    </row>
    <row r="16" spans="1:10" ht="37.5">
      <c r="A16" s="243"/>
      <c r="B16" s="256" t="s">
        <v>278</v>
      </c>
      <c r="C16" s="701" t="s">
        <v>91</v>
      </c>
      <c r="D16" s="701" t="s">
        <v>97</v>
      </c>
      <c r="E16" s="701" t="s">
        <v>95</v>
      </c>
      <c r="F16" s="702" t="s">
        <v>96</v>
      </c>
      <c r="G16" s="242"/>
      <c r="H16" s="257">
        <f>H17+H27</f>
        <v>752750.39999999991</v>
      </c>
      <c r="I16" s="257">
        <f>I17+I27</f>
        <v>732069.89999999991</v>
      </c>
    </row>
    <row r="17" spans="1:9" ht="18.75">
      <c r="A17" s="243"/>
      <c r="B17" s="256" t="s">
        <v>345</v>
      </c>
      <c r="C17" s="130" t="s">
        <v>91</v>
      </c>
      <c r="D17" s="131" t="s">
        <v>97</v>
      </c>
      <c r="E17" s="131" t="s">
        <v>89</v>
      </c>
      <c r="F17" s="132" t="s">
        <v>96</v>
      </c>
      <c r="G17" s="242"/>
      <c r="H17" s="257">
        <f>H20+H23+H25+H18</f>
        <v>291097.2</v>
      </c>
      <c r="I17" s="257">
        <f>I20+I23+I25+I18</f>
        <v>277967.09999999998</v>
      </c>
    </row>
    <row r="18" spans="1:9" ht="75">
      <c r="A18" s="243"/>
      <c r="B18" s="256" t="s">
        <v>150</v>
      </c>
      <c r="C18" s="130" t="s">
        <v>91</v>
      </c>
      <c r="D18" s="131" t="s">
        <v>97</v>
      </c>
      <c r="E18" s="131" t="s">
        <v>89</v>
      </c>
      <c r="F18" s="132" t="s">
        <v>152</v>
      </c>
      <c r="G18" s="133"/>
      <c r="H18" s="257">
        <f>H19</f>
        <v>80410.599999999991</v>
      </c>
      <c r="I18" s="257">
        <f>I19</f>
        <v>67259.399999999994</v>
      </c>
    </row>
    <row r="19" spans="1:9" ht="56.25">
      <c r="A19" s="243"/>
      <c r="B19" s="256" t="s">
        <v>134</v>
      </c>
      <c r="C19" s="130" t="s">
        <v>91</v>
      </c>
      <c r="D19" s="131" t="s">
        <v>97</v>
      </c>
      <c r="E19" s="131" t="s">
        <v>89</v>
      </c>
      <c r="F19" s="132" t="s">
        <v>152</v>
      </c>
      <c r="G19" s="133" t="s">
        <v>135</v>
      </c>
      <c r="H19" s="257">
        <f>'прил13(ведом 20-21)'!M172</f>
        <v>80410.599999999991</v>
      </c>
      <c r="I19" s="257">
        <f>'прил13(ведом 20-21)'!N172</f>
        <v>67259.399999999994</v>
      </c>
    </row>
    <row r="20" spans="1:9" ht="131.25">
      <c r="A20" s="243"/>
      <c r="B20" s="256" t="s">
        <v>362</v>
      </c>
      <c r="C20" s="130" t="s">
        <v>91</v>
      </c>
      <c r="D20" s="131" t="s">
        <v>97</v>
      </c>
      <c r="E20" s="131" t="s">
        <v>89</v>
      </c>
      <c r="F20" s="132" t="s">
        <v>363</v>
      </c>
      <c r="G20" s="133"/>
      <c r="H20" s="257">
        <f>SUM(H21:H22)</f>
        <v>9069.2000000000007</v>
      </c>
      <c r="I20" s="257">
        <f>SUM(I21:I22)</f>
        <v>9069.2000000000007</v>
      </c>
    </row>
    <row r="21" spans="1:9" ht="37.5">
      <c r="A21" s="243"/>
      <c r="B21" s="256" t="s">
        <v>107</v>
      </c>
      <c r="C21" s="130" t="s">
        <v>91</v>
      </c>
      <c r="D21" s="131" t="s">
        <v>97</v>
      </c>
      <c r="E21" s="131" t="s">
        <v>89</v>
      </c>
      <c r="F21" s="132" t="s">
        <v>363</v>
      </c>
      <c r="G21" s="133" t="s">
        <v>108</v>
      </c>
      <c r="H21" s="257">
        <f>'прил13(ведом 20-21)'!M247</f>
        <v>134</v>
      </c>
      <c r="I21" s="257">
        <f>'прил13(ведом 20-21)'!N247</f>
        <v>134</v>
      </c>
    </row>
    <row r="22" spans="1:9" ht="37.5">
      <c r="A22" s="243"/>
      <c r="B22" s="258" t="s">
        <v>182</v>
      </c>
      <c r="C22" s="130" t="s">
        <v>91</v>
      </c>
      <c r="D22" s="131" t="s">
        <v>97</v>
      </c>
      <c r="E22" s="131" t="s">
        <v>89</v>
      </c>
      <c r="F22" s="132" t="s">
        <v>363</v>
      </c>
      <c r="G22" s="133" t="s">
        <v>183</v>
      </c>
      <c r="H22" s="257">
        <f>'прил13(ведом 20-21)'!M248</f>
        <v>8935.2000000000007</v>
      </c>
      <c r="I22" s="257">
        <f>'прил13(ведом 20-21)'!N248</f>
        <v>8935.2000000000007</v>
      </c>
    </row>
    <row r="23" spans="1:9" ht="158.44999999999999" customHeight="1">
      <c r="A23" s="243"/>
      <c r="B23" s="256" t="s">
        <v>346</v>
      </c>
      <c r="C23" s="130" t="s">
        <v>91</v>
      </c>
      <c r="D23" s="131" t="s">
        <v>97</v>
      </c>
      <c r="E23" s="131" t="s">
        <v>89</v>
      </c>
      <c r="F23" s="132" t="s">
        <v>347</v>
      </c>
      <c r="G23" s="133"/>
      <c r="H23" s="257">
        <f>H24</f>
        <v>529.5</v>
      </c>
      <c r="I23" s="257">
        <f>I24</f>
        <v>550.59999999999991</v>
      </c>
    </row>
    <row r="24" spans="1:9" ht="56.25">
      <c r="A24" s="243"/>
      <c r="B24" s="256" t="s">
        <v>134</v>
      </c>
      <c r="C24" s="130" t="s">
        <v>91</v>
      </c>
      <c r="D24" s="131" t="s">
        <v>97</v>
      </c>
      <c r="E24" s="131" t="s">
        <v>89</v>
      </c>
      <c r="F24" s="132" t="s">
        <v>347</v>
      </c>
      <c r="G24" s="133" t="s">
        <v>135</v>
      </c>
      <c r="H24" s="257">
        <f>'прил13(ведом 20-21)'!M174</f>
        <v>529.5</v>
      </c>
      <c r="I24" s="257">
        <f>'прил13(ведом 20-21)'!N174</f>
        <v>550.59999999999991</v>
      </c>
    </row>
    <row r="25" spans="1:9" ht="112.5">
      <c r="A25" s="243"/>
      <c r="B25" s="256" t="s">
        <v>467</v>
      </c>
      <c r="C25" s="130" t="s">
        <v>91</v>
      </c>
      <c r="D25" s="131" t="s">
        <v>97</v>
      </c>
      <c r="E25" s="131" t="s">
        <v>89</v>
      </c>
      <c r="F25" s="132" t="s">
        <v>348</v>
      </c>
      <c r="G25" s="133"/>
      <c r="H25" s="257">
        <f>H26</f>
        <v>201087.9</v>
      </c>
      <c r="I25" s="257">
        <f>I26</f>
        <v>201087.9</v>
      </c>
    </row>
    <row r="26" spans="1:9" ht="56.25">
      <c r="A26" s="243"/>
      <c r="B26" s="258" t="s">
        <v>134</v>
      </c>
      <c r="C26" s="130" t="s">
        <v>91</v>
      </c>
      <c r="D26" s="131" t="s">
        <v>97</v>
      </c>
      <c r="E26" s="131" t="s">
        <v>89</v>
      </c>
      <c r="F26" s="132" t="s">
        <v>348</v>
      </c>
      <c r="G26" s="133" t="s">
        <v>135</v>
      </c>
      <c r="H26" s="257">
        <f>'прил13(ведом 20-21)'!M176</f>
        <v>201087.9</v>
      </c>
      <c r="I26" s="257">
        <f>'прил13(ведом 20-21)'!N176</f>
        <v>201087.9</v>
      </c>
    </row>
    <row r="27" spans="1:9" ht="18.75">
      <c r="A27" s="243"/>
      <c r="B27" s="256" t="s">
        <v>350</v>
      </c>
      <c r="C27" s="130" t="s">
        <v>91</v>
      </c>
      <c r="D27" s="131" t="s">
        <v>97</v>
      </c>
      <c r="E27" s="131" t="s">
        <v>91</v>
      </c>
      <c r="F27" s="132" t="s">
        <v>96</v>
      </c>
      <c r="G27" s="133"/>
      <c r="H27" s="257">
        <f>H33+H37+H41+H28</f>
        <v>461653.19999999995</v>
      </c>
      <c r="I27" s="257">
        <f>I33+I37+I41+I28</f>
        <v>454102.79999999993</v>
      </c>
    </row>
    <row r="28" spans="1:9" ht="75">
      <c r="A28" s="243"/>
      <c r="B28" s="256" t="s">
        <v>150</v>
      </c>
      <c r="C28" s="130" t="s">
        <v>91</v>
      </c>
      <c r="D28" s="131" t="s">
        <v>97</v>
      </c>
      <c r="E28" s="131" t="s">
        <v>91</v>
      </c>
      <c r="F28" s="132" t="s">
        <v>152</v>
      </c>
      <c r="G28" s="133"/>
      <c r="H28" s="257">
        <f>SUM(H29:H32)</f>
        <v>71283.799999999988</v>
      </c>
      <c r="I28" s="257">
        <f>SUM(I29:I32)</f>
        <v>63584.600000000006</v>
      </c>
    </row>
    <row r="29" spans="1:9" ht="93.75">
      <c r="A29" s="243"/>
      <c r="B29" s="219" t="s">
        <v>101</v>
      </c>
      <c r="C29" s="130" t="s">
        <v>91</v>
      </c>
      <c r="D29" s="131" t="s">
        <v>97</v>
      </c>
      <c r="E29" s="131" t="s">
        <v>91</v>
      </c>
      <c r="F29" s="132" t="s">
        <v>152</v>
      </c>
      <c r="G29" s="133" t="s">
        <v>102</v>
      </c>
      <c r="H29" s="257">
        <f>'прил13(ведом 20-21)'!M187</f>
        <v>3791.6</v>
      </c>
      <c r="I29" s="257">
        <f>'прил13(ведом 20-21)'!N187</f>
        <v>3791.6</v>
      </c>
    </row>
    <row r="30" spans="1:9" ht="37.5">
      <c r="A30" s="243"/>
      <c r="B30" s="219" t="s">
        <v>107</v>
      </c>
      <c r="C30" s="130" t="s">
        <v>91</v>
      </c>
      <c r="D30" s="131" t="s">
        <v>97</v>
      </c>
      <c r="E30" s="131" t="s">
        <v>91</v>
      </c>
      <c r="F30" s="132" t="s">
        <v>152</v>
      </c>
      <c r="G30" s="133" t="s">
        <v>108</v>
      </c>
      <c r="H30" s="257">
        <f>'прил13(ведом 20-21)'!M188</f>
        <v>3218.8</v>
      </c>
      <c r="I30" s="257">
        <f>'прил13(ведом 20-21)'!N188</f>
        <v>1518.2</v>
      </c>
    </row>
    <row r="31" spans="1:9" ht="56.25">
      <c r="A31" s="243"/>
      <c r="B31" s="256" t="s">
        <v>134</v>
      </c>
      <c r="C31" s="130" t="s">
        <v>91</v>
      </c>
      <c r="D31" s="131" t="s">
        <v>97</v>
      </c>
      <c r="E31" s="131" t="s">
        <v>91</v>
      </c>
      <c r="F31" s="132" t="s">
        <v>152</v>
      </c>
      <c r="G31" s="133" t="s">
        <v>135</v>
      </c>
      <c r="H31" s="257">
        <f>'прил13(ведом 20-21)'!M189</f>
        <v>63585.2</v>
      </c>
      <c r="I31" s="257">
        <f>'прил13(ведом 20-21)'!N189</f>
        <v>57599.4</v>
      </c>
    </row>
    <row r="32" spans="1:9" ht="18.75">
      <c r="A32" s="243"/>
      <c r="B32" s="256" t="s">
        <v>109</v>
      </c>
      <c r="C32" s="130" t="s">
        <v>91</v>
      </c>
      <c r="D32" s="131" t="s">
        <v>97</v>
      </c>
      <c r="E32" s="131" t="s">
        <v>91</v>
      </c>
      <c r="F32" s="132" t="s">
        <v>152</v>
      </c>
      <c r="G32" s="133" t="s">
        <v>110</v>
      </c>
      <c r="H32" s="257">
        <f>'прил13(ведом 20-21)'!M190</f>
        <v>688.2</v>
      </c>
      <c r="I32" s="257">
        <f>'прил13(ведом 20-21)'!N190</f>
        <v>675.4</v>
      </c>
    </row>
    <row r="33" spans="1:9" ht="157.15" customHeight="1">
      <c r="A33" s="243"/>
      <c r="B33" s="256" t="s">
        <v>346</v>
      </c>
      <c r="C33" s="130" t="s">
        <v>91</v>
      </c>
      <c r="D33" s="131" t="s">
        <v>97</v>
      </c>
      <c r="E33" s="131" t="s">
        <v>91</v>
      </c>
      <c r="F33" s="132" t="s">
        <v>347</v>
      </c>
      <c r="G33" s="133"/>
      <c r="H33" s="257">
        <f>SUM(H34:H36)</f>
        <v>1829.1</v>
      </c>
      <c r="I33" s="257">
        <f>SUM(I34:I36)</f>
        <v>1902.3</v>
      </c>
    </row>
    <row r="34" spans="1:9" ht="93.75">
      <c r="A34" s="243"/>
      <c r="B34" s="219" t="s">
        <v>101</v>
      </c>
      <c r="C34" s="130" t="s">
        <v>91</v>
      </c>
      <c r="D34" s="131" t="s">
        <v>97</v>
      </c>
      <c r="E34" s="131" t="s">
        <v>91</v>
      </c>
      <c r="F34" s="132" t="s">
        <v>347</v>
      </c>
      <c r="G34" s="133" t="s">
        <v>102</v>
      </c>
      <c r="H34" s="257">
        <f>'прил13(ведом 20-21)'!M192</f>
        <v>138.30000000000001</v>
      </c>
      <c r="I34" s="257">
        <f>'прил13(ведом 20-21)'!N192</f>
        <v>138.30000000000001</v>
      </c>
    </row>
    <row r="35" spans="1:9" ht="37.5">
      <c r="A35" s="243"/>
      <c r="B35" s="219" t="s">
        <v>182</v>
      </c>
      <c r="C35" s="130" t="s">
        <v>91</v>
      </c>
      <c r="D35" s="131" t="s">
        <v>97</v>
      </c>
      <c r="E35" s="131" t="s">
        <v>91</v>
      </c>
      <c r="F35" s="132" t="s">
        <v>347</v>
      </c>
      <c r="G35" s="133" t="s">
        <v>183</v>
      </c>
      <c r="H35" s="257">
        <f>'прил13(ведом 20-21)'!M193</f>
        <v>14</v>
      </c>
      <c r="I35" s="257">
        <f>'прил13(ведом 20-21)'!N193</f>
        <v>14</v>
      </c>
    </row>
    <row r="36" spans="1:9" ht="56.25">
      <c r="A36" s="243"/>
      <c r="B36" s="256" t="s">
        <v>134</v>
      </c>
      <c r="C36" s="130" t="s">
        <v>91</v>
      </c>
      <c r="D36" s="131" t="s">
        <v>97</v>
      </c>
      <c r="E36" s="131" t="s">
        <v>91</v>
      </c>
      <c r="F36" s="132" t="s">
        <v>347</v>
      </c>
      <c r="G36" s="133" t="s">
        <v>135</v>
      </c>
      <c r="H36" s="257">
        <f>'прил13(ведом 20-21)'!M194</f>
        <v>1676.8</v>
      </c>
      <c r="I36" s="257">
        <f>'прил13(ведом 20-21)'!N194</f>
        <v>1750</v>
      </c>
    </row>
    <row r="37" spans="1:9" ht="112.5">
      <c r="A37" s="243"/>
      <c r="B37" s="256" t="s">
        <v>467</v>
      </c>
      <c r="C37" s="130" t="s">
        <v>91</v>
      </c>
      <c r="D37" s="131" t="s">
        <v>97</v>
      </c>
      <c r="E37" s="131" t="s">
        <v>91</v>
      </c>
      <c r="F37" s="132" t="s">
        <v>348</v>
      </c>
      <c r="G37" s="133"/>
      <c r="H37" s="257">
        <f>SUM(H38:H40)</f>
        <v>384214.1</v>
      </c>
      <c r="I37" s="257">
        <f>SUM(I38:I40)</f>
        <v>384214.1</v>
      </c>
    </row>
    <row r="38" spans="1:9" ht="93.75">
      <c r="A38" s="243"/>
      <c r="B38" s="256" t="s">
        <v>101</v>
      </c>
      <c r="C38" s="130" t="s">
        <v>91</v>
      </c>
      <c r="D38" s="131" t="s">
        <v>97</v>
      </c>
      <c r="E38" s="131" t="s">
        <v>91</v>
      </c>
      <c r="F38" s="132" t="s">
        <v>348</v>
      </c>
      <c r="G38" s="133" t="s">
        <v>102</v>
      </c>
      <c r="H38" s="257">
        <f>'прил13(ведом 20-21)'!M196</f>
        <v>30285.5</v>
      </c>
      <c r="I38" s="257">
        <f>'прил13(ведом 20-21)'!N196</f>
        <v>30285.5</v>
      </c>
    </row>
    <row r="39" spans="1:9" ht="37.5">
      <c r="A39" s="243"/>
      <c r="B39" s="256" t="s">
        <v>107</v>
      </c>
      <c r="C39" s="130" t="s">
        <v>91</v>
      </c>
      <c r="D39" s="131" t="s">
        <v>97</v>
      </c>
      <c r="E39" s="131" t="s">
        <v>91</v>
      </c>
      <c r="F39" s="132" t="s">
        <v>348</v>
      </c>
      <c r="G39" s="133" t="s">
        <v>108</v>
      </c>
      <c r="H39" s="257">
        <f>'прил13(ведом 20-21)'!M197</f>
        <v>1765.8</v>
      </c>
      <c r="I39" s="257">
        <f>'прил13(ведом 20-21)'!N197</f>
        <v>1765.8</v>
      </c>
    </row>
    <row r="40" spans="1:9" ht="56.25">
      <c r="A40" s="243"/>
      <c r="B40" s="256" t="s">
        <v>134</v>
      </c>
      <c r="C40" s="130" t="s">
        <v>91</v>
      </c>
      <c r="D40" s="131" t="s">
        <v>97</v>
      </c>
      <c r="E40" s="131" t="s">
        <v>91</v>
      </c>
      <c r="F40" s="132" t="s">
        <v>348</v>
      </c>
      <c r="G40" s="133" t="s">
        <v>135</v>
      </c>
      <c r="H40" s="257">
        <f>'прил13(ведом 20-21)'!M198</f>
        <v>352162.8</v>
      </c>
      <c r="I40" s="257">
        <f>'прил13(ведом 20-21)'!N198</f>
        <v>352162.8</v>
      </c>
    </row>
    <row r="41" spans="1:9" ht="75">
      <c r="A41" s="243"/>
      <c r="B41" s="256" t="s">
        <v>282</v>
      </c>
      <c r="C41" s="701" t="s">
        <v>91</v>
      </c>
      <c r="D41" s="701" t="s">
        <v>97</v>
      </c>
      <c r="E41" s="701" t="s">
        <v>91</v>
      </c>
      <c r="F41" s="702" t="s">
        <v>354</v>
      </c>
      <c r="G41" s="242"/>
      <c r="H41" s="257">
        <f>SUM(H42:H43)</f>
        <v>4326.2</v>
      </c>
      <c r="I41" s="257">
        <f>SUM(I42:I43)</f>
        <v>4401.8</v>
      </c>
    </row>
    <row r="42" spans="1:9" ht="37.5">
      <c r="A42" s="243"/>
      <c r="B42" s="219" t="s">
        <v>107</v>
      </c>
      <c r="C42" s="130" t="s">
        <v>91</v>
      </c>
      <c r="D42" s="131" t="s">
        <v>97</v>
      </c>
      <c r="E42" s="131" t="s">
        <v>91</v>
      </c>
      <c r="F42" s="132" t="s">
        <v>354</v>
      </c>
      <c r="G42" s="133" t="s">
        <v>108</v>
      </c>
      <c r="H42" s="257">
        <f>'прил13(ведом 20-21)'!M200</f>
        <v>239.1</v>
      </c>
      <c r="I42" s="257">
        <f>'прил13(ведом 20-21)'!N200</f>
        <v>256.2</v>
      </c>
    </row>
    <row r="43" spans="1:9" ht="56.25">
      <c r="A43" s="243"/>
      <c r="B43" s="256" t="s">
        <v>134</v>
      </c>
      <c r="C43" s="701" t="s">
        <v>91</v>
      </c>
      <c r="D43" s="701" t="s">
        <v>97</v>
      </c>
      <c r="E43" s="701" t="s">
        <v>91</v>
      </c>
      <c r="F43" s="702" t="s">
        <v>354</v>
      </c>
      <c r="G43" s="242" t="s">
        <v>135</v>
      </c>
      <c r="H43" s="257">
        <f>'прил13(ведом 20-21)'!M201</f>
        <v>4087.1</v>
      </c>
      <c r="I43" s="257">
        <f>'прил13(ведом 20-21)'!N201</f>
        <v>4145.6000000000004</v>
      </c>
    </row>
    <row r="44" spans="1:9" ht="18.75">
      <c r="A44" s="243"/>
      <c r="B44" s="256" t="s">
        <v>283</v>
      </c>
      <c r="C44" s="130" t="s">
        <v>91</v>
      </c>
      <c r="D44" s="131" t="s">
        <v>149</v>
      </c>
      <c r="E44" s="131" t="s">
        <v>95</v>
      </c>
      <c r="F44" s="132" t="s">
        <v>96</v>
      </c>
      <c r="G44" s="242"/>
      <c r="H44" s="257">
        <f>H45</f>
        <v>43264.6</v>
      </c>
      <c r="I44" s="257">
        <f>I45</f>
        <v>41646.799999999996</v>
      </c>
    </row>
    <row r="45" spans="1:9" ht="37.5">
      <c r="A45" s="243"/>
      <c r="B45" s="256" t="s">
        <v>355</v>
      </c>
      <c r="C45" s="130" t="s">
        <v>91</v>
      </c>
      <c r="D45" s="131" t="s">
        <v>149</v>
      </c>
      <c r="E45" s="131" t="s">
        <v>89</v>
      </c>
      <c r="F45" s="132" t="s">
        <v>96</v>
      </c>
      <c r="G45" s="242"/>
      <c r="H45" s="257">
        <f>H46+H53+H51</f>
        <v>43264.6</v>
      </c>
      <c r="I45" s="257">
        <f>I46+I53+I51</f>
        <v>41646.799999999996</v>
      </c>
    </row>
    <row r="46" spans="1:9" ht="75">
      <c r="A46" s="243"/>
      <c r="B46" s="256" t="s">
        <v>150</v>
      </c>
      <c r="C46" s="130" t="s">
        <v>91</v>
      </c>
      <c r="D46" s="131" t="s">
        <v>149</v>
      </c>
      <c r="E46" s="131" t="s">
        <v>89</v>
      </c>
      <c r="F46" s="132" t="s">
        <v>152</v>
      </c>
      <c r="G46" s="133"/>
      <c r="H46" s="257">
        <f>SUM(H47:H50)</f>
        <v>42982.2</v>
      </c>
      <c r="I46" s="257">
        <f>SUM(I47:I50)</f>
        <v>41358.1</v>
      </c>
    </row>
    <row r="47" spans="1:9" ht="93.75">
      <c r="A47" s="243"/>
      <c r="B47" s="219" t="s">
        <v>101</v>
      </c>
      <c r="C47" s="130" t="s">
        <v>91</v>
      </c>
      <c r="D47" s="131" t="s">
        <v>149</v>
      </c>
      <c r="E47" s="131" t="s">
        <v>89</v>
      </c>
      <c r="F47" s="132" t="s">
        <v>152</v>
      </c>
      <c r="G47" s="133" t="s">
        <v>102</v>
      </c>
      <c r="H47" s="257">
        <f>'прил13(ведом 20-21)'!M211</f>
        <v>23223.3</v>
      </c>
      <c r="I47" s="257">
        <f>'прил13(ведом 20-21)'!N211</f>
        <v>23223.3</v>
      </c>
    </row>
    <row r="48" spans="1:9" ht="37.5">
      <c r="A48" s="243"/>
      <c r="B48" s="219" t="s">
        <v>107</v>
      </c>
      <c r="C48" s="130" t="s">
        <v>91</v>
      </c>
      <c r="D48" s="131" t="s">
        <v>149</v>
      </c>
      <c r="E48" s="131" t="s">
        <v>89</v>
      </c>
      <c r="F48" s="132" t="s">
        <v>152</v>
      </c>
      <c r="G48" s="133" t="s">
        <v>108</v>
      </c>
      <c r="H48" s="257">
        <f>'прил13(ведом 20-21)'!M212</f>
        <v>1876.6</v>
      </c>
      <c r="I48" s="257">
        <f>'прил13(ведом 20-21)'!N212</f>
        <v>699.8</v>
      </c>
    </row>
    <row r="49" spans="1:9" ht="56.25">
      <c r="A49" s="243"/>
      <c r="B49" s="256" t="s">
        <v>134</v>
      </c>
      <c r="C49" s="130" t="s">
        <v>91</v>
      </c>
      <c r="D49" s="131" t="s">
        <v>149</v>
      </c>
      <c r="E49" s="131" t="s">
        <v>89</v>
      </c>
      <c r="F49" s="132" t="s">
        <v>152</v>
      </c>
      <c r="G49" s="133" t="s">
        <v>135</v>
      </c>
      <c r="H49" s="257">
        <f>'прил13(ведом 20-21)'!M213</f>
        <v>17822.599999999999</v>
      </c>
      <c r="I49" s="257">
        <f>'прил13(ведом 20-21)'!N213</f>
        <v>17376.099999999999</v>
      </c>
    </row>
    <row r="50" spans="1:9" ht="18.75">
      <c r="A50" s="243"/>
      <c r="B50" s="219" t="s">
        <v>109</v>
      </c>
      <c r="C50" s="130" t="s">
        <v>91</v>
      </c>
      <c r="D50" s="131" t="s">
        <v>149</v>
      </c>
      <c r="E50" s="131" t="s">
        <v>89</v>
      </c>
      <c r="F50" s="132" t="s">
        <v>152</v>
      </c>
      <c r="G50" s="133" t="s">
        <v>110</v>
      </c>
      <c r="H50" s="257">
        <f>'прил13(ведом 20-21)'!M214</f>
        <v>59.7</v>
      </c>
      <c r="I50" s="257">
        <f>'прил13(ведом 20-21)'!N214</f>
        <v>58.9</v>
      </c>
    </row>
    <row r="51" spans="1:9" ht="18.75">
      <c r="A51" s="243"/>
      <c r="B51" s="219" t="s">
        <v>601</v>
      </c>
      <c r="C51" s="130" t="s">
        <v>91</v>
      </c>
      <c r="D51" s="131" t="s">
        <v>149</v>
      </c>
      <c r="E51" s="131" t="s">
        <v>89</v>
      </c>
      <c r="F51" s="132" t="s">
        <v>600</v>
      </c>
      <c r="G51" s="133"/>
      <c r="H51" s="257">
        <f>H52</f>
        <v>125</v>
      </c>
      <c r="I51" s="257">
        <f>I52</f>
        <v>125</v>
      </c>
    </row>
    <row r="52" spans="1:9" ht="93.75">
      <c r="A52" s="243"/>
      <c r="B52" s="219" t="s">
        <v>101</v>
      </c>
      <c r="C52" s="130" t="s">
        <v>91</v>
      </c>
      <c r="D52" s="131" t="s">
        <v>149</v>
      </c>
      <c r="E52" s="131" t="s">
        <v>89</v>
      </c>
      <c r="F52" s="132" t="s">
        <v>600</v>
      </c>
      <c r="G52" s="133" t="s">
        <v>102</v>
      </c>
      <c r="H52" s="257">
        <f>'прил13(ведом 20-21)'!M216</f>
        <v>125</v>
      </c>
      <c r="I52" s="257">
        <f>'прил13(ведом 20-21)'!N216</f>
        <v>125</v>
      </c>
    </row>
    <row r="53" spans="1:9" ht="157.9" customHeight="1">
      <c r="A53" s="243"/>
      <c r="B53" s="256" t="s">
        <v>346</v>
      </c>
      <c r="C53" s="130" t="s">
        <v>91</v>
      </c>
      <c r="D53" s="131" t="s">
        <v>149</v>
      </c>
      <c r="E53" s="131" t="s">
        <v>89</v>
      </c>
      <c r="F53" s="132" t="s">
        <v>347</v>
      </c>
      <c r="G53" s="133"/>
      <c r="H53" s="257">
        <f>H54</f>
        <v>157.4</v>
      </c>
      <c r="I53" s="257">
        <f>I54</f>
        <v>163.69999999999999</v>
      </c>
    </row>
    <row r="54" spans="1:9" ht="93.75">
      <c r="A54" s="243"/>
      <c r="B54" s="219" t="s">
        <v>101</v>
      </c>
      <c r="C54" s="130" t="s">
        <v>91</v>
      </c>
      <c r="D54" s="131" t="s">
        <v>149</v>
      </c>
      <c r="E54" s="131" t="s">
        <v>89</v>
      </c>
      <c r="F54" s="132" t="s">
        <v>347</v>
      </c>
      <c r="G54" s="133" t="s">
        <v>102</v>
      </c>
      <c r="H54" s="257">
        <f>'прил13(ведом 20-21)'!M218</f>
        <v>157.4</v>
      </c>
      <c r="I54" s="257">
        <f>'прил13(ведом 20-21)'!N218</f>
        <v>163.69999999999999</v>
      </c>
    </row>
    <row r="55" spans="1:9" ht="56.25">
      <c r="A55" s="243"/>
      <c r="B55" s="256" t="s">
        <v>285</v>
      </c>
      <c r="C55" s="130" t="s">
        <v>91</v>
      </c>
      <c r="D55" s="131" t="s">
        <v>82</v>
      </c>
      <c r="E55" s="131" t="s">
        <v>95</v>
      </c>
      <c r="F55" s="132" t="s">
        <v>96</v>
      </c>
      <c r="G55" s="242"/>
      <c r="H55" s="257">
        <f>H56+H69</f>
        <v>45376.2</v>
      </c>
      <c r="I55" s="257">
        <f>I56+I69</f>
        <v>44438.899999999994</v>
      </c>
    </row>
    <row r="56" spans="1:9" ht="37.5">
      <c r="A56" s="243"/>
      <c r="B56" s="256" t="s">
        <v>361</v>
      </c>
      <c r="C56" s="130" t="s">
        <v>91</v>
      </c>
      <c r="D56" s="131" t="s">
        <v>82</v>
      </c>
      <c r="E56" s="131" t="s">
        <v>89</v>
      </c>
      <c r="F56" s="132" t="s">
        <v>96</v>
      </c>
      <c r="G56" s="242"/>
      <c r="H56" s="257">
        <f>H57+H61+H67+H64</f>
        <v>41418.6</v>
      </c>
      <c r="I56" s="257">
        <f>I57+I61+I67+I64</f>
        <v>40491.199999999997</v>
      </c>
    </row>
    <row r="57" spans="1:9" ht="37.5">
      <c r="A57" s="243"/>
      <c r="B57" s="256" t="s">
        <v>99</v>
      </c>
      <c r="C57" s="130" t="s">
        <v>91</v>
      </c>
      <c r="D57" s="131" t="s">
        <v>82</v>
      </c>
      <c r="E57" s="131" t="s">
        <v>89</v>
      </c>
      <c r="F57" s="132" t="s">
        <v>100</v>
      </c>
      <c r="G57" s="133"/>
      <c r="H57" s="257">
        <f>SUM(H58:H60)</f>
        <v>8014.5</v>
      </c>
      <c r="I57" s="257">
        <f>SUM(I58:I60)</f>
        <v>7866.5</v>
      </c>
    </row>
    <row r="58" spans="1:9" ht="93.75">
      <c r="A58" s="243"/>
      <c r="B58" s="256" t="s">
        <v>101</v>
      </c>
      <c r="C58" s="130" t="s">
        <v>91</v>
      </c>
      <c r="D58" s="131" t="s">
        <v>82</v>
      </c>
      <c r="E58" s="131" t="s">
        <v>89</v>
      </c>
      <c r="F58" s="132" t="s">
        <v>100</v>
      </c>
      <c r="G58" s="133" t="s">
        <v>102</v>
      </c>
      <c r="H58" s="257">
        <f>'прил13(ведом 20-21)'!M232</f>
        <v>7866.5</v>
      </c>
      <c r="I58" s="257">
        <f>'прил13(ведом 20-21)'!N232</f>
        <v>7866.5</v>
      </c>
    </row>
    <row r="59" spans="1:9" ht="37.5">
      <c r="A59" s="243"/>
      <c r="B59" s="256" t="s">
        <v>107</v>
      </c>
      <c r="C59" s="130" t="s">
        <v>91</v>
      </c>
      <c r="D59" s="131" t="s">
        <v>82</v>
      </c>
      <c r="E59" s="131" t="s">
        <v>89</v>
      </c>
      <c r="F59" s="132" t="s">
        <v>100</v>
      </c>
      <c r="G59" s="133" t="s">
        <v>108</v>
      </c>
      <c r="H59" s="257">
        <f>'прил13(ведом 20-21)'!M233</f>
        <v>133.19999999999999</v>
      </c>
      <c r="I59" s="257">
        <f>'прил13(ведом 20-21)'!N233</f>
        <v>0</v>
      </c>
    </row>
    <row r="60" spans="1:9" ht="18.75">
      <c r="A60" s="243"/>
      <c r="B60" s="256" t="s">
        <v>109</v>
      </c>
      <c r="C60" s="130" t="s">
        <v>91</v>
      </c>
      <c r="D60" s="131" t="s">
        <v>82</v>
      </c>
      <c r="E60" s="131" t="s">
        <v>89</v>
      </c>
      <c r="F60" s="132" t="s">
        <v>100</v>
      </c>
      <c r="G60" s="133" t="s">
        <v>110</v>
      </c>
      <c r="H60" s="257">
        <f>'прил13(ведом 20-21)'!M234</f>
        <v>14.8</v>
      </c>
      <c r="I60" s="257">
        <f>'прил13(ведом 20-21)'!N234</f>
        <v>0</v>
      </c>
    </row>
    <row r="61" spans="1:9" ht="75">
      <c r="A61" s="243"/>
      <c r="B61" s="256" t="s">
        <v>150</v>
      </c>
      <c r="C61" s="130" t="s">
        <v>91</v>
      </c>
      <c r="D61" s="131" t="s">
        <v>82</v>
      </c>
      <c r="E61" s="131" t="s">
        <v>89</v>
      </c>
      <c r="F61" s="132" t="s">
        <v>152</v>
      </c>
      <c r="G61" s="133"/>
      <c r="H61" s="257">
        <f>SUM(H62:H63)</f>
        <v>25568.799999999999</v>
      </c>
      <c r="I61" s="257">
        <f>SUM(I62:I63)</f>
        <v>24789.399999999998</v>
      </c>
    </row>
    <row r="62" spans="1:9" ht="93.75">
      <c r="A62" s="243"/>
      <c r="B62" s="256" t="s">
        <v>101</v>
      </c>
      <c r="C62" s="130" t="s">
        <v>91</v>
      </c>
      <c r="D62" s="131" t="s">
        <v>82</v>
      </c>
      <c r="E62" s="131" t="s">
        <v>89</v>
      </c>
      <c r="F62" s="132" t="s">
        <v>152</v>
      </c>
      <c r="G62" s="133" t="s">
        <v>102</v>
      </c>
      <c r="H62" s="257">
        <f>'прил13(ведом 20-21)'!M236</f>
        <v>24757.3</v>
      </c>
      <c r="I62" s="257">
        <f>'прил13(ведом 20-21)'!N236</f>
        <v>24757.3</v>
      </c>
    </row>
    <row r="63" spans="1:9" ht="37.5">
      <c r="A63" s="243"/>
      <c r="B63" s="256" t="s">
        <v>107</v>
      </c>
      <c r="C63" s="130" t="s">
        <v>91</v>
      </c>
      <c r="D63" s="131" t="s">
        <v>82</v>
      </c>
      <c r="E63" s="131" t="s">
        <v>89</v>
      </c>
      <c r="F63" s="132" t="s">
        <v>152</v>
      </c>
      <c r="G63" s="133" t="s">
        <v>108</v>
      </c>
      <c r="H63" s="257">
        <f>'прил13(ведом 20-21)'!M237</f>
        <v>811.5</v>
      </c>
      <c r="I63" s="257">
        <f>'прил13(ведом 20-21)'!N237</f>
        <v>32.1</v>
      </c>
    </row>
    <row r="64" spans="1:9" ht="112.5">
      <c r="A64" s="243"/>
      <c r="B64" s="219" t="s">
        <v>467</v>
      </c>
      <c r="C64" s="130" t="s">
        <v>91</v>
      </c>
      <c r="D64" s="131" t="s">
        <v>82</v>
      </c>
      <c r="E64" s="131" t="s">
        <v>89</v>
      </c>
      <c r="F64" s="132" t="s">
        <v>348</v>
      </c>
      <c r="G64" s="133"/>
      <c r="H64" s="257">
        <f>SUM(H65:H66)</f>
        <v>5763.2</v>
      </c>
      <c r="I64" s="257">
        <f>SUM(I65:I66)</f>
        <v>5763.2</v>
      </c>
    </row>
    <row r="65" spans="1:9" ht="93.75">
      <c r="A65" s="243"/>
      <c r="B65" s="219" t="s">
        <v>101</v>
      </c>
      <c r="C65" s="130" t="s">
        <v>91</v>
      </c>
      <c r="D65" s="131" t="s">
        <v>82</v>
      </c>
      <c r="E65" s="131" t="s">
        <v>89</v>
      </c>
      <c r="F65" s="132" t="s">
        <v>348</v>
      </c>
      <c r="G65" s="133" t="s">
        <v>102</v>
      </c>
      <c r="H65" s="257">
        <f>'прил13(ведом 20-21)'!M239</f>
        <v>5594.5</v>
      </c>
      <c r="I65" s="257">
        <f>'прил13(ведом 20-21)'!N239</f>
        <v>5594.5</v>
      </c>
    </row>
    <row r="66" spans="1:9" ht="37.5">
      <c r="A66" s="243"/>
      <c r="B66" s="256" t="s">
        <v>107</v>
      </c>
      <c r="C66" s="130" t="s">
        <v>91</v>
      </c>
      <c r="D66" s="131" t="s">
        <v>82</v>
      </c>
      <c r="E66" s="131" t="s">
        <v>89</v>
      </c>
      <c r="F66" s="132" t="s">
        <v>348</v>
      </c>
      <c r="G66" s="133" t="s">
        <v>108</v>
      </c>
      <c r="H66" s="257">
        <f>'прил13(ведом 20-21)'!M240</f>
        <v>168.7</v>
      </c>
      <c r="I66" s="257">
        <f>'прил13(ведом 20-21)'!N240</f>
        <v>168.7</v>
      </c>
    </row>
    <row r="67" spans="1:9" ht="18.75">
      <c r="A67" s="243"/>
      <c r="B67" s="219" t="s">
        <v>696</v>
      </c>
      <c r="C67" s="130" t="s">
        <v>91</v>
      </c>
      <c r="D67" s="131" t="s">
        <v>82</v>
      </c>
      <c r="E67" s="131" t="s">
        <v>89</v>
      </c>
      <c r="F67" s="132" t="s">
        <v>468</v>
      </c>
      <c r="G67" s="133"/>
      <c r="H67" s="257">
        <f>SUM(H68:H68)</f>
        <v>2072.1</v>
      </c>
      <c r="I67" s="257">
        <f>SUM(I68:I68)</f>
        <v>2072.1</v>
      </c>
    </row>
    <row r="68" spans="1:9" ht="56.25">
      <c r="A68" s="243"/>
      <c r="B68" s="256" t="s">
        <v>134</v>
      </c>
      <c r="C68" s="130" t="s">
        <v>91</v>
      </c>
      <c r="D68" s="131" t="s">
        <v>82</v>
      </c>
      <c r="E68" s="131" t="s">
        <v>89</v>
      </c>
      <c r="F68" s="132" t="s">
        <v>468</v>
      </c>
      <c r="G68" s="133" t="s">
        <v>135</v>
      </c>
      <c r="H68" s="257">
        <f>'прил13(ведом 20-21)'!M205</f>
        <v>2072.1</v>
      </c>
      <c r="I68" s="257">
        <f>'прил13(ведом 20-21)'!N205</f>
        <v>2072.1</v>
      </c>
    </row>
    <row r="69" spans="1:9" ht="37.5">
      <c r="A69" s="243"/>
      <c r="B69" s="219" t="s">
        <v>360</v>
      </c>
      <c r="C69" s="130" t="s">
        <v>91</v>
      </c>
      <c r="D69" s="131" t="s">
        <v>82</v>
      </c>
      <c r="E69" s="131" t="s">
        <v>91</v>
      </c>
      <c r="F69" s="132" t="s">
        <v>96</v>
      </c>
      <c r="G69" s="133"/>
      <c r="H69" s="257">
        <f>H70</f>
        <v>3957.6</v>
      </c>
      <c r="I69" s="257">
        <f>I70</f>
        <v>3947.7</v>
      </c>
    </row>
    <row r="70" spans="1:9" ht="37.5">
      <c r="A70" s="243"/>
      <c r="B70" s="256" t="s">
        <v>470</v>
      </c>
      <c r="C70" s="131" t="s">
        <v>91</v>
      </c>
      <c r="D70" s="131" t="s">
        <v>82</v>
      </c>
      <c r="E70" s="131" t="s">
        <v>91</v>
      </c>
      <c r="F70" s="132" t="s">
        <v>591</v>
      </c>
      <c r="G70" s="133"/>
      <c r="H70" s="257">
        <f>H71</f>
        <v>3957.6</v>
      </c>
      <c r="I70" s="257">
        <f>I71</f>
        <v>3947.7</v>
      </c>
    </row>
    <row r="71" spans="1:9" ht="56.25">
      <c r="A71" s="243"/>
      <c r="B71" s="256" t="s">
        <v>134</v>
      </c>
      <c r="C71" s="131" t="s">
        <v>91</v>
      </c>
      <c r="D71" s="131" t="s">
        <v>82</v>
      </c>
      <c r="E71" s="131" t="s">
        <v>91</v>
      </c>
      <c r="F71" s="132" t="s">
        <v>591</v>
      </c>
      <c r="G71" s="133" t="s">
        <v>135</v>
      </c>
      <c r="H71" s="257">
        <f>'прил13(ведом 20-21)'!M226</f>
        <v>3957.6</v>
      </c>
      <c r="I71" s="257">
        <f>'прил13(ведом 20-21)'!N226</f>
        <v>3947.7</v>
      </c>
    </row>
    <row r="72" spans="1:9" ht="18.75">
      <c r="A72" s="243"/>
      <c r="B72" s="260"/>
      <c r="C72" s="390"/>
      <c r="D72" s="272"/>
      <c r="E72" s="272"/>
      <c r="F72" s="391"/>
      <c r="G72" s="242"/>
      <c r="H72" s="257"/>
      <c r="I72" s="257"/>
    </row>
    <row r="73" spans="1:9" s="255" customFormat="1" ht="56.25">
      <c r="A73" s="261">
        <v>2</v>
      </c>
      <c r="B73" s="250" t="s">
        <v>286</v>
      </c>
      <c r="C73" s="251" t="s">
        <v>118</v>
      </c>
      <c r="D73" s="251" t="s">
        <v>94</v>
      </c>
      <c r="E73" s="251" t="s">
        <v>95</v>
      </c>
      <c r="F73" s="252" t="s">
        <v>96</v>
      </c>
      <c r="G73" s="253"/>
      <c r="H73" s="254">
        <f>H74+H90+H86</f>
        <v>77127.400000000009</v>
      </c>
      <c r="I73" s="254">
        <f>I74+I90+I86</f>
        <v>77097.5</v>
      </c>
    </row>
    <row r="74" spans="1:9" s="255" customFormat="1" ht="56.25">
      <c r="A74" s="243"/>
      <c r="B74" s="264" t="s">
        <v>287</v>
      </c>
      <c r="C74" s="130" t="s">
        <v>118</v>
      </c>
      <c r="D74" s="131" t="s">
        <v>97</v>
      </c>
      <c r="E74" s="131" t="s">
        <v>95</v>
      </c>
      <c r="F74" s="132" t="s">
        <v>96</v>
      </c>
      <c r="G74" s="242"/>
      <c r="H74" s="257">
        <f>H75+H78+H83</f>
        <v>69168.100000000006</v>
      </c>
      <c r="I74" s="257">
        <f>I75+I78+I83</f>
        <v>69165.5</v>
      </c>
    </row>
    <row r="75" spans="1:9" s="255" customFormat="1" ht="34.15" customHeight="1">
      <c r="A75" s="243"/>
      <c r="B75" s="264" t="s">
        <v>355</v>
      </c>
      <c r="C75" s="130" t="s">
        <v>118</v>
      </c>
      <c r="D75" s="131" t="s">
        <v>97</v>
      </c>
      <c r="E75" s="131" t="s">
        <v>89</v>
      </c>
      <c r="F75" s="132" t="s">
        <v>96</v>
      </c>
      <c r="G75" s="242"/>
      <c r="H75" s="257">
        <f>H76</f>
        <v>48567.5</v>
      </c>
      <c r="I75" s="257">
        <f>I76</f>
        <v>48567.5</v>
      </c>
    </row>
    <row r="76" spans="1:9" s="255" customFormat="1" ht="75">
      <c r="A76" s="243"/>
      <c r="B76" s="265" t="s">
        <v>419</v>
      </c>
      <c r="C76" s="130" t="s">
        <v>118</v>
      </c>
      <c r="D76" s="131" t="s">
        <v>97</v>
      </c>
      <c r="E76" s="131" t="s">
        <v>89</v>
      </c>
      <c r="F76" s="132" t="s">
        <v>152</v>
      </c>
      <c r="G76" s="133"/>
      <c r="H76" s="257">
        <f>H77</f>
        <v>48567.5</v>
      </c>
      <c r="I76" s="257">
        <f>I77</f>
        <v>48567.5</v>
      </c>
    </row>
    <row r="77" spans="1:9" s="255" customFormat="1" ht="56.25">
      <c r="A77" s="243"/>
      <c r="B77" s="258" t="s">
        <v>134</v>
      </c>
      <c r="C77" s="130" t="s">
        <v>118</v>
      </c>
      <c r="D77" s="131" t="s">
        <v>97</v>
      </c>
      <c r="E77" s="131" t="s">
        <v>89</v>
      </c>
      <c r="F77" s="132" t="s">
        <v>152</v>
      </c>
      <c r="G77" s="133" t="s">
        <v>135</v>
      </c>
      <c r="H77" s="257">
        <f>'прил13(ведом 20-21)'!M257</f>
        <v>48567.5</v>
      </c>
      <c r="I77" s="257">
        <f>'прил13(ведом 20-21)'!N257</f>
        <v>48567.5</v>
      </c>
    </row>
    <row r="78" spans="1:9" s="255" customFormat="1" ht="18.75">
      <c r="A78" s="243"/>
      <c r="B78" s="256" t="s">
        <v>422</v>
      </c>
      <c r="C78" s="268" t="s">
        <v>118</v>
      </c>
      <c r="D78" s="269" t="s">
        <v>97</v>
      </c>
      <c r="E78" s="269" t="s">
        <v>118</v>
      </c>
      <c r="F78" s="270" t="s">
        <v>96</v>
      </c>
      <c r="G78" s="271"/>
      <c r="H78" s="257">
        <f>H79+H81</f>
        <v>10546.4</v>
      </c>
      <c r="I78" s="257">
        <f>I79+I81</f>
        <v>10543.8</v>
      </c>
    </row>
    <row r="79" spans="1:9" s="255" customFormat="1" ht="75">
      <c r="A79" s="243"/>
      <c r="B79" s="265" t="s">
        <v>423</v>
      </c>
      <c r="C79" s="268" t="s">
        <v>118</v>
      </c>
      <c r="D79" s="269" t="s">
        <v>97</v>
      </c>
      <c r="E79" s="269" t="s">
        <v>118</v>
      </c>
      <c r="F79" s="270" t="s">
        <v>152</v>
      </c>
      <c r="G79" s="271"/>
      <c r="H79" s="257">
        <f>H80</f>
        <v>10543.8</v>
      </c>
      <c r="I79" s="257">
        <f>I80</f>
        <v>10543.8</v>
      </c>
    </row>
    <row r="80" spans="1:9" s="255" customFormat="1" ht="56.25">
      <c r="A80" s="243"/>
      <c r="B80" s="258" t="s">
        <v>134</v>
      </c>
      <c r="C80" s="130" t="s">
        <v>118</v>
      </c>
      <c r="D80" s="131" t="s">
        <v>97</v>
      </c>
      <c r="E80" s="131" t="s">
        <v>118</v>
      </c>
      <c r="F80" s="132" t="s">
        <v>152</v>
      </c>
      <c r="G80" s="133" t="s">
        <v>135</v>
      </c>
      <c r="H80" s="257">
        <f>'прил13(ведом 20-21)'!M264</f>
        <v>10543.8</v>
      </c>
      <c r="I80" s="257">
        <f>'прил13(ведом 20-21)'!N264</f>
        <v>10543.8</v>
      </c>
    </row>
    <row r="81" spans="1:9" s="255" customFormat="1" ht="37.5">
      <c r="A81" s="243"/>
      <c r="B81" s="258" t="s">
        <v>420</v>
      </c>
      <c r="C81" s="705" t="s">
        <v>118</v>
      </c>
      <c r="D81" s="706" t="s">
        <v>97</v>
      </c>
      <c r="E81" s="706" t="s">
        <v>118</v>
      </c>
      <c r="F81" s="707" t="s">
        <v>421</v>
      </c>
      <c r="G81" s="133"/>
      <c r="H81" s="257">
        <f>H82</f>
        <v>2.6</v>
      </c>
      <c r="I81" s="257">
        <f>I82</f>
        <v>0</v>
      </c>
    </row>
    <row r="82" spans="1:9" s="255" customFormat="1" ht="56.25">
      <c r="A82" s="243"/>
      <c r="B82" s="258" t="s">
        <v>134</v>
      </c>
      <c r="C82" s="705" t="s">
        <v>118</v>
      </c>
      <c r="D82" s="706" t="s">
        <v>97</v>
      </c>
      <c r="E82" s="706" t="s">
        <v>118</v>
      </c>
      <c r="F82" s="707" t="s">
        <v>421</v>
      </c>
      <c r="G82" s="133" t="s">
        <v>135</v>
      </c>
      <c r="H82" s="257">
        <f>'прил13(ведом 20-21)'!M266</f>
        <v>2.6</v>
      </c>
      <c r="I82" s="257">
        <f>'прил13(ведом 20-21)'!N266</f>
        <v>0</v>
      </c>
    </row>
    <row r="83" spans="1:9" s="255" customFormat="1" ht="37.5">
      <c r="A83" s="243"/>
      <c r="B83" s="258" t="s">
        <v>425</v>
      </c>
      <c r="C83" s="268" t="s">
        <v>118</v>
      </c>
      <c r="D83" s="269" t="s">
        <v>97</v>
      </c>
      <c r="E83" s="269" t="s">
        <v>104</v>
      </c>
      <c r="F83" s="132" t="s">
        <v>96</v>
      </c>
      <c r="G83" s="133"/>
      <c r="H83" s="257">
        <f>H84</f>
        <v>10054.200000000001</v>
      </c>
      <c r="I83" s="257">
        <f>I84</f>
        <v>10054.200000000001</v>
      </c>
    </row>
    <row r="84" spans="1:9" s="255" customFormat="1" ht="75">
      <c r="A84" s="243"/>
      <c r="B84" s="265" t="s">
        <v>423</v>
      </c>
      <c r="C84" s="268" t="s">
        <v>118</v>
      </c>
      <c r="D84" s="269" t="s">
        <v>97</v>
      </c>
      <c r="E84" s="269" t="s">
        <v>104</v>
      </c>
      <c r="F84" s="270" t="s">
        <v>152</v>
      </c>
      <c r="G84" s="271"/>
      <c r="H84" s="257">
        <f>SUM(H85:H85)</f>
        <v>10054.200000000001</v>
      </c>
      <c r="I84" s="257">
        <f>SUM(I85:I85)</f>
        <v>10054.200000000001</v>
      </c>
    </row>
    <row r="85" spans="1:9" s="255" customFormat="1" ht="93.75">
      <c r="A85" s="243"/>
      <c r="B85" s="219" t="s">
        <v>101</v>
      </c>
      <c r="C85" s="130" t="s">
        <v>118</v>
      </c>
      <c r="D85" s="131" t="s">
        <v>97</v>
      </c>
      <c r="E85" s="131" t="s">
        <v>104</v>
      </c>
      <c r="F85" s="132" t="s">
        <v>152</v>
      </c>
      <c r="G85" s="133" t="s">
        <v>102</v>
      </c>
      <c r="H85" s="257">
        <f>'прил13(ведом 20-21)'!M269</f>
        <v>10054.200000000001</v>
      </c>
      <c r="I85" s="257">
        <f>'прил13(ведом 20-21)'!N269</f>
        <v>10054.200000000001</v>
      </c>
    </row>
    <row r="86" spans="1:9" s="255" customFormat="1" ht="37.5">
      <c r="A86" s="243"/>
      <c r="B86" s="256" t="s">
        <v>433</v>
      </c>
      <c r="C86" s="268" t="s">
        <v>118</v>
      </c>
      <c r="D86" s="269" t="s">
        <v>149</v>
      </c>
      <c r="E86" s="269" t="s">
        <v>95</v>
      </c>
      <c r="F86" s="132" t="s">
        <v>96</v>
      </c>
      <c r="G86" s="271"/>
      <c r="H86" s="257">
        <f t="shared" ref="H86:I88" si="0">H87</f>
        <v>2.1</v>
      </c>
      <c r="I86" s="257">
        <f t="shared" si="0"/>
        <v>0</v>
      </c>
    </row>
    <row r="87" spans="1:9" s="255" customFormat="1" ht="93.75">
      <c r="A87" s="243"/>
      <c r="B87" s="258" t="s">
        <v>426</v>
      </c>
      <c r="C87" s="268" t="s">
        <v>118</v>
      </c>
      <c r="D87" s="269" t="s">
        <v>149</v>
      </c>
      <c r="E87" s="269" t="s">
        <v>118</v>
      </c>
      <c r="F87" s="132" t="s">
        <v>96</v>
      </c>
      <c r="G87" s="271"/>
      <c r="H87" s="257">
        <f t="shared" si="0"/>
        <v>2.1</v>
      </c>
      <c r="I87" s="257">
        <f t="shared" si="0"/>
        <v>0</v>
      </c>
    </row>
    <row r="88" spans="1:9" s="255" customFormat="1" ht="37.5">
      <c r="A88" s="243"/>
      <c r="B88" s="258" t="s">
        <v>420</v>
      </c>
      <c r="C88" s="268" t="s">
        <v>118</v>
      </c>
      <c r="D88" s="269" t="s">
        <v>149</v>
      </c>
      <c r="E88" s="269" t="s">
        <v>118</v>
      </c>
      <c r="F88" s="270" t="s">
        <v>421</v>
      </c>
      <c r="G88" s="242"/>
      <c r="H88" s="257">
        <f t="shared" si="0"/>
        <v>2.1</v>
      </c>
      <c r="I88" s="257">
        <f t="shared" si="0"/>
        <v>0</v>
      </c>
    </row>
    <row r="89" spans="1:9" s="255" customFormat="1" ht="56.25">
      <c r="A89" s="243"/>
      <c r="B89" s="258" t="s">
        <v>134</v>
      </c>
      <c r="C89" s="130" t="s">
        <v>118</v>
      </c>
      <c r="D89" s="131" t="s">
        <v>149</v>
      </c>
      <c r="E89" s="131" t="s">
        <v>118</v>
      </c>
      <c r="F89" s="132" t="s">
        <v>421</v>
      </c>
      <c r="G89" s="133" t="s">
        <v>135</v>
      </c>
      <c r="H89" s="257">
        <f>'прил13(ведом 20-21)'!M273</f>
        <v>2.1</v>
      </c>
      <c r="I89" s="257">
        <f>'прил13(ведом 20-21)'!N273</f>
        <v>0</v>
      </c>
    </row>
    <row r="90" spans="1:9" s="255" customFormat="1" ht="56.25">
      <c r="A90" s="243"/>
      <c r="B90" s="256" t="s">
        <v>289</v>
      </c>
      <c r="C90" s="130" t="s">
        <v>118</v>
      </c>
      <c r="D90" s="131" t="s">
        <v>82</v>
      </c>
      <c r="E90" s="131" t="s">
        <v>95</v>
      </c>
      <c r="F90" s="132" t="s">
        <v>96</v>
      </c>
      <c r="G90" s="242"/>
      <c r="H90" s="257">
        <f>H91</f>
        <v>7957.2</v>
      </c>
      <c r="I90" s="257">
        <f>I91</f>
        <v>7932</v>
      </c>
    </row>
    <row r="91" spans="1:9" s="255" customFormat="1" ht="37.5">
      <c r="A91" s="243"/>
      <c r="B91" s="256" t="s">
        <v>361</v>
      </c>
      <c r="C91" s="130" t="s">
        <v>118</v>
      </c>
      <c r="D91" s="131" t="s">
        <v>82</v>
      </c>
      <c r="E91" s="131" t="s">
        <v>89</v>
      </c>
      <c r="F91" s="132" t="s">
        <v>96</v>
      </c>
      <c r="G91" s="133"/>
      <c r="H91" s="257">
        <f>H92+H95</f>
        <v>7957.2</v>
      </c>
      <c r="I91" s="257">
        <f>I92+I95</f>
        <v>7932</v>
      </c>
    </row>
    <row r="92" spans="1:9" ht="37.5">
      <c r="A92" s="243"/>
      <c r="B92" s="256" t="s">
        <v>99</v>
      </c>
      <c r="C92" s="130" t="s">
        <v>118</v>
      </c>
      <c r="D92" s="131" t="s">
        <v>82</v>
      </c>
      <c r="E92" s="131" t="s">
        <v>89</v>
      </c>
      <c r="F92" s="132" t="s">
        <v>100</v>
      </c>
      <c r="G92" s="271"/>
      <c r="H92" s="257">
        <f>SUM(H93:H94)</f>
        <v>2438.3999999999996</v>
      </c>
      <c r="I92" s="257">
        <f>SUM(I93:I94)</f>
        <v>2413.1999999999998</v>
      </c>
    </row>
    <row r="93" spans="1:9" ht="93.75">
      <c r="A93" s="243"/>
      <c r="B93" s="256" t="s">
        <v>101</v>
      </c>
      <c r="C93" s="130" t="s">
        <v>118</v>
      </c>
      <c r="D93" s="131" t="s">
        <v>82</v>
      </c>
      <c r="E93" s="131" t="s">
        <v>89</v>
      </c>
      <c r="F93" s="132" t="s">
        <v>100</v>
      </c>
      <c r="G93" s="271" t="s">
        <v>102</v>
      </c>
      <c r="H93" s="257">
        <f>'прил13(ведом 20-21)'!M279</f>
        <v>2413.1999999999998</v>
      </c>
      <c r="I93" s="257">
        <f>'прил13(ведом 20-21)'!N279</f>
        <v>2413.1999999999998</v>
      </c>
    </row>
    <row r="94" spans="1:9" ht="37.5">
      <c r="A94" s="243"/>
      <c r="B94" s="256" t="s">
        <v>107</v>
      </c>
      <c r="C94" s="130" t="s">
        <v>118</v>
      </c>
      <c r="D94" s="131" t="s">
        <v>82</v>
      </c>
      <c r="E94" s="131" t="s">
        <v>89</v>
      </c>
      <c r="F94" s="132" t="s">
        <v>100</v>
      </c>
      <c r="G94" s="271" t="s">
        <v>108</v>
      </c>
      <c r="H94" s="257">
        <f>'прил13(ведом 20-21)'!M280</f>
        <v>25.2</v>
      </c>
      <c r="I94" s="257">
        <f>'прил13(ведом 20-21)'!N280</f>
        <v>0</v>
      </c>
    </row>
    <row r="95" spans="1:9" ht="75">
      <c r="A95" s="243"/>
      <c r="B95" s="265" t="s">
        <v>423</v>
      </c>
      <c r="C95" s="130" t="s">
        <v>118</v>
      </c>
      <c r="D95" s="131" t="s">
        <v>82</v>
      </c>
      <c r="E95" s="131" t="s">
        <v>89</v>
      </c>
      <c r="F95" s="132" t="s">
        <v>152</v>
      </c>
      <c r="G95" s="133"/>
      <c r="H95" s="257">
        <f>SUM(H96:H96)</f>
        <v>5518.8</v>
      </c>
      <c r="I95" s="257">
        <f>SUM(I96:I96)</f>
        <v>5518.8</v>
      </c>
    </row>
    <row r="96" spans="1:9" ht="93.75">
      <c r="A96" s="243"/>
      <c r="B96" s="256" t="s">
        <v>101</v>
      </c>
      <c r="C96" s="130" t="s">
        <v>118</v>
      </c>
      <c r="D96" s="131" t="s">
        <v>82</v>
      </c>
      <c r="E96" s="131" t="s">
        <v>89</v>
      </c>
      <c r="F96" s="132" t="s">
        <v>152</v>
      </c>
      <c r="G96" s="271" t="s">
        <v>102</v>
      </c>
      <c r="H96" s="257">
        <f>'прил13(ведом 20-21)'!M282</f>
        <v>5518.8</v>
      </c>
      <c r="I96" s="257">
        <f>'прил13(ведом 20-21)'!N282</f>
        <v>5518.8</v>
      </c>
    </row>
    <row r="97" spans="1:9" ht="18.75">
      <c r="A97" s="243"/>
      <c r="B97" s="260"/>
      <c r="C97" s="701"/>
      <c r="D97" s="701"/>
      <c r="E97" s="273"/>
      <c r="F97" s="274"/>
      <c r="G97" s="242"/>
      <c r="H97" s="257"/>
      <c r="I97" s="257"/>
    </row>
    <row r="98" spans="1:9" s="255" customFormat="1" ht="56.25">
      <c r="A98" s="261">
        <v>3</v>
      </c>
      <c r="B98" s="275" t="s">
        <v>290</v>
      </c>
      <c r="C98" s="262" t="s">
        <v>104</v>
      </c>
      <c r="D98" s="262" t="s">
        <v>94</v>
      </c>
      <c r="E98" s="262" t="s">
        <v>95</v>
      </c>
      <c r="F98" s="263" t="s">
        <v>96</v>
      </c>
      <c r="G98" s="253"/>
      <c r="H98" s="254">
        <f>H99+H113</f>
        <v>36523.530999999995</v>
      </c>
      <c r="I98" s="254">
        <f>I99</f>
        <v>27558</v>
      </c>
    </row>
    <row r="99" spans="1:9" ht="37.5">
      <c r="A99" s="243"/>
      <c r="B99" s="256" t="s">
        <v>293</v>
      </c>
      <c r="C99" s="130" t="s">
        <v>104</v>
      </c>
      <c r="D99" s="131" t="s">
        <v>149</v>
      </c>
      <c r="E99" s="131" t="s">
        <v>95</v>
      </c>
      <c r="F99" s="132" t="s">
        <v>96</v>
      </c>
      <c r="G99" s="242"/>
      <c r="H99" s="257">
        <f>H100+H105</f>
        <v>32058.1</v>
      </c>
      <c r="I99" s="257">
        <f>I100+I105</f>
        <v>27558</v>
      </c>
    </row>
    <row r="100" spans="1:9" ht="37.5">
      <c r="A100" s="243"/>
      <c r="B100" s="256" t="s">
        <v>361</v>
      </c>
      <c r="C100" s="130" t="s">
        <v>104</v>
      </c>
      <c r="D100" s="131" t="s">
        <v>149</v>
      </c>
      <c r="E100" s="131" t="s">
        <v>89</v>
      </c>
      <c r="F100" s="132" t="s">
        <v>96</v>
      </c>
      <c r="G100" s="133"/>
      <c r="H100" s="257">
        <f>H101</f>
        <v>2282.9999999999995</v>
      </c>
      <c r="I100" s="257">
        <f>I101</f>
        <v>2262.1</v>
      </c>
    </row>
    <row r="101" spans="1:9" ht="37.5">
      <c r="A101" s="243"/>
      <c r="B101" s="256" t="s">
        <v>99</v>
      </c>
      <c r="C101" s="130" t="s">
        <v>104</v>
      </c>
      <c r="D101" s="131" t="s">
        <v>149</v>
      </c>
      <c r="E101" s="131" t="s">
        <v>89</v>
      </c>
      <c r="F101" s="132" t="s">
        <v>100</v>
      </c>
      <c r="G101" s="133"/>
      <c r="H101" s="257">
        <f>SUM(H102:H104)</f>
        <v>2282.9999999999995</v>
      </c>
      <c r="I101" s="257">
        <f>SUM(I102:I104)</f>
        <v>2262.1</v>
      </c>
    </row>
    <row r="102" spans="1:9" ht="93.75">
      <c r="A102" s="243"/>
      <c r="B102" s="256" t="s">
        <v>101</v>
      </c>
      <c r="C102" s="130" t="s">
        <v>104</v>
      </c>
      <c r="D102" s="131" t="s">
        <v>149</v>
      </c>
      <c r="E102" s="131" t="s">
        <v>89</v>
      </c>
      <c r="F102" s="132" t="s">
        <v>100</v>
      </c>
      <c r="G102" s="133" t="s">
        <v>102</v>
      </c>
      <c r="H102" s="257">
        <f>'прил13(ведом 20-21)'!M306</f>
        <v>2262.1</v>
      </c>
      <c r="I102" s="257">
        <f>'прил13(ведом 20-21)'!N306</f>
        <v>2262.1</v>
      </c>
    </row>
    <row r="103" spans="1:9" ht="37.5">
      <c r="A103" s="243"/>
      <c r="B103" s="219" t="s">
        <v>107</v>
      </c>
      <c r="C103" s="130" t="s">
        <v>104</v>
      </c>
      <c r="D103" s="131" t="s">
        <v>149</v>
      </c>
      <c r="E103" s="131" t="s">
        <v>89</v>
      </c>
      <c r="F103" s="132" t="s">
        <v>100</v>
      </c>
      <c r="G103" s="133" t="s">
        <v>108</v>
      </c>
      <c r="H103" s="257">
        <f>'прил13(ведом 20-21)'!M307</f>
        <v>18.7</v>
      </c>
      <c r="I103" s="257">
        <f>'прил13(ведом 20-21)'!N307</f>
        <v>0</v>
      </c>
    </row>
    <row r="104" spans="1:9" ht="18.75">
      <c r="A104" s="243"/>
      <c r="B104" s="219" t="s">
        <v>109</v>
      </c>
      <c r="C104" s="130" t="s">
        <v>104</v>
      </c>
      <c r="D104" s="131" t="s">
        <v>149</v>
      </c>
      <c r="E104" s="131" t="s">
        <v>89</v>
      </c>
      <c r="F104" s="132" t="s">
        <v>100</v>
      </c>
      <c r="G104" s="133" t="s">
        <v>110</v>
      </c>
      <c r="H104" s="257">
        <f>'прил13(ведом 20-21)'!M308</f>
        <v>2.2000000000000002</v>
      </c>
      <c r="I104" s="257">
        <f>'прил13(ведом 20-21)'!N308</f>
        <v>0</v>
      </c>
    </row>
    <row r="105" spans="1:9" ht="18.75">
      <c r="A105" s="243"/>
      <c r="B105" s="256" t="s">
        <v>503</v>
      </c>
      <c r="C105" s="130" t="s">
        <v>104</v>
      </c>
      <c r="D105" s="131" t="s">
        <v>149</v>
      </c>
      <c r="E105" s="131" t="s">
        <v>91</v>
      </c>
      <c r="F105" s="132" t="s">
        <v>96</v>
      </c>
      <c r="G105" s="133"/>
      <c r="H105" s="257">
        <f>H106+H110</f>
        <v>29775.1</v>
      </c>
      <c r="I105" s="257">
        <f>I106+I110</f>
        <v>25295.9</v>
      </c>
    </row>
    <row r="106" spans="1:9" ht="75">
      <c r="A106" s="243"/>
      <c r="B106" s="256" t="s">
        <v>150</v>
      </c>
      <c r="C106" s="130" t="s">
        <v>104</v>
      </c>
      <c r="D106" s="131" t="s">
        <v>149</v>
      </c>
      <c r="E106" s="131" t="s">
        <v>91</v>
      </c>
      <c r="F106" s="132" t="s">
        <v>152</v>
      </c>
      <c r="G106" s="133"/>
      <c r="H106" s="257">
        <f>SUM(H107:H109)</f>
        <v>29688.5</v>
      </c>
      <c r="I106" s="257">
        <f>SUM(I107:I109)</f>
        <v>25254.2</v>
      </c>
    </row>
    <row r="107" spans="1:9" ht="93.75">
      <c r="A107" s="243"/>
      <c r="B107" s="256" t="s">
        <v>101</v>
      </c>
      <c r="C107" s="130" t="s">
        <v>104</v>
      </c>
      <c r="D107" s="131" t="s">
        <v>149</v>
      </c>
      <c r="E107" s="131" t="s">
        <v>91</v>
      </c>
      <c r="F107" s="132" t="s">
        <v>152</v>
      </c>
      <c r="G107" s="133" t="s">
        <v>102</v>
      </c>
      <c r="H107" s="257">
        <f>'прил13(ведом 20-21)'!M291</f>
        <v>20730.2</v>
      </c>
      <c r="I107" s="257">
        <f>'прил13(ведом 20-21)'!N291</f>
        <v>20730.2</v>
      </c>
    </row>
    <row r="108" spans="1:9" ht="37.5">
      <c r="A108" s="243"/>
      <c r="B108" s="256" t="s">
        <v>107</v>
      </c>
      <c r="C108" s="130" t="s">
        <v>104</v>
      </c>
      <c r="D108" s="131" t="s">
        <v>149</v>
      </c>
      <c r="E108" s="131" t="s">
        <v>91</v>
      </c>
      <c r="F108" s="132" t="s">
        <v>152</v>
      </c>
      <c r="G108" s="133" t="s">
        <v>108</v>
      </c>
      <c r="H108" s="257">
        <f>'прил13(ведом 20-21)'!M292</f>
        <v>5658.3</v>
      </c>
      <c r="I108" s="257">
        <f>'прил13(ведом 20-21)'!N292</f>
        <v>4524</v>
      </c>
    </row>
    <row r="109" spans="1:9" ht="18.75">
      <c r="A109" s="243"/>
      <c r="B109" s="256" t="s">
        <v>109</v>
      </c>
      <c r="C109" s="130" t="s">
        <v>104</v>
      </c>
      <c r="D109" s="131" t="s">
        <v>149</v>
      </c>
      <c r="E109" s="131" t="s">
        <v>91</v>
      </c>
      <c r="F109" s="132" t="s">
        <v>152</v>
      </c>
      <c r="G109" s="133" t="s">
        <v>110</v>
      </c>
      <c r="H109" s="257">
        <f>'прил13(ведом 20-21)'!M293</f>
        <v>3300</v>
      </c>
      <c r="I109" s="257">
        <f>'прил13(ведом 20-21)'!N293</f>
        <v>0</v>
      </c>
    </row>
    <row r="110" spans="1:9" ht="56.25">
      <c r="A110" s="243"/>
      <c r="B110" s="91" t="s">
        <v>292</v>
      </c>
      <c r="C110" s="705" t="s">
        <v>104</v>
      </c>
      <c r="D110" s="706" t="s">
        <v>149</v>
      </c>
      <c r="E110" s="706" t="s">
        <v>91</v>
      </c>
      <c r="F110" s="707" t="s">
        <v>372</v>
      </c>
      <c r="G110" s="133"/>
      <c r="H110" s="257">
        <f>H111+H112</f>
        <v>86.6</v>
      </c>
      <c r="I110" s="257">
        <f>I111+I112</f>
        <v>41.7</v>
      </c>
    </row>
    <row r="111" spans="1:9" ht="93.75">
      <c r="A111" s="243"/>
      <c r="B111" s="100" t="s">
        <v>101</v>
      </c>
      <c r="C111" s="705" t="s">
        <v>104</v>
      </c>
      <c r="D111" s="706" t="s">
        <v>149</v>
      </c>
      <c r="E111" s="706" t="s">
        <v>91</v>
      </c>
      <c r="F111" s="707" t="s">
        <v>372</v>
      </c>
      <c r="G111" s="133" t="s">
        <v>102</v>
      </c>
      <c r="H111" s="257">
        <f>'прил13(ведом 20-21)'!M295</f>
        <v>44.9</v>
      </c>
      <c r="I111" s="257">
        <f>'прил13(ведом 20-21)'!N295</f>
        <v>0</v>
      </c>
    </row>
    <row r="112" spans="1:9" ht="37.5">
      <c r="A112" s="243"/>
      <c r="B112" s="91" t="s">
        <v>107</v>
      </c>
      <c r="C112" s="705" t="s">
        <v>104</v>
      </c>
      <c r="D112" s="706" t="s">
        <v>149</v>
      </c>
      <c r="E112" s="706" t="s">
        <v>91</v>
      </c>
      <c r="F112" s="707" t="s">
        <v>372</v>
      </c>
      <c r="G112" s="133" t="s">
        <v>108</v>
      </c>
      <c r="H112" s="257">
        <f>'прил13(ведом 20-21)'!M296</f>
        <v>41.7</v>
      </c>
      <c r="I112" s="257">
        <f>'прил13(ведом 20-21)'!N296</f>
        <v>41.7</v>
      </c>
    </row>
    <row r="113" spans="1:9" ht="37.5">
      <c r="A113" s="243"/>
      <c r="B113" s="256" t="s">
        <v>455</v>
      </c>
      <c r="C113" s="130" t="s">
        <v>104</v>
      </c>
      <c r="D113" s="131" t="s">
        <v>83</v>
      </c>
      <c r="E113" s="131" t="s">
        <v>95</v>
      </c>
      <c r="F113" s="132" t="s">
        <v>96</v>
      </c>
      <c r="G113" s="133"/>
      <c r="H113" s="257">
        <f>H114</f>
        <v>4465.4309999999996</v>
      </c>
      <c r="I113" s="257">
        <f>I114</f>
        <v>0</v>
      </c>
    </row>
    <row r="114" spans="1:9" ht="56.25">
      <c r="A114" s="243"/>
      <c r="B114" s="256" t="s">
        <v>720</v>
      </c>
      <c r="C114" s="130" t="s">
        <v>104</v>
      </c>
      <c r="D114" s="131" t="s">
        <v>83</v>
      </c>
      <c r="E114" s="131" t="s">
        <v>118</v>
      </c>
      <c r="F114" s="132" t="s">
        <v>96</v>
      </c>
      <c r="G114" s="133"/>
      <c r="H114" s="257">
        <f>H115</f>
        <v>4465.4309999999996</v>
      </c>
      <c r="I114" s="257">
        <v>0</v>
      </c>
    </row>
    <row r="115" spans="1:9" ht="56.25">
      <c r="A115" s="243"/>
      <c r="B115" s="256" t="s">
        <v>292</v>
      </c>
      <c r="C115" s="130" t="s">
        <v>104</v>
      </c>
      <c r="D115" s="131" t="s">
        <v>83</v>
      </c>
      <c r="E115" s="131" t="s">
        <v>118</v>
      </c>
      <c r="F115" s="132" t="s">
        <v>372</v>
      </c>
      <c r="G115" s="133"/>
      <c r="H115" s="257">
        <f>H116</f>
        <v>4465.4309999999996</v>
      </c>
      <c r="I115" s="257">
        <v>0</v>
      </c>
    </row>
    <row r="116" spans="1:9" ht="37.5">
      <c r="A116" s="243"/>
      <c r="B116" s="256" t="s">
        <v>275</v>
      </c>
      <c r="C116" s="130" t="s">
        <v>104</v>
      </c>
      <c r="D116" s="131" t="s">
        <v>83</v>
      </c>
      <c r="E116" s="131" t="s">
        <v>118</v>
      </c>
      <c r="F116" s="132" t="s">
        <v>372</v>
      </c>
      <c r="G116" s="133" t="s">
        <v>276</v>
      </c>
      <c r="H116" s="257">
        <f>'прил13(ведом 20-21)'!M300</f>
        <v>4465.4309999999996</v>
      </c>
      <c r="I116" s="257">
        <v>0</v>
      </c>
    </row>
    <row r="117" spans="1:9" ht="18.75">
      <c r="A117" s="243"/>
      <c r="B117" s="260"/>
      <c r="C117" s="700"/>
      <c r="D117" s="701"/>
      <c r="E117" s="701"/>
      <c r="F117" s="702"/>
      <c r="G117" s="242"/>
      <c r="H117" s="257"/>
      <c r="I117" s="257"/>
    </row>
    <row r="118" spans="1:9" s="255" customFormat="1" ht="56.25">
      <c r="A118" s="261">
        <v>4</v>
      </c>
      <c r="B118" s="250" t="s">
        <v>294</v>
      </c>
      <c r="C118" s="251" t="s">
        <v>120</v>
      </c>
      <c r="D118" s="251" t="s">
        <v>94</v>
      </c>
      <c r="E118" s="251" t="s">
        <v>95</v>
      </c>
      <c r="F118" s="252" t="s">
        <v>96</v>
      </c>
      <c r="G118" s="253"/>
      <c r="H118" s="254">
        <f>H119+H124</f>
        <v>4804.3999999999996</v>
      </c>
      <c r="I118" s="254">
        <f>I119+I124</f>
        <v>4687</v>
      </c>
    </row>
    <row r="119" spans="1:9" s="255" customFormat="1" ht="18.75">
      <c r="A119" s="243"/>
      <c r="B119" s="256" t="s">
        <v>295</v>
      </c>
      <c r="C119" s="130" t="s">
        <v>120</v>
      </c>
      <c r="D119" s="131" t="s">
        <v>97</v>
      </c>
      <c r="E119" s="131" t="s">
        <v>95</v>
      </c>
      <c r="F119" s="132" t="s">
        <v>96</v>
      </c>
      <c r="G119" s="242"/>
      <c r="H119" s="257">
        <f t="shared" ref="H119:I120" si="1">H120</f>
        <v>2153.5</v>
      </c>
      <c r="I119" s="257">
        <f t="shared" si="1"/>
        <v>2153.5</v>
      </c>
    </row>
    <row r="120" spans="1:9" s="255" customFormat="1" ht="75">
      <c r="A120" s="243"/>
      <c r="B120" s="256" t="s">
        <v>367</v>
      </c>
      <c r="C120" s="130" t="s">
        <v>120</v>
      </c>
      <c r="D120" s="131" t="s">
        <v>97</v>
      </c>
      <c r="E120" s="131" t="s">
        <v>89</v>
      </c>
      <c r="F120" s="132" t="s">
        <v>96</v>
      </c>
      <c r="G120" s="133"/>
      <c r="H120" s="257">
        <f t="shared" si="1"/>
        <v>2153.5</v>
      </c>
      <c r="I120" s="257">
        <f t="shared" si="1"/>
        <v>2153.5</v>
      </c>
    </row>
    <row r="121" spans="1:9" ht="75">
      <c r="A121" s="243"/>
      <c r="B121" s="256" t="s">
        <v>150</v>
      </c>
      <c r="C121" s="130" t="s">
        <v>120</v>
      </c>
      <c r="D121" s="131" t="s">
        <v>97</v>
      </c>
      <c r="E121" s="131" t="s">
        <v>89</v>
      </c>
      <c r="F121" s="132" t="s">
        <v>152</v>
      </c>
      <c r="G121" s="133"/>
      <c r="H121" s="257">
        <f>SUM(H122:H123)</f>
        <v>2153.5</v>
      </c>
      <c r="I121" s="257">
        <f>SUM(I122:I123)</f>
        <v>2153.5</v>
      </c>
    </row>
    <row r="122" spans="1:9" ht="93.75">
      <c r="A122" s="243"/>
      <c r="B122" s="256" t="s">
        <v>101</v>
      </c>
      <c r="C122" s="130" t="s">
        <v>120</v>
      </c>
      <c r="D122" s="131" t="s">
        <v>97</v>
      </c>
      <c r="E122" s="131" t="s">
        <v>89</v>
      </c>
      <c r="F122" s="132" t="s">
        <v>152</v>
      </c>
      <c r="G122" s="133" t="s">
        <v>102</v>
      </c>
      <c r="H122" s="257">
        <f>'прил13(ведом 20-21)'!M317</f>
        <v>2114.5</v>
      </c>
      <c r="I122" s="257">
        <f>'прил13(ведом 20-21)'!N317</f>
        <v>2114.5</v>
      </c>
    </row>
    <row r="123" spans="1:9" ht="37.5">
      <c r="A123" s="243"/>
      <c r="B123" s="219" t="s">
        <v>107</v>
      </c>
      <c r="C123" s="130" t="s">
        <v>120</v>
      </c>
      <c r="D123" s="131" t="s">
        <v>97</v>
      </c>
      <c r="E123" s="131" t="s">
        <v>89</v>
      </c>
      <c r="F123" s="132" t="s">
        <v>152</v>
      </c>
      <c r="G123" s="133" t="s">
        <v>108</v>
      </c>
      <c r="H123" s="257">
        <f>'прил13(ведом 20-21)'!M318</f>
        <v>39</v>
      </c>
      <c r="I123" s="257">
        <f>'прил13(ведом 20-21)'!N318</f>
        <v>39</v>
      </c>
    </row>
    <row r="124" spans="1:9" s="255" customFormat="1" ht="37.5">
      <c r="A124" s="243"/>
      <c r="B124" s="256" t="s">
        <v>293</v>
      </c>
      <c r="C124" s="130" t="s">
        <v>120</v>
      </c>
      <c r="D124" s="131" t="s">
        <v>149</v>
      </c>
      <c r="E124" s="131" t="s">
        <v>95</v>
      </c>
      <c r="F124" s="132" t="s">
        <v>96</v>
      </c>
      <c r="G124" s="133"/>
      <c r="H124" s="257">
        <f>H125</f>
        <v>2650.9</v>
      </c>
      <c r="I124" s="257">
        <f>I125</f>
        <v>2533.5</v>
      </c>
    </row>
    <row r="125" spans="1:9" s="255" customFormat="1" ht="37.5">
      <c r="A125" s="243"/>
      <c r="B125" s="256" t="s">
        <v>361</v>
      </c>
      <c r="C125" s="130" t="s">
        <v>120</v>
      </c>
      <c r="D125" s="131" t="s">
        <v>149</v>
      </c>
      <c r="E125" s="131" t="s">
        <v>89</v>
      </c>
      <c r="F125" s="132" t="s">
        <v>96</v>
      </c>
      <c r="G125" s="133"/>
      <c r="H125" s="257">
        <f>H126</f>
        <v>2650.9</v>
      </c>
      <c r="I125" s="257">
        <f>I126</f>
        <v>2533.5</v>
      </c>
    </row>
    <row r="126" spans="1:9" s="255" customFormat="1" ht="37.5">
      <c r="A126" s="243"/>
      <c r="B126" s="256" t="s">
        <v>99</v>
      </c>
      <c r="C126" s="130" t="s">
        <v>120</v>
      </c>
      <c r="D126" s="131" t="s">
        <v>149</v>
      </c>
      <c r="E126" s="131" t="s">
        <v>89</v>
      </c>
      <c r="F126" s="132" t="s">
        <v>100</v>
      </c>
      <c r="G126" s="133"/>
      <c r="H126" s="257">
        <f>SUM(H127:H129)</f>
        <v>2650.9</v>
      </c>
      <c r="I126" s="257">
        <f>SUM(I127:I129)</f>
        <v>2533.5</v>
      </c>
    </row>
    <row r="127" spans="1:9" s="255" customFormat="1" ht="93.75">
      <c r="A127" s="243"/>
      <c r="B127" s="256" t="s">
        <v>101</v>
      </c>
      <c r="C127" s="130" t="s">
        <v>120</v>
      </c>
      <c r="D127" s="131" t="s">
        <v>149</v>
      </c>
      <c r="E127" s="131" t="s">
        <v>89</v>
      </c>
      <c r="F127" s="132" t="s">
        <v>100</v>
      </c>
      <c r="G127" s="133" t="s">
        <v>102</v>
      </c>
      <c r="H127" s="257">
        <f>'прил13(ведом 20-21)'!M324</f>
        <v>2533.5</v>
      </c>
      <c r="I127" s="257">
        <f>'прил13(ведом 20-21)'!N324</f>
        <v>2533.5</v>
      </c>
    </row>
    <row r="128" spans="1:9" ht="37.5">
      <c r="A128" s="243"/>
      <c r="B128" s="256" t="s">
        <v>107</v>
      </c>
      <c r="C128" s="130" t="s">
        <v>120</v>
      </c>
      <c r="D128" s="131" t="s">
        <v>149</v>
      </c>
      <c r="E128" s="131" t="s">
        <v>89</v>
      </c>
      <c r="F128" s="132" t="s">
        <v>100</v>
      </c>
      <c r="G128" s="133" t="s">
        <v>108</v>
      </c>
      <c r="H128" s="257">
        <f>'прил13(ведом 20-21)'!M325</f>
        <v>117.1</v>
      </c>
      <c r="I128" s="257">
        <f>'прил13(ведом 20-21)'!N325</f>
        <v>0</v>
      </c>
    </row>
    <row r="129" spans="1:9" ht="18.75">
      <c r="A129" s="243"/>
      <c r="B129" s="256" t="s">
        <v>109</v>
      </c>
      <c r="C129" s="130" t="s">
        <v>120</v>
      </c>
      <c r="D129" s="131" t="s">
        <v>149</v>
      </c>
      <c r="E129" s="131" t="s">
        <v>89</v>
      </c>
      <c r="F129" s="132" t="s">
        <v>100</v>
      </c>
      <c r="G129" s="133" t="s">
        <v>110</v>
      </c>
      <c r="H129" s="257">
        <f>'прил13(ведом 20-21)'!M326</f>
        <v>0.3</v>
      </c>
      <c r="I129" s="257">
        <f>'прил13(ведом 20-21)'!N326</f>
        <v>0</v>
      </c>
    </row>
    <row r="130" spans="1:9" ht="18.75">
      <c r="A130" s="243"/>
      <c r="B130" s="260"/>
      <c r="C130" s="701"/>
      <c r="D130" s="701"/>
      <c r="E130" s="273"/>
      <c r="F130" s="274"/>
      <c r="G130" s="242"/>
      <c r="H130" s="257"/>
      <c r="I130" s="257"/>
    </row>
    <row r="131" spans="1:9" s="255" customFormat="1" ht="56.25">
      <c r="A131" s="261">
        <v>5</v>
      </c>
      <c r="B131" s="250" t="s">
        <v>139</v>
      </c>
      <c r="C131" s="262" t="s">
        <v>140</v>
      </c>
      <c r="D131" s="262" t="s">
        <v>94</v>
      </c>
      <c r="E131" s="262" t="s">
        <v>95</v>
      </c>
      <c r="F131" s="263" t="s">
        <v>96</v>
      </c>
      <c r="G131" s="253"/>
      <c r="H131" s="254">
        <f>H140+H132+H136</f>
        <v>9040.2000000000007</v>
      </c>
      <c r="I131" s="254">
        <f>I140+I132+I136</f>
        <v>9006.7000000000007</v>
      </c>
    </row>
    <row r="132" spans="1:9" ht="56.25">
      <c r="A132" s="243"/>
      <c r="B132" s="264" t="s">
        <v>141</v>
      </c>
      <c r="C132" s="130" t="s">
        <v>140</v>
      </c>
      <c r="D132" s="131" t="s">
        <v>97</v>
      </c>
      <c r="E132" s="131" t="s">
        <v>95</v>
      </c>
      <c r="F132" s="132" t="s">
        <v>96</v>
      </c>
      <c r="G132" s="242"/>
      <c r="H132" s="257">
        <f t="shared" ref="H132:I134" si="2">H133</f>
        <v>2643.1</v>
      </c>
      <c r="I132" s="257">
        <f t="shared" si="2"/>
        <v>2643.1</v>
      </c>
    </row>
    <row r="133" spans="1:9" ht="75">
      <c r="A133" s="243"/>
      <c r="B133" s="256" t="s">
        <v>142</v>
      </c>
      <c r="C133" s="130" t="s">
        <v>140</v>
      </c>
      <c r="D133" s="131" t="s">
        <v>97</v>
      </c>
      <c r="E133" s="131" t="s">
        <v>89</v>
      </c>
      <c r="F133" s="132" t="s">
        <v>96</v>
      </c>
      <c r="G133" s="133"/>
      <c r="H133" s="257">
        <f t="shared" si="2"/>
        <v>2643.1</v>
      </c>
      <c r="I133" s="257">
        <f t="shared" si="2"/>
        <v>2643.1</v>
      </c>
    </row>
    <row r="134" spans="1:9" ht="93.75">
      <c r="A134" s="243"/>
      <c r="B134" s="256" t="s">
        <v>456</v>
      </c>
      <c r="C134" s="130" t="s">
        <v>140</v>
      </c>
      <c r="D134" s="131" t="s">
        <v>97</v>
      </c>
      <c r="E134" s="131" t="s">
        <v>89</v>
      </c>
      <c r="F134" s="132" t="s">
        <v>436</v>
      </c>
      <c r="G134" s="133"/>
      <c r="H134" s="257">
        <f t="shared" si="2"/>
        <v>2643.1</v>
      </c>
      <c r="I134" s="257">
        <f t="shared" si="2"/>
        <v>2643.1</v>
      </c>
    </row>
    <row r="135" spans="1:9" ht="18.75">
      <c r="A135" s="243"/>
      <c r="B135" s="256" t="s">
        <v>185</v>
      </c>
      <c r="C135" s="130" t="s">
        <v>140</v>
      </c>
      <c r="D135" s="131" t="s">
        <v>97</v>
      </c>
      <c r="E135" s="131" t="s">
        <v>89</v>
      </c>
      <c r="F135" s="132" t="s">
        <v>436</v>
      </c>
      <c r="G135" s="133" t="s">
        <v>186</v>
      </c>
      <c r="H135" s="257">
        <f>'прил13(ведом 20-21)'!M60</f>
        <v>2643.1</v>
      </c>
      <c r="I135" s="257">
        <f>'прил13(ведом 20-21)'!N60</f>
        <v>2643.1</v>
      </c>
    </row>
    <row r="136" spans="1:9" ht="37.5">
      <c r="A136" s="243"/>
      <c r="B136" s="278" t="s">
        <v>187</v>
      </c>
      <c r="C136" s="130" t="s">
        <v>140</v>
      </c>
      <c r="D136" s="131" t="s">
        <v>149</v>
      </c>
      <c r="E136" s="131" t="s">
        <v>95</v>
      </c>
      <c r="F136" s="132" t="s">
        <v>96</v>
      </c>
      <c r="G136" s="242"/>
      <c r="H136" s="257">
        <f t="shared" ref="H136:I138" si="3">H137</f>
        <v>247</v>
      </c>
      <c r="I136" s="257">
        <f t="shared" si="3"/>
        <v>247</v>
      </c>
    </row>
    <row r="137" spans="1:9" ht="56.25">
      <c r="A137" s="243"/>
      <c r="B137" s="265" t="s">
        <v>188</v>
      </c>
      <c r="C137" s="130" t="s">
        <v>140</v>
      </c>
      <c r="D137" s="131" t="s">
        <v>149</v>
      </c>
      <c r="E137" s="131" t="s">
        <v>91</v>
      </c>
      <c r="F137" s="132" t="s">
        <v>96</v>
      </c>
      <c r="G137" s="133"/>
      <c r="H137" s="257">
        <f t="shared" si="3"/>
        <v>247</v>
      </c>
      <c r="I137" s="257">
        <f t="shared" si="3"/>
        <v>247</v>
      </c>
    </row>
    <row r="138" spans="1:9" ht="37.5">
      <c r="A138" s="243"/>
      <c r="B138" s="265" t="s">
        <v>189</v>
      </c>
      <c r="C138" s="130" t="s">
        <v>140</v>
      </c>
      <c r="D138" s="131" t="s">
        <v>149</v>
      </c>
      <c r="E138" s="131" t="s">
        <v>91</v>
      </c>
      <c r="F138" s="132" t="s">
        <v>151</v>
      </c>
      <c r="G138" s="133"/>
      <c r="H138" s="257">
        <f t="shared" si="3"/>
        <v>247</v>
      </c>
      <c r="I138" s="257">
        <f t="shared" si="3"/>
        <v>247</v>
      </c>
    </row>
    <row r="139" spans="1:9" ht="37.5">
      <c r="A139" s="243"/>
      <c r="B139" s="256" t="s">
        <v>107</v>
      </c>
      <c r="C139" s="130" t="s">
        <v>140</v>
      </c>
      <c r="D139" s="131" t="s">
        <v>149</v>
      </c>
      <c r="E139" s="131" t="s">
        <v>91</v>
      </c>
      <c r="F139" s="132" t="s">
        <v>151</v>
      </c>
      <c r="G139" s="133" t="s">
        <v>108</v>
      </c>
      <c r="H139" s="257">
        <f>'прил13(ведом 20-21)'!M66</f>
        <v>247</v>
      </c>
      <c r="I139" s="257">
        <f>'прил13(ведом 20-21)'!N66</f>
        <v>247</v>
      </c>
    </row>
    <row r="140" spans="1:9" ht="56.25">
      <c r="A140" s="243"/>
      <c r="B140" s="279" t="s">
        <v>519</v>
      </c>
      <c r="C140" s="130" t="s">
        <v>140</v>
      </c>
      <c r="D140" s="131" t="s">
        <v>82</v>
      </c>
      <c r="E140" s="131" t="s">
        <v>95</v>
      </c>
      <c r="F140" s="132" t="s">
        <v>96</v>
      </c>
      <c r="G140" s="133"/>
      <c r="H140" s="257">
        <f>H141</f>
        <v>6150.1</v>
      </c>
      <c r="I140" s="257">
        <f>I141</f>
        <v>6116.6</v>
      </c>
    </row>
    <row r="141" spans="1:9" ht="75">
      <c r="A141" s="243"/>
      <c r="B141" s="265" t="s">
        <v>429</v>
      </c>
      <c r="C141" s="130" t="s">
        <v>140</v>
      </c>
      <c r="D141" s="131" t="s">
        <v>82</v>
      </c>
      <c r="E141" s="131" t="s">
        <v>89</v>
      </c>
      <c r="F141" s="132" t="s">
        <v>96</v>
      </c>
      <c r="G141" s="133"/>
      <c r="H141" s="257">
        <f>H142</f>
        <v>6150.1</v>
      </c>
      <c r="I141" s="257">
        <f>I142</f>
        <v>6116.6</v>
      </c>
    </row>
    <row r="142" spans="1:9" ht="75">
      <c r="A142" s="243"/>
      <c r="B142" s="265" t="s">
        <v>150</v>
      </c>
      <c r="C142" s="130" t="s">
        <v>140</v>
      </c>
      <c r="D142" s="131" t="s">
        <v>82</v>
      </c>
      <c r="E142" s="131" t="s">
        <v>89</v>
      </c>
      <c r="F142" s="132" t="s">
        <v>152</v>
      </c>
      <c r="G142" s="133"/>
      <c r="H142" s="257">
        <f>SUM(H143:H144)</f>
        <v>6150.1</v>
      </c>
      <c r="I142" s="257">
        <f>SUM(I143:I144)</f>
        <v>6116.6</v>
      </c>
    </row>
    <row r="143" spans="1:9" s="255" customFormat="1" ht="93.75">
      <c r="A143" s="243"/>
      <c r="B143" s="256" t="s">
        <v>101</v>
      </c>
      <c r="C143" s="130" t="s">
        <v>140</v>
      </c>
      <c r="D143" s="131" t="s">
        <v>82</v>
      </c>
      <c r="E143" s="131" t="s">
        <v>89</v>
      </c>
      <c r="F143" s="132" t="s">
        <v>152</v>
      </c>
      <c r="G143" s="133" t="s">
        <v>102</v>
      </c>
      <c r="H143" s="257">
        <f>'прил13(ведом 20-21)'!M70</f>
        <v>6116.6</v>
      </c>
      <c r="I143" s="257">
        <f>'прил13(ведом 20-21)'!N70</f>
        <v>6116.6</v>
      </c>
    </row>
    <row r="144" spans="1:9" ht="37.5">
      <c r="A144" s="243"/>
      <c r="B144" s="256" t="s">
        <v>107</v>
      </c>
      <c r="C144" s="130" t="s">
        <v>140</v>
      </c>
      <c r="D144" s="131" t="s">
        <v>82</v>
      </c>
      <c r="E144" s="131" t="s">
        <v>89</v>
      </c>
      <c r="F144" s="132" t="s">
        <v>152</v>
      </c>
      <c r="G144" s="133" t="s">
        <v>108</v>
      </c>
      <c r="H144" s="257">
        <f>'прил13(ведом 20-21)'!M71</f>
        <v>33.5</v>
      </c>
      <c r="I144" s="257">
        <f>'прил13(ведом 20-21)'!N71</f>
        <v>0</v>
      </c>
    </row>
    <row r="145" spans="1:9" ht="18.75">
      <c r="A145" s="280"/>
      <c r="B145" s="258"/>
      <c r="C145" s="224"/>
      <c r="D145" s="701"/>
      <c r="E145" s="701"/>
      <c r="F145" s="702"/>
      <c r="G145" s="242"/>
      <c r="H145" s="257"/>
      <c r="I145" s="257"/>
    </row>
    <row r="146" spans="1:9" s="255" customFormat="1" ht="56.25">
      <c r="A146" s="261">
        <v>6</v>
      </c>
      <c r="B146" s="275" t="s">
        <v>296</v>
      </c>
      <c r="C146" s="251" t="s">
        <v>297</v>
      </c>
      <c r="D146" s="251" t="s">
        <v>94</v>
      </c>
      <c r="E146" s="251" t="s">
        <v>95</v>
      </c>
      <c r="F146" s="252" t="s">
        <v>96</v>
      </c>
      <c r="G146" s="253"/>
      <c r="H146" s="254">
        <f>H147</f>
        <v>26657.800000000003</v>
      </c>
      <c r="I146" s="254">
        <f>I147</f>
        <v>26655.9</v>
      </c>
    </row>
    <row r="147" spans="1:9" ht="37.5">
      <c r="A147" s="243"/>
      <c r="B147" s="256" t="s">
        <v>455</v>
      </c>
      <c r="C147" s="220" t="s">
        <v>297</v>
      </c>
      <c r="D147" s="221" t="s">
        <v>97</v>
      </c>
      <c r="E147" s="131" t="s">
        <v>95</v>
      </c>
      <c r="F147" s="132" t="s">
        <v>96</v>
      </c>
      <c r="G147" s="133"/>
      <c r="H147" s="257">
        <f>H148+H152</f>
        <v>26657.800000000003</v>
      </c>
      <c r="I147" s="257">
        <f>I148+I152</f>
        <v>26655.9</v>
      </c>
    </row>
    <row r="148" spans="1:9" ht="56.25">
      <c r="A148" s="243"/>
      <c r="B148" s="256" t="s">
        <v>398</v>
      </c>
      <c r="C148" s="220" t="s">
        <v>297</v>
      </c>
      <c r="D148" s="221" t="s">
        <v>97</v>
      </c>
      <c r="E148" s="131" t="s">
        <v>89</v>
      </c>
      <c r="F148" s="132" t="s">
        <v>96</v>
      </c>
      <c r="G148" s="133"/>
      <c r="H148" s="257">
        <f>H149</f>
        <v>21657.800000000003</v>
      </c>
      <c r="I148" s="257">
        <f>I149</f>
        <v>21655.9</v>
      </c>
    </row>
    <row r="149" spans="1:9" ht="37.5">
      <c r="A149" s="243"/>
      <c r="B149" s="256" t="s">
        <v>99</v>
      </c>
      <c r="C149" s="220" t="s">
        <v>297</v>
      </c>
      <c r="D149" s="221" t="s">
        <v>97</v>
      </c>
      <c r="E149" s="131" t="s">
        <v>89</v>
      </c>
      <c r="F149" s="132" t="s">
        <v>100</v>
      </c>
      <c r="G149" s="133"/>
      <c r="H149" s="257">
        <f>SUM(H150:H151)</f>
        <v>21657.800000000003</v>
      </c>
      <c r="I149" s="257">
        <f>SUM(I150:I151)</f>
        <v>21655.9</v>
      </c>
    </row>
    <row r="150" spans="1:9" ht="93.75">
      <c r="A150" s="243"/>
      <c r="B150" s="256" t="s">
        <v>101</v>
      </c>
      <c r="C150" s="220" t="s">
        <v>297</v>
      </c>
      <c r="D150" s="221" t="s">
        <v>97</v>
      </c>
      <c r="E150" s="131" t="s">
        <v>89</v>
      </c>
      <c r="F150" s="132" t="s">
        <v>100</v>
      </c>
      <c r="G150" s="133" t="s">
        <v>102</v>
      </c>
      <c r="H150" s="257">
        <f>'прил13(ведом 20-21)'!M115</f>
        <v>21655.9</v>
      </c>
      <c r="I150" s="257">
        <f>'прил13(ведом 20-21)'!N115</f>
        <v>21655.9</v>
      </c>
    </row>
    <row r="151" spans="1:9" ht="18.75">
      <c r="A151" s="243"/>
      <c r="B151" s="219" t="s">
        <v>109</v>
      </c>
      <c r="C151" s="220" t="s">
        <v>297</v>
      </c>
      <c r="D151" s="221" t="s">
        <v>97</v>
      </c>
      <c r="E151" s="131" t="s">
        <v>89</v>
      </c>
      <c r="F151" s="132" t="s">
        <v>100</v>
      </c>
      <c r="G151" s="133" t="s">
        <v>110</v>
      </c>
      <c r="H151" s="257">
        <f>'прил13(ведом 20-21)'!M116</f>
        <v>1.9</v>
      </c>
      <c r="I151" s="257">
        <f>'прил13(ведом 20-21)'!N116</f>
        <v>0</v>
      </c>
    </row>
    <row r="152" spans="1:9" ht="37.5">
      <c r="A152" s="243"/>
      <c r="B152" s="256" t="s">
        <v>399</v>
      </c>
      <c r="C152" s="220" t="s">
        <v>297</v>
      </c>
      <c r="D152" s="221" t="s">
        <v>97</v>
      </c>
      <c r="E152" s="131" t="s">
        <v>91</v>
      </c>
      <c r="F152" s="132" t="s">
        <v>96</v>
      </c>
      <c r="G152" s="133"/>
      <c r="H152" s="257">
        <f>H153</f>
        <v>5000</v>
      </c>
      <c r="I152" s="257">
        <f>I153</f>
        <v>5000</v>
      </c>
    </row>
    <row r="153" spans="1:9" ht="37.5">
      <c r="A153" s="243"/>
      <c r="B153" s="219" t="s">
        <v>335</v>
      </c>
      <c r="C153" s="220" t="s">
        <v>297</v>
      </c>
      <c r="D153" s="221" t="s">
        <v>97</v>
      </c>
      <c r="E153" s="131" t="s">
        <v>91</v>
      </c>
      <c r="F153" s="132" t="s">
        <v>693</v>
      </c>
      <c r="G153" s="133"/>
      <c r="H153" s="257">
        <f>H154</f>
        <v>5000</v>
      </c>
      <c r="I153" s="257">
        <f>I154</f>
        <v>5000</v>
      </c>
    </row>
    <row r="154" spans="1:9" ht="18.75">
      <c r="A154" s="243"/>
      <c r="B154" s="219" t="s">
        <v>185</v>
      </c>
      <c r="C154" s="220" t="s">
        <v>297</v>
      </c>
      <c r="D154" s="221" t="s">
        <v>97</v>
      </c>
      <c r="E154" s="131" t="s">
        <v>91</v>
      </c>
      <c r="F154" s="132" t="s">
        <v>693</v>
      </c>
      <c r="G154" s="133" t="s">
        <v>186</v>
      </c>
      <c r="H154" s="257">
        <f>'прил13(ведом 20-21)'!M123</f>
        <v>5000</v>
      </c>
      <c r="I154" s="257">
        <f>'прил13(ведом 20-21)'!N123</f>
        <v>5000</v>
      </c>
    </row>
    <row r="155" spans="1:9" ht="18.75">
      <c r="A155" s="243"/>
      <c r="B155" s="256"/>
      <c r="C155" s="221"/>
      <c r="D155" s="221"/>
      <c r="E155" s="221"/>
      <c r="F155" s="281"/>
      <c r="G155" s="133"/>
      <c r="H155" s="257"/>
      <c r="I155" s="257"/>
    </row>
    <row r="156" spans="1:9" s="255" customFormat="1" ht="56.25">
      <c r="A156" s="249">
        <v>7</v>
      </c>
      <c r="B156" s="282" t="s">
        <v>298</v>
      </c>
      <c r="C156" s="283" t="s">
        <v>299</v>
      </c>
      <c r="D156" s="262" t="s">
        <v>94</v>
      </c>
      <c r="E156" s="262" t="s">
        <v>95</v>
      </c>
      <c r="F156" s="263" t="s">
        <v>96</v>
      </c>
      <c r="G156" s="284"/>
      <c r="H156" s="254">
        <f>H157</f>
        <v>15869.7</v>
      </c>
      <c r="I156" s="254">
        <f>I157</f>
        <v>15772.8</v>
      </c>
    </row>
    <row r="157" spans="1:9" ht="37.5">
      <c r="A157" s="280"/>
      <c r="B157" s="285" t="s">
        <v>302</v>
      </c>
      <c r="C157" s="268" t="s">
        <v>299</v>
      </c>
      <c r="D157" s="224" t="s">
        <v>149</v>
      </c>
      <c r="E157" s="224" t="s">
        <v>95</v>
      </c>
      <c r="F157" s="225" t="s">
        <v>96</v>
      </c>
      <c r="G157" s="226"/>
      <c r="H157" s="257">
        <f>H158</f>
        <v>15869.7</v>
      </c>
      <c r="I157" s="257">
        <f>I158</f>
        <v>15772.8</v>
      </c>
    </row>
    <row r="158" spans="1:9" ht="75">
      <c r="A158" s="280"/>
      <c r="B158" s="285" t="s">
        <v>396</v>
      </c>
      <c r="C158" s="268" t="s">
        <v>299</v>
      </c>
      <c r="D158" s="224" t="s">
        <v>149</v>
      </c>
      <c r="E158" s="224" t="s">
        <v>89</v>
      </c>
      <c r="F158" s="225" t="s">
        <v>96</v>
      </c>
      <c r="G158" s="226"/>
      <c r="H158" s="257">
        <f>H159+H161</f>
        <v>15869.7</v>
      </c>
      <c r="I158" s="257">
        <f>I159+I161</f>
        <v>15772.8</v>
      </c>
    </row>
    <row r="159" spans="1:9" ht="37.5">
      <c r="A159" s="280"/>
      <c r="B159" s="285" t="s">
        <v>99</v>
      </c>
      <c r="C159" s="289" t="s">
        <v>299</v>
      </c>
      <c r="D159" s="287" t="s">
        <v>149</v>
      </c>
      <c r="E159" s="287" t="s">
        <v>89</v>
      </c>
      <c r="F159" s="288" t="s">
        <v>100</v>
      </c>
      <c r="G159" s="226"/>
      <c r="H159" s="257">
        <f>SUM(H160:H160)</f>
        <v>11788.5</v>
      </c>
      <c r="I159" s="257">
        <f>SUM(I160:I160)</f>
        <v>11788.5</v>
      </c>
    </row>
    <row r="160" spans="1:9" ht="93.75">
      <c r="A160" s="280"/>
      <c r="B160" s="285" t="s">
        <v>101</v>
      </c>
      <c r="C160" s="268" t="s">
        <v>299</v>
      </c>
      <c r="D160" s="224" t="s">
        <v>149</v>
      </c>
      <c r="E160" s="224" t="s">
        <v>89</v>
      </c>
      <c r="F160" s="225" t="s">
        <v>100</v>
      </c>
      <c r="G160" s="226" t="s">
        <v>102</v>
      </c>
      <c r="H160" s="257">
        <f>'прил13(ведом 20-21)'!M144</f>
        <v>11788.5</v>
      </c>
      <c r="I160" s="257">
        <f>'прил13(ведом 20-21)'!N144</f>
        <v>11788.5</v>
      </c>
    </row>
    <row r="161" spans="1:9" ht="75">
      <c r="A161" s="280"/>
      <c r="B161" s="285" t="s">
        <v>150</v>
      </c>
      <c r="C161" s="268" t="s">
        <v>299</v>
      </c>
      <c r="D161" s="224" t="s">
        <v>149</v>
      </c>
      <c r="E161" s="224" t="s">
        <v>89</v>
      </c>
      <c r="F161" s="225" t="s">
        <v>152</v>
      </c>
      <c r="G161" s="226"/>
      <c r="H161" s="257">
        <f>SUM(H162:H164)</f>
        <v>4081.2000000000003</v>
      </c>
      <c r="I161" s="257">
        <f>SUM(I162:I164)</f>
        <v>3984.3</v>
      </c>
    </row>
    <row r="162" spans="1:9" ht="93.75">
      <c r="A162" s="280"/>
      <c r="B162" s="285" t="s">
        <v>101</v>
      </c>
      <c r="C162" s="268" t="s">
        <v>299</v>
      </c>
      <c r="D162" s="224" t="s">
        <v>149</v>
      </c>
      <c r="E162" s="224" t="s">
        <v>89</v>
      </c>
      <c r="F162" s="225" t="s">
        <v>152</v>
      </c>
      <c r="G162" s="226" t="s">
        <v>102</v>
      </c>
      <c r="H162" s="257">
        <f>'прил13(ведом 20-21)'!M146</f>
        <v>3984.3</v>
      </c>
      <c r="I162" s="257">
        <f>'прил13(ведом 20-21)'!N146</f>
        <v>3984.3</v>
      </c>
    </row>
    <row r="163" spans="1:9" ht="37.5">
      <c r="A163" s="280"/>
      <c r="B163" s="219" t="s">
        <v>107</v>
      </c>
      <c r="C163" s="289" t="s">
        <v>299</v>
      </c>
      <c r="D163" s="287" t="s">
        <v>149</v>
      </c>
      <c r="E163" s="287" t="s">
        <v>89</v>
      </c>
      <c r="F163" s="288" t="s">
        <v>152</v>
      </c>
      <c r="G163" s="226" t="s">
        <v>108</v>
      </c>
      <c r="H163" s="257">
        <f>'прил13(ведом 20-21)'!M147</f>
        <v>69.5</v>
      </c>
      <c r="I163" s="257">
        <f>'прил13(ведом 20-21)'!N147</f>
        <v>0</v>
      </c>
    </row>
    <row r="164" spans="1:9" ht="18.75">
      <c r="A164" s="280"/>
      <c r="B164" s="222" t="s">
        <v>109</v>
      </c>
      <c r="C164" s="268" t="s">
        <v>299</v>
      </c>
      <c r="D164" s="224" t="s">
        <v>149</v>
      </c>
      <c r="E164" s="224" t="s">
        <v>89</v>
      </c>
      <c r="F164" s="225" t="s">
        <v>152</v>
      </c>
      <c r="G164" s="226" t="s">
        <v>110</v>
      </c>
      <c r="H164" s="257">
        <f>'прил13(ведом 20-21)'!M148</f>
        <v>27.4</v>
      </c>
      <c r="I164" s="257">
        <f>'прил13(ведом 20-21)'!N148</f>
        <v>0</v>
      </c>
    </row>
    <row r="165" spans="1:9" ht="18.75">
      <c r="A165" s="280"/>
      <c r="B165" s="260"/>
      <c r="C165" s="224"/>
      <c r="D165" s="701"/>
      <c r="E165" s="701"/>
      <c r="F165" s="702"/>
      <c r="G165" s="242"/>
      <c r="H165" s="257"/>
      <c r="I165" s="257"/>
    </row>
    <row r="166" spans="1:9" s="255" customFormat="1" ht="56.25">
      <c r="A166" s="261">
        <v>8</v>
      </c>
      <c r="B166" s="282" t="s">
        <v>379</v>
      </c>
      <c r="C166" s="262" t="s">
        <v>138</v>
      </c>
      <c r="D166" s="262" t="s">
        <v>94</v>
      </c>
      <c r="E166" s="262" t="s">
        <v>95</v>
      </c>
      <c r="F166" s="263" t="s">
        <v>96</v>
      </c>
      <c r="G166" s="253"/>
      <c r="H166" s="254">
        <f>H167</f>
        <v>112782.40000000001</v>
      </c>
      <c r="I166" s="254">
        <f>I167</f>
        <v>115282.40000000001</v>
      </c>
    </row>
    <row r="167" spans="1:9" ht="37.5">
      <c r="A167" s="243"/>
      <c r="B167" s="256" t="s">
        <v>455</v>
      </c>
      <c r="C167" s="223" t="s">
        <v>138</v>
      </c>
      <c r="D167" s="224" t="s">
        <v>97</v>
      </c>
      <c r="E167" s="224" t="s">
        <v>95</v>
      </c>
      <c r="F167" s="303" t="s">
        <v>96</v>
      </c>
      <c r="G167" s="242"/>
      <c r="H167" s="257">
        <f>H168+H183+H192</f>
        <v>112782.40000000001</v>
      </c>
      <c r="I167" s="257">
        <f>I168+I183+I192</f>
        <v>115282.40000000001</v>
      </c>
    </row>
    <row r="168" spans="1:9" ht="37.5">
      <c r="A168" s="243"/>
      <c r="B168" s="256" t="s">
        <v>364</v>
      </c>
      <c r="C168" s="130" t="s">
        <v>138</v>
      </c>
      <c r="D168" s="131" t="s">
        <v>97</v>
      </c>
      <c r="E168" s="131" t="s">
        <v>89</v>
      </c>
      <c r="F168" s="132" t="s">
        <v>96</v>
      </c>
      <c r="G168" s="242"/>
      <c r="H168" s="257">
        <f>H169+H172+H175+H178+H181</f>
        <v>62556.800000000003</v>
      </c>
      <c r="I168" s="257">
        <f>I169+I172+I175+I178+I181</f>
        <v>65056.799999999996</v>
      </c>
    </row>
    <row r="169" spans="1:9" ht="124.9" customHeight="1">
      <c r="A169" s="243"/>
      <c r="B169" s="304" t="s">
        <v>497</v>
      </c>
      <c r="C169" s="130" t="s">
        <v>138</v>
      </c>
      <c r="D169" s="131" t="s">
        <v>97</v>
      </c>
      <c r="E169" s="131" t="s">
        <v>89</v>
      </c>
      <c r="F169" s="132" t="s">
        <v>381</v>
      </c>
      <c r="G169" s="133"/>
      <c r="H169" s="257">
        <f>SUM(H170:H171)</f>
        <v>34336.800000000003</v>
      </c>
      <c r="I169" s="257">
        <f>SUM(I170:I171)</f>
        <v>35709.599999999999</v>
      </c>
    </row>
    <row r="170" spans="1:9" ht="37.5">
      <c r="A170" s="243"/>
      <c r="B170" s="305" t="s">
        <v>107</v>
      </c>
      <c r="C170" s="130" t="s">
        <v>138</v>
      </c>
      <c r="D170" s="131" t="s">
        <v>97</v>
      </c>
      <c r="E170" s="131" t="s">
        <v>89</v>
      </c>
      <c r="F170" s="132" t="s">
        <v>381</v>
      </c>
      <c r="G170" s="133" t="s">
        <v>108</v>
      </c>
      <c r="H170" s="257">
        <f>'прил13(ведом 20-21)'!M342</f>
        <v>170.8</v>
      </c>
      <c r="I170" s="257">
        <f>'прил13(ведом 20-21)'!N342</f>
        <v>177.6</v>
      </c>
    </row>
    <row r="171" spans="1:9" ht="37.5">
      <c r="A171" s="243"/>
      <c r="B171" s="256" t="s">
        <v>182</v>
      </c>
      <c r="C171" s="130" t="s">
        <v>138</v>
      </c>
      <c r="D171" s="131" t="s">
        <v>97</v>
      </c>
      <c r="E171" s="131" t="s">
        <v>89</v>
      </c>
      <c r="F171" s="132" t="s">
        <v>381</v>
      </c>
      <c r="G171" s="133" t="s">
        <v>183</v>
      </c>
      <c r="H171" s="257">
        <f>'прил13(ведом 20-21)'!M343</f>
        <v>34166</v>
      </c>
      <c r="I171" s="257">
        <f>'прил13(ведом 20-21)'!N343</f>
        <v>35532</v>
      </c>
    </row>
    <row r="172" spans="1:9" ht="75" customHeight="1">
      <c r="A172" s="243"/>
      <c r="B172" s="256" t="s">
        <v>498</v>
      </c>
      <c r="C172" s="130" t="s">
        <v>138</v>
      </c>
      <c r="D172" s="131" t="s">
        <v>97</v>
      </c>
      <c r="E172" s="131" t="s">
        <v>89</v>
      </c>
      <c r="F172" s="132" t="s">
        <v>382</v>
      </c>
      <c r="G172" s="133"/>
      <c r="H172" s="257">
        <f>SUM(H173:H174)</f>
        <v>27224.300000000003</v>
      </c>
      <c r="I172" s="257">
        <f>SUM(I173:I174)</f>
        <v>28312.300000000003</v>
      </c>
    </row>
    <row r="173" spans="1:9" ht="37.5">
      <c r="A173" s="243"/>
      <c r="B173" s="305" t="s">
        <v>107</v>
      </c>
      <c r="C173" s="130" t="s">
        <v>138</v>
      </c>
      <c r="D173" s="131" t="s">
        <v>97</v>
      </c>
      <c r="E173" s="131" t="s">
        <v>89</v>
      </c>
      <c r="F173" s="132" t="s">
        <v>382</v>
      </c>
      <c r="G173" s="133" t="s">
        <v>108</v>
      </c>
      <c r="H173" s="257">
        <f>'прил13(ведом 20-21)'!M345</f>
        <v>135.4</v>
      </c>
      <c r="I173" s="257">
        <f>'прил13(ведом 20-21)'!N345</f>
        <v>140.9</v>
      </c>
    </row>
    <row r="174" spans="1:9" ht="37.5">
      <c r="A174" s="243"/>
      <c r="B174" s="256" t="s">
        <v>182</v>
      </c>
      <c r="C174" s="130" t="s">
        <v>138</v>
      </c>
      <c r="D174" s="131" t="s">
        <v>97</v>
      </c>
      <c r="E174" s="131" t="s">
        <v>89</v>
      </c>
      <c r="F174" s="132" t="s">
        <v>382</v>
      </c>
      <c r="G174" s="133" t="s">
        <v>183</v>
      </c>
      <c r="H174" s="257">
        <f>'прил13(ведом 20-21)'!M346</f>
        <v>27088.9</v>
      </c>
      <c r="I174" s="257">
        <f>'прил13(ведом 20-21)'!N346</f>
        <v>28171.4</v>
      </c>
    </row>
    <row r="175" spans="1:9" ht="93.75">
      <c r="A175" s="243"/>
      <c r="B175" s="256" t="s">
        <v>499</v>
      </c>
      <c r="C175" s="130" t="s">
        <v>138</v>
      </c>
      <c r="D175" s="131" t="s">
        <v>97</v>
      </c>
      <c r="E175" s="131" t="s">
        <v>89</v>
      </c>
      <c r="F175" s="132" t="s">
        <v>383</v>
      </c>
      <c r="G175" s="133"/>
      <c r="H175" s="257">
        <f>SUM(H176:H177)</f>
        <v>467.40000000000003</v>
      </c>
      <c r="I175" s="257">
        <f>SUM(I176:I177)</f>
        <v>486.09999999999997</v>
      </c>
    </row>
    <row r="176" spans="1:9" ht="37.5">
      <c r="A176" s="243"/>
      <c r="B176" s="256" t="s">
        <v>107</v>
      </c>
      <c r="C176" s="130" t="s">
        <v>138</v>
      </c>
      <c r="D176" s="131" t="s">
        <v>97</v>
      </c>
      <c r="E176" s="131" t="s">
        <v>89</v>
      </c>
      <c r="F176" s="132" t="s">
        <v>383</v>
      </c>
      <c r="G176" s="133" t="s">
        <v>108</v>
      </c>
      <c r="H176" s="257">
        <f>'прил13(ведом 20-21)'!M348</f>
        <v>2.2999999999999998</v>
      </c>
      <c r="I176" s="257">
        <f>'прил13(ведом 20-21)'!N348</f>
        <v>2.4</v>
      </c>
    </row>
    <row r="177" spans="1:9" ht="37.5">
      <c r="A177" s="243"/>
      <c r="B177" s="256" t="s">
        <v>182</v>
      </c>
      <c r="C177" s="130" t="s">
        <v>138</v>
      </c>
      <c r="D177" s="131" t="s">
        <v>97</v>
      </c>
      <c r="E177" s="131" t="s">
        <v>89</v>
      </c>
      <c r="F177" s="132" t="s">
        <v>383</v>
      </c>
      <c r="G177" s="133" t="s">
        <v>183</v>
      </c>
      <c r="H177" s="257">
        <f>'прил13(ведом 20-21)'!M349</f>
        <v>465.1</v>
      </c>
      <c r="I177" s="257">
        <f>'прил13(ведом 20-21)'!N349</f>
        <v>483.7</v>
      </c>
    </row>
    <row r="178" spans="1:9" ht="94.9" customHeight="1">
      <c r="A178" s="243"/>
      <c r="B178" s="256" t="s">
        <v>515</v>
      </c>
      <c r="C178" s="130" t="s">
        <v>138</v>
      </c>
      <c r="D178" s="131" t="s">
        <v>97</v>
      </c>
      <c r="E178" s="131" t="s">
        <v>89</v>
      </c>
      <c r="F178" s="132" t="s">
        <v>384</v>
      </c>
      <c r="G178" s="133"/>
      <c r="H178" s="257">
        <f>SUM(H179:H180)</f>
        <v>512.70000000000005</v>
      </c>
      <c r="I178" s="257">
        <f>SUM(I179:I180)</f>
        <v>533.20000000000005</v>
      </c>
    </row>
    <row r="179" spans="1:9" ht="37.5">
      <c r="A179" s="243"/>
      <c r="B179" s="256" t="s">
        <v>107</v>
      </c>
      <c r="C179" s="130" t="s">
        <v>138</v>
      </c>
      <c r="D179" s="131" t="s">
        <v>97</v>
      </c>
      <c r="E179" s="131" t="s">
        <v>89</v>
      </c>
      <c r="F179" s="132" t="s">
        <v>384</v>
      </c>
      <c r="G179" s="133" t="s">
        <v>108</v>
      </c>
      <c r="H179" s="257">
        <f>'прил13(ведом 20-21)'!M351</f>
        <v>2.6</v>
      </c>
      <c r="I179" s="257">
        <f>'прил13(ведом 20-21)'!N351</f>
        <v>2.7</v>
      </c>
    </row>
    <row r="180" spans="1:9" ht="37.5">
      <c r="A180" s="243"/>
      <c r="B180" s="256" t="s">
        <v>182</v>
      </c>
      <c r="C180" s="130" t="s">
        <v>138</v>
      </c>
      <c r="D180" s="131" t="s">
        <v>97</v>
      </c>
      <c r="E180" s="131" t="s">
        <v>89</v>
      </c>
      <c r="F180" s="132" t="s">
        <v>384</v>
      </c>
      <c r="G180" s="133" t="s">
        <v>183</v>
      </c>
      <c r="H180" s="257">
        <f>'прил13(ведом 20-21)'!M352</f>
        <v>510.1</v>
      </c>
      <c r="I180" s="257">
        <f>'прил13(ведом 20-21)'!N352</f>
        <v>530.5</v>
      </c>
    </row>
    <row r="181" spans="1:9" ht="150">
      <c r="A181" s="243"/>
      <c r="B181" s="306" t="s">
        <v>496</v>
      </c>
      <c r="C181" s="130" t="s">
        <v>138</v>
      </c>
      <c r="D181" s="131" t="s">
        <v>97</v>
      </c>
      <c r="E181" s="131" t="s">
        <v>89</v>
      </c>
      <c r="F181" s="132" t="s">
        <v>380</v>
      </c>
      <c r="G181" s="133"/>
      <c r="H181" s="257">
        <f>H182</f>
        <v>15.6</v>
      </c>
      <c r="I181" s="257">
        <f>I182</f>
        <v>15.6</v>
      </c>
    </row>
    <row r="182" spans="1:9" ht="18.600000000000001" customHeight="1">
      <c r="A182" s="243"/>
      <c r="B182" s="256" t="s">
        <v>182</v>
      </c>
      <c r="C182" s="130" t="s">
        <v>138</v>
      </c>
      <c r="D182" s="131" t="s">
        <v>97</v>
      </c>
      <c r="E182" s="131" t="s">
        <v>89</v>
      </c>
      <c r="F182" s="132" t="s">
        <v>380</v>
      </c>
      <c r="G182" s="133" t="s">
        <v>183</v>
      </c>
      <c r="H182" s="257">
        <f>'прил13(ведом 20-21)'!M335</f>
        <v>15.6</v>
      </c>
      <c r="I182" s="257">
        <f>'прил13(ведом 20-21)'!N335</f>
        <v>15.6</v>
      </c>
    </row>
    <row r="183" spans="1:9" ht="75">
      <c r="A183" s="243"/>
      <c r="B183" s="285" t="s">
        <v>393</v>
      </c>
      <c r="C183" s="223" t="s">
        <v>138</v>
      </c>
      <c r="D183" s="224" t="s">
        <v>97</v>
      </c>
      <c r="E183" s="224" t="s">
        <v>91</v>
      </c>
      <c r="F183" s="303" t="s">
        <v>96</v>
      </c>
      <c r="G183" s="226"/>
      <c r="H183" s="257">
        <f>H184+H186+H190+H188</f>
        <v>43976.800000000003</v>
      </c>
      <c r="I183" s="257">
        <f>I184+I186+I190+I188</f>
        <v>43976.800000000003</v>
      </c>
    </row>
    <row r="184" spans="1:9" ht="187.5">
      <c r="A184" s="243"/>
      <c r="B184" s="304" t="s">
        <v>505</v>
      </c>
      <c r="C184" s="130" t="s">
        <v>138</v>
      </c>
      <c r="D184" s="131" t="s">
        <v>97</v>
      </c>
      <c r="E184" s="131" t="s">
        <v>91</v>
      </c>
      <c r="F184" s="132" t="s">
        <v>506</v>
      </c>
      <c r="G184" s="133"/>
      <c r="H184" s="257">
        <f>H185</f>
        <v>5.2</v>
      </c>
      <c r="I184" s="257">
        <f>I185</f>
        <v>5.2</v>
      </c>
    </row>
    <row r="185" spans="1:9" ht="37.5">
      <c r="A185" s="243"/>
      <c r="B185" s="256" t="s">
        <v>182</v>
      </c>
      <c r="C185" s="130" t="s">
        <v>138</v>
      </c>
      <c r="D185" s="131" t="s">
        <v>97</v>
      </c>
      <c r="E185" s="131" t="s">
        <v>91</v>
      </c>
      <c r="F185" s="132" t="s">
        <v>506</v>
      </c>
      <c r="G185" s="133" t="s">
        <v>183</v>
      </c>
      <c r="H185" s="257">
        <f>'прил13(ведом 20-21)'!M355</f>
        <v>5.2</v>
      </c>
      <c r="I185" s="257">
        <f>'прил13(ведом 20-21)'!N355</f>
        <v>5.2</v>
      </c>
    </row>
    <row r="186" spans="1:9" ht="281.25">
      <c r="A186" s="243"/>
      <c r="B186" s="304" t="s">
        <v>514</v>
      </c>
      <c r="C186" s="130" t="s">
        <v>138</v>
      </c>
      <c r="D186" s="131" t="s">
        <v>97</v>
      </c>
      <c r="E186" s="131" t="s">
        <v>91</v>
      </c>
      <c r="F186" s="132" t="s">
        <v>507</v>
      </c>
      <c r="G186" s="133"/>
      <c r="H186" s="257">
        <f>H187</f>
        <v>231</v>
      </c>
      <c r="I186" s="257">
        <f>I187</f>
        <v>231</v>
      </c>
    </row>
    <row r="187" spans="1:9" ht="37.5">
      <c r="A187" s="243"/>
      <c r="B187" s="256" t="s">
        <v>182</v>
      </c>
      <c r="C187" s="130" t="s">
        <v>138</v>
      </c>
      <c r="D187" s="131" t="s">
        <v>97</v>
      </c>
      <c r="E187" s="131" t="s">
        <v>91</v>
      </c>
      <c r="F187" s="132" t="s">
        <v>507</v>
      </c>
      <c r="G187" s="133" t="s">
        <v>183</v>
      </c>
      <c r="H187" s="257">
        <f>'прил13(ведом 20-21)'!M357</f>
        <v>231</v>
      </c>
      <c r="I187" s="257">
        <f>'прил13(ведом 20-21)'!N357</f>
        <v>231</v>
      </c>
    </row>
    <row r="188" spans="1:9" ht="112.5">
      <c r="A188" s="243"/>
      <c r="B188" s="222" t="s">
        <v>394</v>
      </c>
      <c r="C188" s="223" t="s">
        <v>138</v>
      </c>
      <c r="D188" s="224" t="s">
        <v>97</v>
      </c>
      <c r="E188" s="224" t="s">
        <v>91</v>
      </c>
      <c r="F188" s="303" t="s">
        <v>706</v>
      </c>
      <c r="G188" s="226"/>
      <c r="H188" s="257">
        <f>H189</f>
        <v>35547.1</v>
      </c>
      <c r="I188" s="257">
        <f>I189</f>
        <v>35547.100000000006</v>
      </c>
    </row>
    <row r="189" spans="1:9" ht="37.5">
      <c r="A189" s="243"/>
      <c r="B189" s="222" t="s">
        <v>275</v>
      </c>
      <c r="C189" s="223" t="s">
        <v>138</v>
      </c>
      <c r="D189" s="224" t="s">
        <v>97</v>
      </c>
      <c r="E189" s="224" t="s">
        <v>91</v>
      </c>
      <c r="F189" s="303" t="s">
        <v>706</v>
      </c>
      <c r="G189" s="226" t="s">
        <v>276</v>
      </c>
      <c r="H189" s="257">
        <f>'прил13(ведом 20-21)'!M161</f>
        <v>35547.1</v>
      </c>
      <c r="I189" s="257">
        <f>'прил13(ведом 20-21)'!N161</f>
        <v>35547.100000000006</v>
      </c>
    </row>
    <row r="190" spans="1:9" ht="112.5">
      <c r="A190" s="243"/>
      <c r="B190" s="222" t="s">
        <v>394</v>
      </c>
      <c r="C190" s="223" t="s">
        <v>138</v>
      </c>
      <c r="D190" s="224" t="s">
        <v>97</v>
      </c>
      <c r="E190" s="224" t="s">
        <v>91</v>
      </c>
      <c r="F190" s="303" t="s">
        <v>395</v>
      </c>
      <c r="G190" s="226"/>
      <c r="H190" s="257">
        <f>H191</f>
        <v>8193.5</v>
      </c>
      <c r="I190" s="257">
        <f>I191</f>
        <v>8193.5</v>
      </c>
    </row>
    <row r="191" spans="1:9" ht="37.5">
      <c r="A191" s="243"/>
      <c r="B191" s="222" t="s">
        <v>275</v>
      </c>
      <c r="C191" s="223" t="s">
        <v>138</v>
      </c>
      <c r="D191" s="224" t="s">
        <v>97</v>
      </c>
      <c r="E191" s="224" t="s">
        <v>91</v>
      </c>
      <c r="F191" s="303" t="s">
        <v>395</v>
      </c>
      <c r="G191" s="226" t="s">
        <v>276</v>
      </c>
      <c r="H191" s="257">
        <f>'прил13(ведом 20-21)'!M163</f>
        <v>8193.5</v>
      </c>
      <c r="I191" s="257">
        <f>'прил13(ведом 20-21)'!N163</f>
        <v>8193.5</v>
      </c>
    </row>
    <row r="192" spans="1:9" ht="37.5">
      <c r="A192" s="243"/>
      <c r="B192" s="256" t="s">
        <v>302</v>
      </c>
      <c r="C192" s="130" t="s">
        <v>138</v>
      </c>
      <c r="D192" s="131" t="s">
        <v>97</v>
      </c>
      <c r="E192" s="131" t="s">
        <v>118</v>
      </c>
      <c r="F192" s="132" t="s">
        <v>96</v>
      </c>
      <c r="G192" s="133"/>
      <c r="H192" s="257">
        <f>H193+H196+H199</f>
        <v>6248.8</v>
      </c>
      <c r="I192" s="257">
        <f>I193+I196+I199</f>
        <v>6248.8</v>
      </c>
    </row>
    <row r="193" spans="1:9" ht="72.599999999999994" customHeight="1">
      <c r="A193" s="243"/>
      <c r="B193" s="256" t="s">
        <v>304</v>
      </c>
      <c r="C193" s="130" t="s">
        <v>138</v>
      </c>
      <c r="D193" s="131" t="s">
        <v>97</v>
      </c>
      <c r="E193" s="131" t="s">
        <v>118</v>
      </c>
      <c r="F193" s="132" t="s">
        <v>386</v>
      </c>
      <c r="G193" s="133"/>
      <c r="H193" s="257">
        <f>SUM(H194:H195)</f>
        <v>4784.5</v>
      </c>
      <c r="I193" s="257">
        <f>SUM(I194:I195)</f>
        <v>4784.5</v>
      </c>
    </row>
    <row r="194" spans="1:9" ht="93.75">
      <c r="A194" s="243"/>
      <c r="B194" s="256" t="s">
        <v>101</v>
      </c>
      <c r="C194" s="130" t="s">
        <v>138</v>
      </c>
      <c r="D194" s="131" t="s">
        <v>97</v>
      </c>
      <c r="E194" s="131" t="s">
        <v>118</v>
      </c>
      <c r="F194" s="132" t="s">
        <v>386</v>
      </c>
      <c r="G194" s="133" t="s">
        <v>102</v>
      </c>
      <c r="H194" s="257">
        <f>'прил13(ведом 20-21)'!M363</f>
        <v>4434.5</v>
      </c>
      <c r="I194" s="257">
        <f>'прил13(ведом 20-21)'!N363</f>
        <v>4434.5</v>
      </c>
    </row>
    <row r="195" spans="1:9" ht="37.5">
      <c r="A195" s="243"/>
      <c r="B195" s="256" t="s">
        <v>107</v>
      </c>
      <c r="C195" s="307" t="s">
        <v>138</v>
      </c>
      <c r="D195" s="308" t="s">
        <v>97</v>
      </c>
      <c r="E195" s="308" t="s">
        <v>118</v>
      </c>
      <c r="F195" s="309" t="s">
        <v>386</v>
      </c>
      <c r="G195" s="133" t="s">
        <v>108</v>
      </c>
      <c r="H195" s="257">
        <f>'прил13(ведом 20-21)'!M364</f>
        <v>350</v>
      </c>
      <c r="I195" s="257">
        <f>'прил13(ведом 20-21)'!N364</f>
        <v>350</v>
      </c>
    </row>
    <row r="196" spans="1:9" ht="56.25">
      <c r="A196" s="243"/>
      <c r="B196" s="219" t="s">
        <v>552</v>
      </c>
      <c r="C196" s="130" t="s">
        <v>138</v>
      </c>
      <c r="D196" s="131" t="s">
        <v>97</v>
      </c>
      <c r="E196" s="131" t="s">
        <v>118</v>
      </c>
      <c r="F196" s="132" t="s">
        <v>387</v>
      </c>
      <c r="G196" s="133"/>
      <c r="H196" s="257">
        <f>SUM(H197:H198)</f>
        <v>617.29999999999995</v>
      </c>
      <c r="I196" s="257">
        <f>SUM(I197:I198)</f>
        <v>617.29999999999995</v>
      </c>
    </row>
    <row r="197" spans="1:9" ht="93.75">
      <c r="A197" s="243"/>
      <c r="B197" s="256" t="s">
        <v>101</v>
      </c>
      <c r="C197" s="130" t="s">
        <v>138</v>
      </c>
      <c r="D197" s="131" t="s">
        <v>97</v>
      </c>
      <c r="E197" s="131" t="s">
        <v>118</v>
      </c>
      <c r="F197" s="132" t="s">
        <v>387</v>
      </c>
      <c r="G197" s="133" t="s">
        <v>102</v>
      </c>
      <c r="H197" s="257">
        <f>'прил13(ведом 20-21)'!M366</f>
        <v>567.29999999999995</v>
      </c>
      <c r="I197" s="257">
        <f>'прил13(ведом 20-21)'!N366</f>
        <v>567.29999999999995</v>
      </c>
    </row>
    <row r="198" spans="1:9" ht="37.5">
      <c r="A198" s="243"/>
      <c r="B198" s="256" t="s">
        <v>107</v>
      </c>
      <c r="C198" s="130" t="s">
        <v>138</v>
      </c>
      <c r="D198" s="131" t="s">
        <v>97</v>
      </c>
      <c r="E198" s="131" t="s">
        <v>118</v>
      </c>
      <c r="F198" s="132" t="s">
        <v>387</v>
      </c>
      <c r="G198" s="133" t="s">
        <v>108</v>
      </c>
      <c r="H198" s="257">
        <f>'прил13(ведом 20-21)'!M367</f>
        <v>50</v>
      </c>
      <c r="I198" s="257">
        <f>'прил13(ведом 20-21)'!N367</f>
        <v>50</v>
      </c>
    </row>
    <row r="199" spans="1:9" ht="217.9" customHeight="1">
      <c r="A199" s="243"/>
      <c r="B199" s="256" t="s">
        <v>305</v>
      </c>
      <c r="C199" s="130" t="s">
        <v>138</v>
      </c>
      <c r="D199" s="131" t="s">
        <v>97</v>
      </c>
      <c r="E199" s="131" t="s">
        <v>118</v>
      </c>
      <c r="F199" s="132" t="s">
        <v>388</v>
      </c>
      <c r="G199" s="133"/>
      <c r="H199" s="257">
        <f>H200+H201</f>
        <v>847</v>
      </c>
      <c r="I199" s="257">
        <f>I200+I201</f>
        <v>847</v>
      </c>
    </row>
    <row r="200" spans="1:9" ht="93.75">
      <c r="A200" s="243"/>
      <c r="B200" s="256" t="s">
        <v>101</v>
      </c>
      <c r="C200" s="130" t="s">
        <v>138</v>
      </c>
      <c r="D200" s="131" t="s">
        <v>97</v>
      </c>
      <c r="E200" s="131" t="s">
        <v>118</v>
      </c>
      <c r="F200" s="132" t="s">
        <v>388</v>
      </c>
      <c r="G200" s="133" t="s">
        <v>102</v>
      </c>
      <c r="H200" s="257">
        <f>'прил13(ведом 20-21)'!M369</f>
        <v>767</v>
      </c>
      <c r="I200" s="257">
        <f>'прил13(ведом 20-21)'!N369</f>
        <v>767</v>
      </c>
    </row>
    <row r="201" spans="1:9" ht="37.5">
      <c r="A201" s="243"/>
      <c r="B201" s="256" t="s">
        <v>107</v>
      </c>
      <c r="C201" s="130" t="s">
        <v>138</v>
      </c>
      <c r="D201" s="131" t="s">
        <v>97</v>
      </c>
      <c r="E201" s="131" t="s">
        <v>118</v>
      </c>
      <c r="F201" s="132" t="s">
        <v>388</v>
      </c>
      <c r="G201" s="133" t="s">
        <v>108</v>
      </c>
      <c r="H201" s="257">
        <f>'прил13(ведом 20-21)'!M370</f>
        <v>80</v>
      </c>
      <c r="I201" s="257">
        <f>'прил13(ведом 20-21)'!N370</f>
        <v>80</v>
      </c>
    </row>
    <row r="202" spans="1:9" ht="18.75">
      <c r="A202" s="280"/>
      <c r="B202" s="258"/>
      <c r="C202" s="224"/>
      <c r="D202" s="701"/>
      <c r="E202" s="701"/>
      <c r="F202" s="702"/>
      <c r="G202" s="242"/>
      <c r="H202" s="257"/>
      <c r="I202" s="257"/>
    </row>
    <row r="203" spans="1:9" s="255" customFormat="1" ht="56.25">
      <c r="A203" s="261">
        <v>9</v>
      </c>
      <c r="B203" s="275" t="s">
        <v>155</v>
      </c>
      <c r="C203" s="262" t="s">
        <v>122</v>
      </c>
      <c r="D203" s="262" t="s">
        <v>94</v>
      </c>
      <c r="E203" s="262" t="s">
        <v>95</v>
      </c>
      <c r="F203" s="263" t="s">
        <v>96</v>
      </c>
      <c r="G203" s="312"/>
      <c r="H203" s="254">
        <f>H204</f>
        <v>11958.5</v>
      </c>
      <c r="I203" s="254">
        <f>I204</f>
        <v>11958.5</v>
      </c>
    </row>
    <row r="204" spans="1:9" ht="37.5">
      <c r="A204" s="243"/>
      <c r="B204" s="256" t="s">
        <v>455</v>
      </c>
      <c r="C204" s="130" t="s">
        <v>122</v>
      </c>
      <c r="D204" s="131" t="s">
        <v>97</v>
      </c>
      <c r="E204" s="131" t="s">
        <v>95</v>
      </c>
      <c r="F204" s="132" t="s">
        <v>96</v>
      </c>
      <c r="G204" s="271"/>
      <c r="H204" s="257">
        <f>H205+H208</f>
        <v>11958.5</v>
      </c>
      <c r="I204" s="257">
        <f>I205+I208</f>
        <v>11958.5</v>
      </c>
    </row>
    <row r="205" spans="1:9" ht="37.5">
      <c r="A205" s="243"/>
      <c r="B205" s="256" t="s">
        <v>156</v>
      </c>
      <c r="C205" s="130" t="s">
        <v>122</v>
      </c>
      <c r="D205" s="131" t="s">
        <v>97</v>
      </c>
      <c r="E205" s="131" t="s">
        <v>89</v>
      </c>
      <c r="F205" s="132" t="s">
        <v>96</v>
      </c>
      <c r="G205" s="271"/>
      <c r="H205" s="257">
        <f>H206</f>
        <v>11860</v>
      </c>
      <c r="I205" s="257">
        <f>I206</f>
        <v>11860</v>
      </c>
    </row>
    <row r="206" spans="1:9" ht="159" customHeight="1">
      <c r="A206" s="243"/>
      <c r="B206" s="219" t="s">
        <v>543</v>
      </c>
      <c r="C206" s="130" t="s">
        <v>122</v>
      </c>
      <c r="D206" s="131" t="s">
        <v>97</v>
      </c>
      <c r="E206" s="131" t="s">
        <v>89</v>
      </c>
      <c r="F206" s="132" t="s">
        <v>157</v>
      </c>
      <c r="G206" s="133"/>
      <c r="H206" s="257">
        <f>H207</f>
        <v>11860</v>
      </c>
      <c r="I206" s="257">
        <f>I207</f>
        <v>11860</v>
      </c>
    </row>
    <row r="207" spans="1:9" ht="18.75">
      <c r="A207" s="243"/>
      <c r="B207" s="256" t="s">
        <v>109</v>
      </c>
      <c r="C207" s="130" t="s">
        <v>122</v>
      </c>
      <c r="D207" s="131" t="s">
        <v>97</v>
      </c>
      <c r="E207" s="131" t="s">
        <v>89</v>
      </c>
      <c r="F207" s="132" t="s">
        <v>157</v>
      </c>
      <c r="G207" s="133" t="s">
        <v>110</v>
      </c>
      <c r="H207" s="257">
        <f>'прил13(ведом 20-21)'!M78</f>
        <v>11860</v>
      </c>
      <c r="I207" s="257">
        <f>'прил13(ведом 20-21)'!N78</f>
        <v>11860</v>
      </c>
    </row>
    <row r="208" spans="1:9" ht="56.25">
      <c r="A208" s="243"/>
      <c r="B208" s="256" t="s">
        <v>158</v>
      </c>
      <c r="C208" s="130" t="s">
        <v>122</v>
      </c>
      <c r="D208" s="131" t="s">
        <v>97</v>
      </c>
      <c r="E208" s="131" t="s">
        <v>91</v>
      </c>
      <c r="F208" s="132" t="s">
        <v>96</v>
      </c>
      <c r="G208" s="133"/>
      <c r="H208" s="257">
        <f>H209</f>
        <v>98.5</v>
      </c>
      <c r="I208" s="257">
        <f>I209</f>
        <v>98.5</v>
      </c>
    </row>
    <row r="209" spans="1:9" ht="133.15" customHeight="1">
      <c r="A209" s="243"/>
      <c r="B209" s="219" t="s">
        <v>553</v>
      </c>
      <c r="C209" s="130" t="s">
        <v>122</v>
      </c>
      <c r="D209" s="131" t="s">
        <v>97</v>
      </c>
      <c r="E209" s="131" t="s">
        <v>91</v>
      </c>
      <c r="F209" s="132" t="s">
        <v>159</v>
      </c>
      <c r="G209" s="133"/>
      <c r="H209" s="257">
        <f>H210</f>
        <v>98.5</v>
      </c>
      <c r="I209" s="257">
        <f>I210</f>
        <v>98.5</v>
      </c>
    </row>
    <row r="210" spans="1:9" ht="37.5">
      <c r="A210" s="243"/>
      <c r="B210" s="256" t="s">
        <v>107</v>
      </c>
      <c r="C210" s="130" t="s">
        <v>122</v>
      </c>
      <c r="D210" s="131" t="s">
        <v>97</v>
      </c>
      <c r="E210" s="131" t="s">
        <v>91</v>
      </c>
      <c r="F210" s="132" t="s">
        <v>159</v>
      </c>
      <c r="G210" s="133" t="s">
        <v>108</v>
      </c>
      <c r="H210" s="257">
        <f>'прил13(ведом 20-21)'!M81</f>
        <v>98.5</v>
      </c>
      <c r="I210" s="257">
        <f>'прил13(ведом 20-21)'!N81</f>
        <v>98.5</v>
      </c>
    </row>
    <row r="211" spans="1:9" ht="18.75">
      <c r="A211" s="243"/>
      <c r="B211" s="260"/>
      <c r="C211" s="701"/>
      <c r="D211" s="701"/>
      <c r="E211" s="701"/>
      <c r="F211" s="702"/>
      <c r="G211" s="242"/>
      <c r="H211" s="257"/>
      <c r="I211" s="257"/>
    </row>
    <row r="212" spans="1:9" s="255" customFormat="1" ht="56.25">
      <c r="A212" s="261">
        <v>10</v>
      </c>
      <c r="B212" s="275" t="s">
        <v>161</v>
      </c>
      <c r="C212" s="262" t="s">
        <v>162</v>
      </c>
      <c r="D212" s="262" t="s">
        <v>94</v>
      </c>
      <c r="E212" s="262" t="s">
        <v>95</v>
      </c>
      <c r="F212" s="263" t="s">
        <v>96</v>
      </c>
      <c r="G212" s="253"/>
      <c r="H212" s="254">
        <f t="shared" ref="H212:I215" si="4">H213</f>
        <v>4174.1000000000004</v>
      </c>
      <c r="I212" s="254">
        <f t="shared" si="4"/>
        <v>4240.8</v>
      </c>
    </row>
    <row r="213" spans="1:9" s="255" customFormat="1" ht="37.5">
      <c r="A213" s="243"/>
      <c r="B213" s="256" t="s">
        <v>455</v>
      </c>
      <c r="C213" s="130" t="s">
        <v>162</v>
      </c>
      <c r="D213" s="131" t="s">
        <v>97</v>
      </c>
      <c r="E213" s="131" t="s">
        <v>95</v>
      </c>
      <c r="F213" s="132" t="s">
        <v>96</v>
      </c>
      <c r="G213" s="133"/>
      <c r="H213" s="257">
        <f t="shared" si="4"/>
        <v>4174.1000000000004</v>
      </c>
      <c r="I213" s="257">
        <f t="shared" si="4"/>
        <v>4240.8</v>
      </c>
    </row>
    <row r="214" spans="1:9" s="255" customFormat="1" ht="75">
      <c r="A214" s="243"/>
      <c r="B214" s="256" t="s">
        <v>163</v>
      </c>
      <c r="C214" s="130" t="s">
        <v>162</v>
      </c>
      <c r="D214" s="131" t="s">
        <v>97</v>
      </c>
      <c r="E214" s="131" t="s">
        <v>89</v>
      </c>
      <c r="F214" s="132" t="s">
        <v>96</v>
      </c>
      <c r="G214" s="133"/>
      <c r="H214" s="257">
        <f t="shared" si="4"/>
        <v>4174.1000000000004</v>
      </c>
      <c r="I214" s="257">
        <f t="shared" si="4"/>
        <v>4240.8</v>
      </c>
    </row>
    <row r="215" spans="1:9" s="255" customFormat="1" ht="75">
      <c r="A215" s="243"/>
      <c r="B215" s="264" t="s">
        <v>164</v>
      </c>
      <c r="C215" s="130" t="s">
        <v>162</v>
      </c>
      <c r="D215" s="131" t="s">
        <v>97</v>
      </c>
      <c r="E215" s="131" t="s">
        <v>89</v>
      </c>
      <c r="F215" s="132" t="s">
        <v>165</v>
      </c>
      <c r="G215" s="133"/>
      <c r="H215" s="257">
        <f t="shared" si="4"/>
        <v>4174.1000000000004</v>
      </c>
      <c r="I215" s="257">
        <f t="shared" si="4"/>
        <v>4240.8</v>
      </c>
    </row>
    <row r="216" spans="1:9" ht="37.5">
      <c r="A216" s="243"/>
      <c r="B216" s="256" t="s">
        <v>107</v>
      </c>
      <c r="C216" s="130" t="s">
        <v>162</v>
      </c>
      <c r="D216" s="131" t="s">
        <v>97</v>
      </c>
      <c r="E216" s="131" t="s">
        <v>89</v>
      </c>
      <c r="F216" s="132" t="s">
        <v>165</v>
      </c>
      <c r="G216" s="133" t="s">
        <v>108</v>
      </c>
      <c r="H216" s="257">
        <f>'прил13(ведом 20-21)'!M87</f>
        <v>4174.1000000000004</v>
      </c>
      <c r="I216" s="257">
        <f>'прил13(ведом 20-21)'!N87</f>
        <v>4240.8</v>
      </c>
    </row>
    <row r="217" spans="1:9" ht="18.75">
      <c r="A217" s="243"/>
      <c r="B217" s="219"/>
      <c r="C217" s="130"/>
      <c r="D217" s="131"/>
      <c r="E217" s="131"/>
      <c r="F217" s="132"/>
      <c r="G217" s="133"/>
      <c r="H217" s="257"/>
      <c r="I217" s="257"/>
    </row>
    <row r="218" spans="1:9" ht="75">
      <c r="A218" s="243">
        <v>11</v>
      </c>
      <c r="B218" s="708" t="s">
        <v>178</v>
      </c>
      <c r="C218" s="393" t="s">
        <v>148</v>
      </c>
      <c r="D218" s="394" t="s">
        <v>94</v>
      </c>
      <c r="E218" s="394" t="s">
        <v>95</v>
      </c>
      <c r="F218" s="395" t="s">
        <v>96</v>
      </c>
      <c r="G218" s="149"/>
      <c r="H218" s="254">
        <f t="shared" ref="H218:I221" si="5">H219</f>
        <v>39</v>
      </c>
      <c r="I218" s="254">
        <f t="shared" si="5"/>
        <v>39</v>
      </c>
    </row>
    <row r="219" spans="1:9" ht="37.5">
      <c r="A219" s="243"/>
      <c r="B219" s="91" t="s">
        <v>455</v>
      </c>
      <c r="C219" s="705" t="s">
        <v>148</v>
      </c>
      <c r="D219" s="706" t="s">
        <v>97</v>
      </c>
      <c r="E219" s="706" t="s">
        <v>95</v>
      </c>
      <c r="F219" s="707" t="s">
        <v>96</v>
      </c>
      <c r="G219" s="133"/>
      <c r="H219" s="257">
        <f t="shared" si="5"/>
        <v>39</v>
      </c>
      <c r="I219" s="257">
        <f t="shared" si="5"/>
        <v>39</v>
      </c>
    </row>
    <row r="220" spans="1:9" ht="56.25">
      <c r="A220" s="243"/>
      <c r="B220" s="98" t="s">
        <v>403</v>
      </c>
      <c r="C220" s="705" t="s">
        <v>148</v>
      </c>
      <c r="D220" s="706" t="s">
        <v>97</v>
      </c>
      <c r="E220" s="706" t="s">
        <v>89</v>
      </c>
      <c r="F220" s="707" t="s">
        <v>96</v>
      </c>
      <c r="G220" s="133"/>
      <c r="H220" s="257">
        <f t="shared" si="5"/>
        <v>39</v>
      </c>
      <c r="I220" s="257">
        <f t="shared" si="5"/>
        <v>39</v>
      </c>
    </row>
    <row r="221" spans="1:9" ht="56.25">
      <c r="A221" s="243"/>
      <c r="B221" s="463" t="s">
        <v>595</v>
      </c>
      <c r="C221" s="705" t="s">
        <v>148</v>
      </c>
      <c r="D221" s="706" t="s">
        <v>97</v>
      </c>
      <c r="E221" s="706" t="s">
        <v>89</v>
      </c>
      <c r="F221" s="707" t="s">
        <v>594</v>
      </c>
      <c r="G221" s="133"/>
      <c r="H221" s="257">
        <f t="shared" si="5"/>
        <v>39</v>
      </c>
      <c r="I221" s="257">
        <f t="shared" si="5"/>
        <v>39</v>
      </c>
    </row>
    <row r="222" spans="1:9" ht="37.5">
      <c r="A222" s="243"/>
      <c r="B222" s="463" t="s">
        <v>107</v>
      </c>
      <c r="C222" s="705" t="s">
        <v>148</v>
      </c>
      <c r="D222" s="706" t="s">
        <v>97</v>
      </c>
      <c r="E222" s="706" t="s">
        <v>89</v>
      </c>
      <c r="F222" s="707" t="s">
        <v>594</v>
      </c>
      <c r="G222" s="133" t="s">
        <v>108</v>
      </c>
      <c r="H222" s="257">
        <f>'прил13(ведом 20-21)'!M93</f>
        <v>39</v>
      </c>
      <c r="I222" s="257">
        <f>'прил13(ведом 20-21)'!N93</f>
        <v>39</v>
      </c>
    </row>
    <row r="223" spans="1:9" ht="18.75">
      <c r="A223" s="243"/>
      <c r="B223" s="463"/>
      <c r="C223" s="706"/>
      <c r="D223" s="706"/>
      <c r="E223" s="706"/>
      <c r="F223" s="707"/>
      <c r="G223" s="133"/>
      <c r="H223" s="257"/>
      <c r="I223" s="257"/>
    </row>
    <row r="224" spans="1:9" s="255" customFormat="1" ht="56.25">
      <c r="A224" s="261">
        <v>12</v>
      </c>
      <c r="B224" s="275" t="s">
        <v>92</v>
      </c>
      <c r="C224" s="262" t="s">
        <v>93</v>
      </c>
      <c r="D224" s="262" t="s">
        <v>94</v>
      </c>
      <c r="E224" s="262" t="s">
        <v>95</v>
      </c>
      <c r="F224" s="263" t="s">
        <v>96</v>
      </c>
      <c r="G224" s="253"/>
      <c r="H224" s="254">
        <f>H225</f>
        <v>72502.600000000006</v>
      </c>
      <c r="I224" s="254">
        <f>I225</f>
        <v>70538.099999999991</v>
      </c>
    </row>
    <row r="225" spans="1:9" s="255" customFormat="1" ht="37.5">
      <c r="A225" s="243"/>
      <c r="B225" s="256" t="s">
        <v>455</v>
      </c>
      <c r="C225" s="130" t="s">
        <v>93</v>
      </c>
      <c r="D225" s="131" t="s">
        <v>97</v>
      </c>
      <c r="E225" s="131" t="s">
        <v>95</v>
      </c>
      <c r="F225" s="132" t="s">
        <v>96</v>
      </c>
      <c r="G225" s="133"/>
      <c r="H225" s="257">
        <f>H226+H229+H246+H250+H253</f>
        <v>72502.600000000006</v>
      </c>
      <c r="I225" s="257">
        <f>I226+I229+I246+I253+I250</f>
        <v>70538.099999999991</v>
      </c>
    </row>
    <row r="226" spans="1:9" s="255" customFormat="1" ht="37.5">
      <c r="A226" s="243"/>
      <c r="B226" s="256" t="s">
        <v>98</v>
      </c>
      <c r="C226" s="130" t="s">
        <v>93</v>
      </c>
      <c r="D226" s="131" t="s">
        <v>97</v>
      </c>
      <c r="E226" s="131" t="s">
        <v>89</v>
      </c>
      <c r="F226" s="132" t="s">
        <v>96</v>
      </c>
      <c r="G226" s="133"/>
      <c r="H226" s="257">
        <f>H227</f>
        <v>1971.5</v>
      </c>
      <c r="I226" s="257">
        <f>I227</f>
        <v>1971.5</v>
      </c>
    </row>
    <row r="227" spans="1:9" s="255" customFormat="1" ht="37.5">
      <c r="A227" s="243"/>
      <c r="B227" s="256" t="s">
        <v>99</v>
      </c>
      <c r="C227" s="130" t="s">
        <v>93</v>
      </c>
      <c r="D227" s="131" t="s">
        <v>97</v>
      </c>
      <c r="E227" s="131" t="s">
        <v>89</v>
      </c>
      <c r="F227" s="132" t="s">
        <v>100</v>
      </c>
      <c r="G227" s="133"/>
      <c r="H227" s="257">
        <f>H228</f>
        <v>1971.5</v>
      </c>
      <c r="I227" s="257">
        <f>I228</f>
        <v>1971.5</v>
      </c>
    </row>
    <row r="228" spans="1:9" s="255" customFormat="1" ht="93.75">
      <c r="A228" s="243"/>
      <c r="B228" s="256" t="s">
        <v>101</v>
      </c>
      <c r="C228" s="130" t="s">
        <v>93</v>
      </c>
      <c r="D228" s="131" t="s">
        <v>97</v>
      </c>
      <c r="E228" s="131" t="s">
        <v>89</v>
      </c>
      <c r="F228" s="132" t="s">
        <v>100</v>
      </c>
      <c r="G228" s="133" t="s">
        <v>102</v>
      </c>
      <c r="H228" s="257">
        <f>'прил13(ведом 20-21)'!M23</f>
        <v>1971.5</v>
      </c>
      <c r="I228" s="257">
        <f>'прил13(ведом 20-21)'!N23</f>
        <v>1971.5</v>
      </c>
    </row>
    <row r="229" spans="1:9" s="255" customFormat="1" ht="37.5">
      <c r="A229" s="243"/>
      <c r="B229" s="256" t="s">
        <v>106</v>
      </c>
      <c r="C229" s="130" t="s">
        <v>93</v>
      </c>
      <c r="D229" s="131" t="s">
        <v>97</v>
      </c>
      <c r="E229" s="131" t="s">
        <v>91</v>
      </c>
      <c r="F229" s="132" t="s">
        <v>96</v>
      </c>
      <c r="G229" s="133"/>
      <c r="H229" s="257">
        <f>H230+H235+H237+H239+H242+H244+H233</f>
        <v>61207.700000000004</v>
      </c>
      <c r="I229" s="257">
        <f>I230+I235+I237+I239+I242+I244+I233</f>
        <v>59369.2</v>
      </c>
    </row>
    <row r="230" spans="1:9" s="255" customFormat="1" ht="37.5">
      <c r="A230" s="243"/>
      <c r="B230" s="256" t="s">
        <v>99</v>
      </c>
      <c r="C230" s="130" t="s">
        <v>93</v>
      </c>
      <c r="D230" s="131" t="s">
        <v>97</v>
      </c>
      <c r="E230" s="131" t="s">
        <v>91</v>
      </c>
      <c r="F230" s="132" t="s">
        <v>100</v>
      </c>
      <c r="G230" s="133"/>
      <c r="H230" s="257">
        <f>SUM(H231:H232)</f>
        <v>57331.8</v>
      </c>
      <c r="I230" s="257">
        <f>SUM(I231:I232)</f>
        <v>55499.4</v>
      </c>
    </row>
    <row r="231" spans="1:9" s="255" customFormat="1" ht="93.75">
      <c r="A231" s="243"/>
      <c r="B231" s="256" t="s">
        <v>101</v>
      </c>
      <c r="C231" s="130" t="s">
        <v>93</v>
      </c>
      <c r="D231" s="131" t="s">
        <v>97</v>
      </c>
      <c r="E231" s="131" t="s">
        <v>91</v>
      </c>
      <c r="F231" s="132" t="s">
        <v>100</v>
      </c>
      <c r="G231" s="133" t="s">
        <v>102</v>
      </c>
      <c r="H231" s="257">
        <f>'прил13(ведом 20-21)'!M29</f>
        <v>55499.4</v>
      </c>
      <c r="I231" s="257">
        <f>'прил13(ведом 20-21)'!N29</f>
        <v>55499.4</v>
      </c>
    </row>
    <row r="232" spans="1:9" ht="37.5">
      <c r="A232" s="243"/>
      <c r="B232" s="256" t="s">
        <v>107</v>
      </c>
      <c r="C232" s="130" t="s">
        <v>93</v>
      </c>
      <c r="D232" s="131" t="s">
        <v>97</v>
      </c>
      <c r="E232" s="131" t="s">
        <v>91</v>
      </c>
      <c r="F232" s="132" t="s">
        <v>100</v>
      </c>
      <c r="G232" s="133" t="s">
        <v>108</v>
      </c>
      <c r="H232" s="257">
        <f>'прил13(ведом 20-21)'!M30</f>
        <v>1832.4</v>
      </c>
      <c r="I232" s="257">
        <f>'прил13(ведом 20-21)'!N30</f>
        <v>0</v>
      </c>
    </row>
    <row r="233" spans="1:9" s="255" customFormat="1" ht="75">
      <c r="A233" s="243"/>
      <c r="B233" s="219" t="s">
        <v>587</v>
      </c>
      <c r="C233" s="130" t="s">
        <v>93</v>
      </c>
      <c r="D233" s="131" t="s">
        <v>97</v>
      </c>
      <c r="E233" s="131" t="s">
        <v>91</v>
      </c>
      <c r="F233" s="132" t="s">
        <v>586</v>
      </c>
      <c r="G233" s="133"/>
      <c r="H233" s="257">
        <f>H234</f>
        <v>10.8</v>
      </c>
      <c r="I233" s="257">
        <f>I234</f>
        <v>4.7</v>
      </c>
    </row>
    <row r="234" spans="1:9" s="255" customFormat="1" ht="37.5">
      <c r="A234" s="243"/>
      <c r="B234" s="219" t="s">
        <v>107</v>
      </c>
      <c r="C234" s="130" t="s">
        <v>93</v>
      </c>
      <c r="D234" s="131" t="s">
        <v>97</v>
      </c>
      <c r="E234" s="131" t="s">
        <v>91</v>
      </c>
      <c r="F234" s="132" t="s">
        <v>586</v>
      </c>
      <c r="G234" s="133" t="s">
        <v>108</v>
      </c>
      <c r="H234" s="257">
        <f>'прил13(ведом 20-21)'!M47</f>
        <v>10.8</v>
      </c>
      <c r="I234" s="257">
        <f>'прил13(ведом 20-21)'!N47</f>
        <v>4.7</v>
      </c>
    </row>
    <row r="235" spans="1:9" ht="93.75">
      <c r="A235" s="243"/>
      <c r="B235" s="256" t="s">
        <v>116</v>
      </c>
      <c r="C235" s="130" t="s">
        <v>93</v>
      </c>
      <c r="D235" s="131" t="s">
        <v>97</v>
      </c>
      <c r="E235" s="131" t="s">
        <v>91</v>
      </c>
      <c r="F235" s="132" t="s">
        <v>342</v>
      </c>
      <c r="G235" s="133"/>
      <c r="H235" s="257">
        <f>H236</f>
        <v>66</v>
      </c>
      <c r="I235" s="257">
        <f>I236</f>
        <v>66</v>
      </c>
    </row>
    <row r="236" spans="1:9" ht="37.5">
      <c r="A236" s="243"/>
      <c r="B236" s="256" t="s">
        <v>107</v>
      </c>
      <c r="C236" s="130" t="s">
        <v>93</v>
      </c>
      <c r="D236" s="131" t="s">
        <v>97</v>
      </c>
      <c r="E236" s="131" t="s">
        <v>91</v>
      </c>
      <c r="F236" s="132" t="s">
        <v>342</v>
      </c>
      <c r="G236" s="133" t="s">
        <v>108</v>
      </c>
      <c r="H236" s="257">
        <f>'прил13(ведом 20-21)'!M32</f>
        <v>66</v>
      </c>
      <c r="I236" s="257">
        <f>'прил13(ведом 20-21)'!N32</f>
        <v>66</v>
      </c>
    </row>
    <row r="237" spans="1:9" ht="18.75">
      <c r="A237" s="243"/>
      <c r="B237" s="219" t="s">
        <v>695</v>
      </c>
      <c r="C237" s="130" t="s">
        <v>93</v>
      </c>
      <c r="D237" s="131" t="s">
        <v>97</v>
      </c>
      <c r="E237" s="131" t="s">
        <v>91</v>
      </c>
      <c r="F237" s="132" t="s">
        <v>111</v>
      </c>
      <c r="G237" s="133"/>
      <c r="H237" s="257">
        <f>H238</f>
        <v>617.1</v>
      </c>
      <c r="I237" s="257">
        <f>I238</f>
        <v>617.1</v>
      </c>
    </row>
    <row r="238" spans="1:9" ht="93.75">
      <c r="A238" s="243"/>
      <c r="B238" s="256" t="s">
        <v>101</v>
      </c>
      <c r="C238" s="130" t="s">
        <v>93</v>
      </c>
      <c r="D238" s="131" t="s">
        <v>97</v>
      </c>
      <c r="E238" s="131" t="s">
        <v>91</v>
      </c>
      <c r="F238" s="132" t="s">
        <v>111</v>
      </c>
      <c r="G238" s="133" t="s">
        <v>102</v>
      </c>
      <c r="H238" s="257">
        <f>'прил13(ведом 20-21)'!M34</f>
        <v>617.1</v>
      </c>
      <c r="I238" s="257">
        <f>'прил13(ведом 20-21)'!N34</f>
        <v>617.1</v>
      </c>
    </row>
    <row r="239" spans="1:9" ht="75">
      <c r="A239" s="243"/>
      <c r="B239" s="256" t="s">
        <v>112</v>
      </c>
      <c r="C239" s="130" t="s">
        <v>93</v>
      </c>
      <c r="D239" s="131" t="s">
        <v>97</v>
      </c>
      <c r="E239" s="131" t="s">
        <v>91</v>
      </c>
      <c r="F239" s="132" t="s">
        <v>113</v>
      </c>
      <c r="G239" s="133"/>
      <c r="H239" s="257">
        <f>SUM(H240:H241)</f>
        <v>2498.7000000000003</v>
      </c>
      <c r="I239" s="257">
        <f>SUM(I240:I241)</f>
        <v>2498.7000000000003</v>
      </c>
    </row>
    <row r="240" spans="1:9" ht="93.75">
      <c r="A240" s="243"/>
      <c r="B240" s="256" t="s">
        <v>101</v>
      </c>
      <c r="C240" s="130" t="s">
        <v>93</v>
      </c>
      <c r="D240" s="131" t="s">
        <v>97</v>
      </c>
      <c r="E240" s="131" t="s">
        <v>91</v>
      </c>
      <c r="F240" s="132" t="s">
        <v>113</v>
      </c>
      <c r="G240" s="133" t="s">
        <v>102</v>
      </c>
      <c r="H240" s="257">
        <f>'прил13(ведом 20-21)'!M36</f>
        <v>2399.8000000000002</v>
      </c>
      <c r="I240" s="257">
        <f>'прил13(ведом 20-21)'!N36</f>
        <v>2399.8000000000002</v>
      </c>
    </row>
    <row r="241" spans="1:9" ht="37.5">
      <c r="A241" s="243"/>
      <c r="B241" s="256" t="s">
        <v>107</v>
      </c>
      <c r="C241" s="131" t="s">
        <v>93</v>
      </c>
      <c r="D241" s="131" t="s">
        <v>97</v>
      </c>
      <c r="E241" s="131" t="s">
        <v>91</v>
      </c>
      <c r="F241" s="132" t="s">
        <v>113</v>
      </c>
      <c r="G241" s="133" t="s">
        <v>108</v>
      </c>
      <c r="H241" s="257">
        <f>'прил13(ведом 20-21)'!M37</f>
        <v>98.9</v>
      </c>
      <c r="I241" s="257">
        <f>'прил13(ведом 20-21)'!N37</f>
        <v>98.9</v>
      </c>
    </row>
    <row r="242" spans="1:9" ht="56.25">
      <c r="A242" s="243"/>
      <c r="B242" s="256" t="s">
        <v>114</v>
      </c>
      <c r="C242" s="130" t="s">
        <v>93</v>
      </c>
      <c r="D242" s="131" t="s">
        <v>97</v>
      </c>
      <c r="E242" s="131" t="s">
        <v>91</v>
      </c>
      <c r="F242" s="132" t="s">
        <v>115</v>
      </c>
      <c r="G242" s="133"/>
      <c r="H242" s="257">
        <f>H243</f>
        <v>617.29999999999995</v>
      </c>
      <c r="I242" s="257">
        <f>I243</f>
        <v>617.29999999999995</v>
      </c>
    </row>
    <row r="243" spans="1:9" ht="93.75">
      <c r="A243" s="243"/>
      <c r="B243" s="256" t="s">
        <v>101</v>
      </c>
      <c r="C243" s="130" t="s">
        <v>93</v>
      </c>
      <c r="D243" s="131" t="s">
        <v>97</v>
      </c>
      <c r="E243" s="131" t="s">
        <v>91</v>
      </c>
      <c r="F243" s="132" t="s">
        <v>115</v>
      </c>
      <c r="G243" s="133" t="s">
        <v>102</v>
      </c>
      <c r="H243" s="257">
        <f>'прил13(ведом 20-21)'!M39</f>
        <v>617.29999999999995</v>
      </c>
      <c r="I243" s="257">
        <f>'прил13(ведом 20-21)'!N39</f>
        <v>617.29999999999995</v>
      </c>
    </row>
    <row r="244" spans="1:9" ht="147" customHeight="1">
      <c r="A244" s="243"/>
      <c r="B244" s="219" t="s">
        <v>540</v>
      </c>
      <c r="C244" s="130" t="s">
        <v>93</v>
      </c>
      <c r="D244" s="131" t="s">
        <v>97</v>
      </c>
      <c r="E244" s="131" t="s">
        <v>91</v>
      </c>
      <c r="F244" s="132" t="s">
        <v>539</v>
      </c>
      <c r="G244" s="133"/>
      <c r="H244" s="257">
        <f>H245</f>
        <v>66</v>
      </c>
      <c r="I244" s="257">
        <f>I245</f>
        <v>66</v>
      </c>
    </row>
    <row r="245" spans="1:9" ht="37.5">
      <c r="A245" s="243"/>
      <c r="B245" s="219" t="s">
        <v>107</v>
      </c>
      <c r="C245" s="130" t="s">
        <v>93</v>
      </c>
      <c r="D245" s="131" t="s">
        <v>97</v>
      </c>
      <c r="E245" s="131" t="s">
        <v>91</v>
      </c>
      <c r="F245" s="132" t="s">
        <v>539</v>
      </c>
      <c r="G245" s="133" t="s">
        <v>108</v>
      </c>
      <c r="H245" s="257">
        <f>'прил13(ведом 20-21)'!M41</f>
        <v>66</v>
      </c>
      <c r="I245" s="257">
        <f>'прил13(ведом 20-21)'!N41</f>
        <v>66</v>
      </c>
    </row>
    <row r="246" spans="1:9" ht="51" customHeight="1">
      <c r="A246" s="280"/>
      <c r="B246" s="285" t="s">
        <v>392</v>
      </c>
      <c r="C246" s="268" t="s">
        <v>93</v>
      </c>
      <c r="D246" s="224" t="s">
        <v>97</v>
      </c>
      <c r="E246" s="224" t="s">
        <v>140</v>
      </c>
      <c r="F246" s="225" t="s">
        <v>96</v>
      </c>
      <c r="G246" s="226"/>
      <c r="H246" s="257">
        <f>H247</f>
        <v>5109.8999999999996</v>
      </c>
      <c r="I246" s="257">
        <f>I247</f>
        <v>5038.7</v>
      </c>
    </row>
    <row r="247" spans="1:9" ht="75">
      <c r="A247" s="280"/>
      <c r="B247" s="285" t="s">
        <v>150</v>
      </c>
      <c r="C247" s="268" t="s">
        <v>93</v>
      </c>
      <c r="D247" s="224" t="s">
        <v>97</v>
      </c>
      <c r="E247" s="224" t="s">
        <v>140</v>
      </c>
      <c r="F247" s="225" t="s">
        <v>152</v>
      </c>
      <c r="G247" s="226"/>
      <c r="H247" s="257">
        <f>SUM(H248:H249)</f>
        <v>5109.8999999999996</v>
      </c>
      <c r="I247" s="257">
        <f>SUM(I248:I249)</f>
        <v>5038.7</v>
      </c>
    </row>
    <row r="248" spans="1:9" ht="93.75">
      <c r="A248" s="280"/>
      <c r="B248" s="285" t="s">
        <v>101</v>
      </c>
      <c r="C248" s="268" t="s">
        <v>93</v>
      </c>
      <c r="D248" s="224" t="s">
        <v>97</v>
      </c>
      <c r="E248" s="224" t="s">
        <v>140</v>
      </c>
      <c r="F248" s="225" t="s">
        <v>152</v>
      </c>
      <c r="G248" s="226" t="s">
        <v>102</v>
      </c>
      <c r="H248" s="257">
        <f>'прил13(ведом 20-21)'!M153</f>
        <v>5038.7</v>
      </c>
      <c r="I248" s="257">
        <f>'прил13(ведом 20-21)'!N153</f>
        <v>5038.7</v>
      </c>
    </row>
    <row r="249" spans="1:9" ht="37.5">
      <c r="A249" s="280"/>
      <c r="B249" s="219" t="s">
        <v>107</v>
      </c>
      <c r="C249" s="268" t="s">
        <v>93</v>
      </c>
      <c r="D249" s="224" t="s">
        <v>97</v>
      </c>
      <c r="E249" s="224" t="s">
        <v>140</v>
      </c>
      <c r="F249" s="225" t="s">
        <v>152</v>
      </c>
      <c r="G249" s="226" t="s">
        <v>108</v>
      </c>
      <c r="H249" s="257">
        <f>'прил13(ведом 20-21)'!M154</f>
        <v>71.2</v>
      </c>
      <c r="I249" s="257">
        <f>'прил13(ведом 20-21)'!N154</f>
        <v>0</v>
      </c>
    </row>
    <row r="250" spans="1:9" ht="56.25">
      <c r="A250" s="280"/>
      <c r="B250" s="219" t="s">
        <v>561</v>
      </c>
      <c r="C250" s="268" t="s">
        <v>93</v>
      </c>
      <c r="D250" s="224" t="s">
        <v>97</v>
      </c>
      <c r="E250" s="224" t="s">
        <v>138</v>
      </c>
      <c r="F250" s="225" t="s">
        <v>96</v>
      </c>
      <c r="G250" s="226"/>
      <c r="H250" s="257">
        <f>H251</f>
        <v>6.2</v>
      </c>
      <c r="I250" s="257">
        <f>I251</f>
        <v>0</v>
      </c>
    </row>
    <row r="251" spans="1:9" ht="18.75">
      <c r="A251" s="280"/>
      <c r="B251" s="219" t="s">
        <v>562</v>
      </c>
      <c r="C251" s="268" t="s">
        <v>93</v>
      </c>
      <c r="D251" s="224" t="s">
        <v>97</v>
      </c>
      <c r="E251" s="224" t="s">
        <v>138</v>
      </c>
      <c r="F251" s="225" t="s">
        <v>563</v>
      </c>
      <c r="G251" s="226"/>
      <c r="H251" s="257">
        <f>H252</f>
        <v>6.2</v>
      </c>
      <c r="I251" s="257">
        <f>I252</f>
        <v>0</v>
      </c>
    </row>
    <row r="252" spans="1:9" ht="37.5">
      <c r="A252" s="280"/>
      <c r="B252" s="219" t="s">
        <v>564</v>
      </c>
      <c r="C252" s="268" t="s">
        <v>93</v>
      </c>
      <c r="D252" s="224" t="s">
        <v>97</v>
      </c>
      <c r="E252" s="224" t="s">
        <v>138</v>
      </c>
      <c r="F252" s="225" t="s">
        <v>563</v>
      </c>
      <c r="G252" s="226" t="s">
        <v>565</v>
      </c>
      <c r="H252" s="257">
        <f>'прил13(ведом 20-21)'!M106</f>
        <v>6.2</v>
      </c>
      <c r="I252" s="257">
        <f>'прил13(ведом 20-21)'!N106</f>
        <v>0</v>
      </c>
    </row>
    <row r="253" spans="1:9" ht="37.5">
      <c r="A253" s="280"/>
      <c r="B253" s="219" t="s">
        <v>439</v>
      </c>
      <c r="C253" s="130" t="s">
        <v>93</v>
      </c>
      <c r="D253" s="131" t="s">
        <v>97</v>
      </c>
      <c r="E253" s="131" t="s">
        <v>148</v>
      </c>
      <c r="F253" s="132" t="s">
        <v>96</v>
      </c>
      <c r="G253" s="133"/>
      <c r="H253" s="257">
        <f>H254</f>
        <v>4207.3</v>
      </c>
      <c r="I253" s="257">
        <f>I254</f>
        <v>4158.7</v>
      </c>
    </row>
    <row r="254" spans="1:9" ht="75">
      <c r="A254" s="280"/>
      <c r="B254" s="310" t="s">
        <v>150</v>
      </c>
      <c r="C254" s="130" t="s">
        <v>93</v>
      </c>
      <c r="D254" s="131" t="s">
        <v>97</v>
      </c>
      <c r="E254" s="131" t="s">
        <v>148</v>
      </c>
      <c r="F254" s="132" t="s">
        <v>152</v>
      </c>
      <c r="G254" s="133"/>
      <c r="H254" s="257">
        <f>SUM(H255:H256)</f>
        <v>4207.3</v>
      </c>
      <c r="I254" s="257">
        <f>SUM(I255:I256)</f>
        <v>4158.7</v>
      </c>
    </row>
    <row r="255" spans="1:9" ht="93.75">
      <c r="A255" s="280"/>
      <c r="B255" s="219" t="s">
        <v>101</v>
      </c>
      <c r="C255" s="130" t="s">
        <v>93</v>
      </c>
      <c r="D255" s="131" t="s">
        <v>97</v>
      </c>
      <c r="E255" s="131" t="s">
        <v>148</v>
      </c>
      <c r="F255" s="132" t="s">
        <v>152</v>
      </c>
      <c r="G255" s="133" t="s">
        <v>102</v>
      </c>
      <c r="H255" s="257">
        <f>'прил13(ведом 20-21)'!M98</f>
        <v>4158.7</v>
      </c>
      <c r="I255" s="257">
        <f>'прил13(ведом 20-21)'!N98</f>
        <v>4158.7</v>
      </c>
    </row>
    <row r="256" spans="1:9" ht="37.5">
      <c r="A256" s="280"/>
      <c r="B256" s="219" t="s">
        <v>107</v>
      </c>
      <c r="C256" s="130" t="s">
        <v>93</v>
      </c>
      <c r="D256" s="131" t="s">
        <v>97</v>
      </c>
      <c r="E256" s="131" t="s">
        <v>148</v>
      </c>
      <c r="F256" s="132" t="s">
        <v>152</v>
      </c>
      <c r="G256" s="133" t="s">
        <v>108</v>
      </c>
      <c r="H256" s="257">
        <f>'прил13(ведом 20-21)'!M99</f>
        <v>48.6</v>
      </c>
      <c r="I256" s="257">
        <f>'прил13(ведом 20-21)'!N99</f>
        <v>0</v>
      </c>
    </row>
    <row r="257" spans="1:9" ht="18.75">
      <c r="A257" s="280"/>
      <c r="B257" s="285"/>
      <c r="C257" s="269"/>
      <c r="D257" s="224"/>
      <c r="E257" s="224"/>
      <c r="F257" s="225"/>
      <c r="G257" s="226"/>
      <c r="H257" s="257"/>
      <c r="I257" s="257"/>
    </row>
    <row r="258" spans="1:9" ht="56.25">
      <c r="A258" s="249">
        <v>13</v>
      </c>
      <c r="B258" s="708" t="s">
        <v>306</v>
      </c>
      <c r="C258" s="394" t="s">
        <v>307</v>
      </c>
      <c r="D258" s="394" t="s">
        <v>94</v>
      </c>
      <c r="E258" s="394" t="s">
        <v>95</v>
      </c>
      <c r="F258" s="395" t="s">
        <v>96</v>
      </c>
      <c r="G258" s="149"/>
      <c r="H258" s="254">
        <f t="shared" ref="H258:I261" si="6">H259</f>
        <v>51.3</v>
      </c>
      <c r="I258" s="254">
        <f t="shared" si="6"/>
        <v>0</v>
      </c>
    </row>
    <row r="259" spans="1:9" ht="37.5">
      <c r="A259" s="280"/>
      <c r="B259" s="91" t="s">
        <v>455</v>
      </c>
      <c r="C259" s="706" t="s">
        <v>307</v>
      </c>
      <c r="D259" s="706" t="s">
        <v>97</v>
      </c>
      <c r="E259" s="706" t="s">
        <v>95</v>
      </c>
      <c r="F259" s="707" t="s">
        <v>96</v>
      </c>
      <c r="G259" s="81"/>
      <c r="H259" s="257">
        <f t="shared" si="6"/>
        <v>51.3</v>
      </c>
      <c r="I259" s="257">
        <f t="shared" si="6"/>
        <v>0</v>
      </c>
    </row>
    <row r="260" spans="1:9" ht="56.25">
      <c r="A260" s="280"/>
      <c r="B260" s="91" t="s">
        <v>365</v>
      </c>
      <c r="C260" s="706" t="s">
        <v>307</v>
      </c>
      <c r="D260" s="706" t="s">
        <v>97</v>
      </c>
      <c r="E260" s="706" t="s">
        <v>89</v>
      </c>
      <c r="F260" s="707" t="s">
        <v>96</v>
      </c>
      <c r="G260" s="81"/>
      <c r="H260" s="257">
        <f t="shared" si="6"/>
        <v>51.3</v>
      </c>
      <c r="I260" s="257">
        <f t="shared" si="6"/>
        <v>0</v>
      </c>
    </row>
    <row r="261" spans="1:9" ht="37.5">
      <c r="A261" s="280"/>
      <c r="B261" s="91" t="s">
        <v>308</v>
      </c>
      <c r="C261" s="706" t="s">
        <v>307</v>
      </c>
      <c r="D261" s="706" t="s">
        <v>97</v>
      </c>
      <c r="E261" s="706" t="s">
        <v>89</v>
      </c>
      <c r="F261" s="707" t="s">
        <v>359</v>
      </c>
      <c r="G261" s="81"/>
      <c r="H261" s="257">
        <f t="shared" si="6"/>
        <v>51.3</v>
      </c>
      <c r="I261" s="257">
        <f t="shared" si="6"/>
        <v>0</v>
      </c>
    </row>
    <row r="262" spans="1:9" ht="56.25">
      <c r="A262" s="280"/>
      <c r="B262" s="100" t="s">
        <v>134</v>
      </c>
      <c r="C262" s="706" t="s">
        <v>307</v>
      </c>
      <c r="D262" s="706" t="s">
        <v>97</v>
      </c>
      <c r="E262" s="706" t="s">
        <v>89</v>
      </c>
      <c r="F262" s="707" t="s">
        <v>359</v>
      </c>
      <c r="G262" s="81" t="s">
        <v>135</v>
      </c>
      <c r="H262" s="257">
        <f>'прил13(ведом 20-21)'!M181</f>
        <v>51.3</v>
      </c>
      <c r="I262" s="257">
        <f>'прил13(ведом 20-21)'!N181</f>
        <v>0</v>
      </c>
    </row>
    <row r="263" spans="1:9" ht="18.75">
      <c r="A263" s="280"/>
      <c r="B263" s="285"/>
      <c r="C263" s="269"/>
      <c r="D263" s="224"/>
      <c r="E263" s="224"/>
      <c r="F263" s="224"/>
      <c r="G263" s="226"/>
      <c r="H263" s="257"/>
      <c r="I263" s="257"/>
    </row>
    <row r="264" spans="1:9" ht="37.5">
      <c r="A264" s="261">
        <v>14</v>
      </c>
      <c r="B264" s="313" t="s">
        <v>192</v>
      </c>
      <c r="C264" s="262" t="s">
        <v>193</v>
      </c>
      <c r="D264" s="262" t="s">
        <v>94</v>
      </c>
      <c r="E264" s="262" t="s">
        <v>95</v>
      </c>
      <c r="F264" s="262" t="s">
        <v>96</v>
      </c>
      <c r="G264" s="253"/>
      <c r="H264" s="254">
        <f>H265</f>
        <v>3798.6000000000004</v>
      </c>
      <c r="I264" s="254">
        <f>I265</f>
        <v>3798.6000000000004</v>
      </c>
    </row>
    <row r="265" spans="1:9" ht="56.25">
      <c r="A265" s="243"/>
      <c r="B265" s="265" t="s">
        <v>195</v>
      </c>
      <c r="C265" s="130" t="s">
        <v>193</v>
      </c>
      <c r="D265" s="131" t="s">
        <v>97</v>
      </c>
      <c r="E265" s="131" t="s">
        <v>95</v>
      </c>
      <c r="F265" s="132" t="s">
        <v>96</v>
      </c>
      <c r="G265" s="133"/>
      <c r="H265" s="257">
        <f>H266+H269</f>
        <v>3798.6000000000004</v>
      </c>
      <c r="I265" s="257">
        <f>I266+I269</f>
        <v>3798.6000000000004</v>
      </c>
    </row>
    <row r="266" spans="1:9" ht="37.5">
      <c r="A266" s="243"/>
      <c r="B266" s="256" t="s">
        <v>194</v>
      </c>
      <c r="C266" s="130" t="s">
        <v>193</v>
      </c>
      <c r="D266" s="131" t="s">
        <v>97</v>
      </c>
      <c r="E266" s="131" t="s">
        <v>89</v>
      </c>
      <c r="F266" s="132" t="s">
        <v>96</v>
      </c>
      <c r="G266" s="133"/>
      <c r="H266" s="257">
        <f>H267</f>
        <v>1182.7</v>
      </c>
      <c r="I266" s="257">
        <f>I267</f>
        <v>1182.7</v>
      </c>
    </row>
    <row r="267" spans="1:9" ht="37.5">
      <c r="A267" s="243"/>
      <c r="B267" s="256" t="s">
        <v>99</v>
      </c>
      <c r="C267" s="130" t="s">
        <v>193</v>
      </c>
      <c r="D267" s="131" t="s">
        <v>97</v>
      </c>
      <c r="E267" s="131" t="s">
        <v>89</v>
      </c>
      <c r="F267" s="132" t="s">
        <v>100</v>
      </c>
      <c r="G267" s="133"/>
      <c r="H267" s="257">
        <f>H268</f>
        <v>1182.7</v>
      </c>
      <c r="I267" s="257">
        <f>I268</f>
        <v>1182.7</v>
      </c>
    </row>
    <row r="268" spans="1:9" ht="93.75">
      <c r="A268" s="243"/>
      <c r="B268" s="265" t="s">
        <v>101</v>
      </c>
      <c r="C268" s="130" t="s">
        <v>193</v>
      </c>
      <c r="D268" s="131" t="s">
        <v>97</v>
      </c>
      <c r="E268" s="131" t="s">
        <v>89</v>
      </c>
      <c r="F268" s="132" t="s">
        <v>100</v>
      </c>
      <c r="G268" s="133" t="s">
        <v>102</v>
      </c>
      <c r="H268" s="257">
        <f>'прил13(ведом 20-21)'!M132</f>
        <v>1182.7</v>
      </c>
      <c r="I268" s="257">
        <f>'прил13(ведом 20-21)'!N132</f>
        <v>1182.7</v>
      </c>
    </row>
    <row r="269" spans="1:9" ht="37.5">
      <c r="A269" s="243"/>
      <c r="B269" s="256" t="s">
        <v>196</v>
      </c>
      <c r="C269" s="130" t="s">
        <v>193</v>
      </c>
      <c r="D269" s="131" t="s">
        <v>97</v>
      </c>
      <c r="E269" s="131" t="s">
        <v>91</v>
      </c>
      <c r="F269" s="132" t="s">
        <v>96</v>
      </c>
      <c r="G269" s="133"/>
      <c r="H269" s="257">
        <f>H270</f>
        <v>2615.9</v>
      </c>
      <c r="I269" s="257">
        <f>I270</f>
        <v>2615.9</v>
      </c>
    </row>
    <row r="270" spans="1:9" ht="37.5">
      <c r="A270" s="243"/>
      <c r="B270" s="256" t="s">
        <v>99</v>
      </c>
      <c r="C270" s="130" t="s">
        <v>193</v>
      </c>
      <c r="D270" s="131" t="s">
        <v>97</v>
      </c>
      <c r="E270" s="131" t="s">
        <v>91</v>
      </c>
      <c r="F270" s="132" t="s">
        <v>100</v>
      </c>
      <c r="G270" s="133"/>
      <c r="H270" s="257">
        <f>SUM(H271:H271)</f>
        <v>2615.9</v>
      </c>
      <c r="I270" s="257">
        <f>SUM(I271:I271)</f>
        <v>2615.9</v>
      </c>
    </row>
    <row r="271" spans="1:9" ht="93.75">
      <c r="A271" s="243"/>
      <c r="B271" s="256" t="s">
        <v>101</v>
      </c>
      <c r="C271" s="130" t="s">
        <v>193</v>
      </c>
      <c r="D271" s="131" t="s">
        <v>97</v>
      </c>
      <c r="E271" s="131" t="s">
        <v>91</v>
      </c>
      <c r="F271" s="132" t="s">
        <v>100</v>
      </c>
      <c r="G271" s="133" t="s">
        <v>102</v>
      </c>
      <c r="H271" s="257">
        <f>'прил13(ведом 20-21)'!M135</f>
        <v>2615.9</v>
      </c>
      <c r="I271" s="257">
        <f>'прил13(ведом 20-21)'!N135</f>
        <v>2615.9</v>
      </c>
    </row>
    <row r="272" spans="1:9" ht="18.75">
      <c r="A272" s="243"/>
      <c r="B272" s="260"/>
      <c r="C272" s="701"/>
      <c r="D272" s="701"/>
      <c r="E272" s="701"/>
      <c r="F272" s="701"/>
      <c r="G272" s="242"/>
      <c r="H272" s="257"/>
      <c r="I272" s="257"/>
    </row>
    <row r="273" spans="1:9" s="255" customFormat="1" ht="37.5">
      <c r="A273" s="261">
        <v>15</v>
      </c>
      <c r="B273" s="313" t="s">
        <v>123</v>
      </c>
      <c r="C273" s="262" t="s">
        <v>124</v>
      </c>
      <c r="D273" s="262" t="s">
        <v>94</v>
      </c>
      <c r="E273" s="262" t="s">
        <v>95</v>
      </c>
      <c r="F273" s="262" t="s">
        <v>96</v>
      </c>
      <c r="G273" s="253"/>
      <c r="H273" s="254">
        <f t="shared" ref="H273:I276" si="7">H274</f>
        <v>3000</v>
      </c>
      <c r="I273" s="254">
        <f t="shared" si="7"/>
        <v>3000</v>
      </c>
    </row>
    <row r="274" spans="1:9" ht="37.5">
      <c r="A274" s="243"/>
      <c r="B274" s="265" t="s">
        <v>125</v>
      </c>
      <c r="C274" s="130" t="s">
        <v>124</v>
      </c>
      <c r="D274" s="131" t="s">
        <v>97</v>
      </c>
      <c r="E274" s="131" t="s">
        <v>95</v>
      </c>
      <c r="F274" s="132" t="s">
        <v>96</v>
      </c>
      <c r="G274" s="133"/>
      <c r="H274" s="257">
        <f t="shared" si="7"/>
        <v>3000</v>
      </c>
      <c r="I274" s="257">
        <f t="shared" si="7"/>
        <v>3000</v>
      </c>
    </row>
    <row r="275" spans="1:9" ht="18.75">
      <c r="A275" s="243"/>
      <c r="B275" s="256" t="s">
        <v>121</v>
      </c>
      <c r="C275" s="130" t="s">
        <v>124</v>
      </c>
      <c r="D275" s="131" t="s">
        <v>97</v>
      </c>
      <c r="E275" s="131" t="s">
        <v>89</v>
      </c>
      <c r="F275" s="132" t="s">
        <v>96</v>
      </c>
      <c r="G275" s="133"/>
      <c r="H275" s="257">
        <f t="shared" si="7"/>
        <v>3000</v>
      </c>
      <c r="I275" s="257">
        <f t="shared" si="7"/>
        <v>3000</v>
      </c>
    </row>
    <row r="276" spans="1:9" ht="18.75">
      <c r="A276" s="243"/>
      <c r="B276" s="256" t="s">
        <v>126</v>
      </c>
      <c r="C276" s="130" t="s">
        <v>124</v>
      </c>
      <c r="D276" s="131" t="s">
        <v>97</v>
      </c>
      <c r="E276" s="131" t="s">
        <v>89</v>
      </c>
      <c r="F276" s="132" t="s">
        <v>127</v>
      </c>
      <c r="G276" s="133"/>
      <c r="H276" s="257">
        <f t="shared" si="7"/>
        <v>3000</v>
      </c>
      <c r="I276" s="257">
        <f t="shared" si="7"/>
        <v>3000</v>
      </c>
    </row>
    <row r="277" spans="1:9" ht="18.75">
      <c r="A277" s="243"/>
      <c r="B277" s="256" t="s">
        <v>109</v>
      </c>
      <c r="C277" s="130" t="s">
        <v>124</v>
      </c>
      <c r="D277" s="131" t="s">
        <v>97</v>
      </c>
      <c r="E277" s="131" t="s">
        <v>89</v>
      </c>
      <c r="F277" s="132" t="s">
        <v>127</v>
      </c>
      <c r="G277" s="133" t="s">
        <v>110</v>
      </c>
      <c r="H277" s="257">
        <f>'прил13(ведом 20-21)'!M53</f>
        <v>3000</v>
      </c>
      <c r="I277" s="257">
        <f>'прил13(ведом 20-21)'!N53</f>
        <v>3000</v>
      </c>
    </row>
    <row r="278" spans="1:9" ht="18.75">
      <c r="A278" s="243"/>
      <c r="B278" s="256"/>
      <c r="C278" s="130"/>
      <c r="D278" s="131"/>
      <c r="E278" s="131"/>
      <c r="F278" s="132"/>
      <c r="G278" s="133"/>
      <c r="H278" s="257"/>
      <c r="I278" s="257"/>
    </row>
    <row r="279" spans="1:9" s="255" customFormat="1" ht="18.75">
      <c r="A279" s="170">
        <v>16</v>
      </c>
      <c r="B279" s="392" t="s">
        <v>508</v>
      </c>
      <c r="C279" s="393"/>
      <c r="D279" s="394"/>
      <c r="E279" s="394"/>
      <c r="F279" s="395"/>
      <c r="G279" s="149"/>
      <c r="H279" s="254">
        <f>H280</f>
        <v>20431.468999999997</v>
      </c>
      <c r="I279" s="254">
        <f>I280</f>
        <v>48725.8</v>
      </c>
    </row>
    <row r="280" spans="1:9" ht="18.75">
      <c r="A280" s="171"/>
      <c r="B280" s="396" t="s">
        <v>508</v>
      </c>
      <c r="C280" s="130"/>
      <c r="D280" s="131"/>
      <c r="E280" s="131"/>
      <c r="F280" s="132"/>
      <c r="G280" s="133"/>
      <c r="H280" s="397">
        <f>'прил13(ведом 20-21)'!M373</f>
        <v>20431.468999999997</v>
      </c>
      <c r="I280" s="397">
        <f>'прил13(ведом 20-21)'!N373</f>
        <v>48725.8</v>
      </c>
    </row>
    <row r="281" spans="1:9" ht="18.75">
      <c r="A281" s="238"/>
      <c r="B281" s="203"/>
      <c r="C281" s="144"/>
      <c r="D281" s="144"/>
      <c r="E281" s="144"/>
      <c r="F281" s="144"/>
      <c r="G281" s="206"/>
    </row>
    <row r="282" spans="1:9" ht="18.75">
      <c r="A282" s="238"/>
      <c r="B282" s="203"/>
      <c r="C282" s="144"/>
      <c r="D282" s="144"/>
      <c r="E282" s="144"/>
      <c r="F282" s="144"/>
      <c r="G282" s="206"/>
    </row>
    <row r="283" spans="1:9" ht="18.75">
      <c r="A283" s="205" t="s">
        <v>544</v>
      </c>
      <c r="B283" s="203"/>
      <c r="C283" s="144"/>
      <c r="D283" s="144"/>
      <c r="E283" s="144"/>
      <c r="F283" s="144"/>
      <c r="G283" s="206"/>
    </row>
    <row r="284" spans="1:9" ht="18.75">
      <c r="A284" s="205" t="s">
        <v>545</v>
      </c>
      <c r="B284" s="203"/>
      <c r="C284" s="144"/>
      <c r="D284" s="144"/>
      <c r="E284" s="144"/>
      <c r="F284" s="144"/>
      <c r="G284" s="206"/>
    </row>
    <row r="285" spans="1:9" ht="18.75">
      <c r="A285" s="209" t="s">
        <v>546</v>
      </c>
      <c r="B285" s="203"/>
      <c r="C285" s="208"/>
      <c r="D285" s="144"/>
      <c r="E285" s="144"/>
      <c r="F285" s="144"/>
      <c r="G285" s="208"/>
      <c r="H285" s="208"/>
      <c r="I285" s="210" t="s">
        <v>592</v>
      </c>
    </row>
    <row r="286" spans="1:9">
      <c r="A286" s="238"/>
      <c r="B286" s="203"/>
      <c r="C286" s="144"/>
      <c r="D286" s="144"/>
      <c r="E286" s="144"/>
      <c r="F286" s="144"/>
    </row>
    <row r="287" spans="1:9">
      <c r="A287" s="238"/>
      <c r="B287" s="203"/>
      <c r="C287" s="144"/>
      <c r="D287" s="144"/>
      <c r="E287" s="144"/>
      <c r="F287" s="144"/>
    </row>
    <row r="288" spans="1:9">
      <c r="A288" s="238"/>
      <c r="B288" s="203"/>
      <c r="C288" s="144"/>
      <c r="D288" s="144"/>
      <c r="E288" s="144"/>
      <c r="F288" s="144"/>
    </row>
    <row r="289" spans="1:7" ht="18.75">
      <c r="A289" s="238"/>
      <c r="B289" s="203"/>
      <c r="C289" s="144"/>
      <c r="D289" s="144"/>
      <c r="E289" s="144"/>
      <c r="F289" s="144"/>
      <c r="G289" s="206"/>
    </row>
  </sheetData>
  <mergeCells count="7">
    <mergeCell ref="A8:I8"/>
    <mergeCell ref="C13:F13"/>
    <mergeCell ref="H11:I11"/>
    <mergeCell ref="A11:A12"/>
    <mergeCell ref="B11:B12"/>
    <mergeCell ref="C11:F12"/>
    <mergeCell ref="G11:G12"/>
  </mergeCells>
  <printOptions horizontalCentered="1"/>
  <pageMargins left="1.1811023622047245" right="0.39370078740157483" top="0.86614173228346458" bottom="0.86614173228346458" header="0" footer="0"/>
  <pageSetup paperSize="9" scale="73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tabColor rgb="FFFFFF00"/>
    <pageSetUpPr autoPageBreaks="0" fitToPage="1"/>
  </sheetPr>
  <dimension ref="A1:M688"/>
  <sheetViews>
    <sheetView topLeftCell="A2" zoomScale="90" zoomScaleNormal="90" zoomScaleSheetLayoutView="80" workbookViewId="0">
      <selection activeCell="M2" sqref="M2"/>
    </sheetView>
  </sheetViews>
  <sheetFormatPr defaultColWidth="8.85546875" defaultRowHeight="15"/>
  <cols>
    <col min="1" max="1" width="4.28515625" style="72" customWidth="1"/>
    <col min="2" max="2" width="54.42578125" style="72" customWidth="1"/>
    <col min="3" max="3" width="5.5703125" style="72" customWidth="1"/>
    <col min="4" max="5" width="3.7109375" style="72" customWidth="1"/>
    <col min="6" max="6" width="3.28515625" style="72" customWidth="1"/>
    <col min="7" max="7" width="2.42578125" style="72" customWidth="1"/>
    <col min="8" max="8" width="3.7109375" style="72" customWidth="1"/>
    <col min="9" max="9" width="12.5703125" style="72" customWidth="1"/>
    <col min="10" max="10" width="5" style="72" customWidth="1"/>
    <col min="11" max="11" width="23.7109375" style="561" hidden="1" customWidth="1"/>
    <col min="12" max="12" width="13.28515625" style="150" customWidth="1"/>
    <col min="13" max="13" width="19.5703125" style="150" customWidth="1"/>
    <col min="14" max="16384" width="8.85546875" style="72"/>
  </cols>
  <sheetData>
    <row r="1" spans="1:13" s="161" customFormat="1" ht="18.75">
      <c r="K1" s="543"/>
      <c r="L1" s="487"/>
      <c r="M1" s="332" t="s">
        <v>602</v>
      </c>
    </row>
    <row r="2" spans="1:13" s="161" customFormat="1" ht="18.75">
      <c r="K2" s="543"/>
      <c r="L2" s="487"/>
      <c r="M2" s="163" t="s">
        <v>787</v>
      </c>
    </row>
    <row r="3" spans="1:13" s="161" customFormat="1" ht="18.75">
      <c r="K3" s="543"/>
      <c r="L3" s="487"/>
      <c r="M3" s="332"/>
    </row>
    <row r="4" spans="1:13" ht="18.75">
      <c r="K4" s="544"/>
      <c r="M4" s="332" t="s">
        <v>651</v>
      </c>
    </row>
    <row r="5" spans="1:13" ht="18.75">
      <c r="K5" s="544"/>
      <c r="M5" s="332" t="s">
        <v>703</v>
      </c>
    </row>
    <row r="7" spans="1:13" ht="21" customHeight="1">
      <c r="A7" s="758" t="s">
        <v>650</v>
      </c>
      <c r="B7" s="758"/>
      <c r="C7" s="758"/>
      <c r="D7" s="758"/>
      <c r="E7" s="758"/>
      <c r="F7" s="758"/>
      <c r="G7" s="758"/>
      <c r="H7" s="758"/>
      <c r="I7" s="758"/>
      <c r="J7" s="758"/>
      <c r="K7" s="758"/>
      <c r="L7" s="759"/>
      <c r="M7" s="758"/>
    </row>
    <row r="8" spans="1:13" ht="11.25" customHeight="1">
      <c r="A8" s="703"/>
      <c r="B8" s="703"/>
      <c r="C8" s="703"/>
      <c r="D8" s="703"/>
      <c r="E8" s="703"/>
      <c r="F8" s="703"/>
      <c r="G8" s="703"/>
      <c r="H8" s="703"/>
      <c r="I8" s="703"/>
      <c r="J8" s="703"/>
      <c r="K8" s="545"/>
      <c r="L8" s="704"/>
    </row>
    <row r="9" spans="1:13" ht="18.75">
      <c r="A9" s="73"/>
      <c r="B9" s="74"/>
      <c r="C9" s="75"/>
      <c r="D9" s="75"/>
      <c r="E9" s="75"/>
      <c r="F9" s="75"/>
      <c r="G9" s="73"/>
      <c r="H9" s="76"/>
      <c r="I9" s="77"/>
      <c r="J9" s="78"/>
      <c r="K9" s="546" t="s">
        <v>74</v>
      </c>
      <c r="L9" s="488"/>
      <c r="M9" s="151" t="s">
        <v>74</v>
      </c>
    </row>
    <row r="10" spans="1:13" ht="18.75">
      <c r="A10" s="767" t="s">
        <v>75</v>
      </c>
      <c r="B10" s="769" t="s">
        <v>76</v>
      </c>
      <c r="C10" s="771" t="s">
        <v>77</v>
      </c>
      <c r="D10" s="771" t="s">
        <v>78</v>
      </c>
      <c r="E10" s="771" t="s">
        <v>79</v>
      </c>
      <c r="F10" s="773" t="s">
        <v>80</v>
      </c>
      <c r="G10" s="774"/>
      <c r="H10" s="774"/>
      <c r="I10" s="775"/>
      <c r="J10" s="771" t="s">
        <v>81</v>
      </c>
      <c r="K10" s="762" t="s">
        <v>702</v>
      </c>
      <c r="L10" s="760" t="s">
        <v>479</v>
      </c>
      <c r="M10" s="761"/>
    </row>
    <row r="11" spans="1:13" ht="37.5">
      <c r="A11" s="768"/>
      <c r="B11" s="770"/>
      <c r="C11" s="772"/>
      <c r="D11" s="772"/>
      <c r="E11" s="772"/>
      <c r="F11" s="776"/>
      <c r="G11" s="777"/>
      <c r="H11" s="777"/>
      <c r="I11" s="778"/>
      <c r="J11" s="772"/>
      <c r="K11" s="763"/>
      <c r="L11" s="489" t="s">
        <v>557</v>
      </c>
      <c r="M11" s="152" t="s">
        <v>525</v>
      </c>
    </row>
    <row r="12" spans="1:13" ht="18.75">
      <c r="A12" s="79">
        <v>1</v>
      </c>
      <c r="B12" s="80">
        <v>2</v>
      </c>
      <c r="C12" s="81" t="s">
        <v>82</v>
      </c>
      <c r="D12" s="81" t="s">
        <v>83</v>
      </c>
      <c r="E12" s="81" t="s">
        <v>84</v>
      </c>
      <c r="F12" s="764" t="s">
        <v>85</v>
      </c>
      <c r="G12" s="765"/>
      <c r="H12" s="765"/>
      <c r="I12" s="766"/>
      <c r="J12" s="81" t="s">
        <v>86</v>
      </c>
      <c r="K12" s="547"/>
      <c r="L12" s="337">
        <v>8</v>
      </c>
      <c r="M12" s="337">
        <v>9</v>
      </c>
    </row>
    <row r="13" spans="1:13" ht="18.75">
      <c r="A13" s="82"/>
      <c r="B13" s="398" t="s">
        <v>274</v>
      </c>
      <c r="C13" s="399"/>
      <c r="D13" s="400"/>
      <c r="E13" s="400"/>
      <c r="F13" s="401"/>
      <c r="G13" s="402"/>
      <c r="H13" s="402"/>
      <c r="I13" s="403"/>
      <c r="J13" s="400"/>
      <c r="K13" s="548">
        <f>K14+K206+K239+K256+K362+K507+K575+K621+K641</f>
        <v>1431427.0425399998</v>
      </c>
      <c r="L13" s="404">
        <f>L14+L206+L239+L256+L362+L507+L575+L621+L641</f>
        <v>4203.6000000000095</v>
      </c>
      <c r="M13" s="404">
        <f>M14+M206+M239+M256+M362+M507+M575+M621+M641</f>
        <v>1435630.6425400001</v>
      </c>
    </row>
    <row r="14" spans="1:13" s="90" customFormat="1" ht="37.5">
      <c r="A14" s="83">
        <v>1</v>
      </c>
      <c r="B14" s="84" t="s">
        <v>3</v>
      </c>
      <c r="C14" s="85" t="s">
        <v>12</v>
      </c>
      <c r="D14" s="86"/>
      <c r="E14" s="86"/>
      <c r="F14" s="87"/>
      <c r="G14" s="88"/>
      <c r="H14" s="88"/>
      <c r="I14" s="89"/>
      <c r="J14" s="86"/>
      <c r="K14" s="549">
        <f>K15+K75+K114+K173+K160+K191+K198</f>
        <v>127156.51247000002</v>
      </c>
      <c r="L14" s="156">
        <f>L15+L75+L114+L173+L160+L191+L198</f>
        <v>-4460.3999999999969</v>
      </c>
      <c r="M14" s="156">
        <f>M15+M75+M114+M173+M160+M191+M198</f>
        <v>122696.11247000002</v>
      </c>
    </row>
    <row r="15" spans="1:13" s="94" customFormat="1" ht="18.75">
      <c r="A15" s="82"/>
      <c r="B15" s="91" t="s">
        <v>88</v>
      </c>
      <c r="C15" s="92" t="s">
        <v>12</v>
      </c>
      <c r="D15" s="81" t="s">
        <v>89</v>
      </c>
      <c r="E15" s="81"/>
      <c r="F15" s="705"/>
      <c r="G15" s="706"/>
      <c r="H15" s="706"/>
      <c r="I15" s="707"/>
      <c r="J15" s="93"/>
      <c r="K15" s="550">
        <f>K16+K22+K50+K56+K44</f>
        <v>75547.196389999997</v>
      </c>
      <c r="L15" s="93">
        <f>L16+L22+L50+L56+L44</f>
        <v>-7581.5629999999974</v>
      </c>
      <c r="M15" s="93">
        <f>M16+M22+M50+M56+M44</f>
        <v>67965.633390000003</v>
      </c>
    </row>
    <row r="16" spans="1:13" s="95" customFormat="1" ht="56.25">
      <c r="A16" s="82"/>
      <c r="B16" s="91" t="s">
        <v>90</v>
      </c>
      <c r="C16" s="92" t="s">
        <v>12</v>
      </c>
      <c r="D16" s="81" t="s">
        <v>89</v>
      </c>
      <c r="E16" s="81" t="s">
        <v>91</v>
      </c>
      <c r="F16" s="705"/>
      <c r="G16" s="706"/>
      <c r="H16" s="706"/>
      <c r="I16" s="707"/>
      <c r="J16" s="81"/>
      <c r="K16" s="550">
        <f t="shared" ref="K16:M20" si="0">K17</f>
        <v>1971.5</v>
      </c>
      <c r="L16" s="93">
        <f t="shared" si="0"/>
        <v>0</v>
      </c>
      <c r="M16" s="93">
        <f t="shared" si="0"/>
        <v>1971.5</v>
      </c>
    </row>
    <row r="17" spans="1:13" s="95" customFormat="1" ht="61.5" customHeight="1">
      <c r="A17" s="82"/>
      <c r="B17" s="91" t="s">
        <v>92</v>
      </c>
      <c r="C17" s="92" t="s">
        <v>12</v>
      </c>
      <c r="D17" s="81" t="s">
        <v>89</v>
      </c>
      <c r="E17" s="81" t="s">
        <v>91</v>
      </c>
      <c r="F17" s="705" t="s">
        <v>93</v>
      </c>
      <c r="G17" s="706" t="s">
        <v>94</v>
      </c>
      <c r="H17" s="706" t="s">
        <v>95</v>
      </c>
      <c r="I17" s="707" t="s">
        <v>96</v>
      </c>
      <c r="J17" s="81"/>
      <c r="K17" s="550">
        <f>K18</f>
        <v>1971.5</v>
      </c>
      <c r="L17" s="93">
        <f>L18</f>
        <v>0</v>
      </c>
      <c r="M17" s="93">
        <f>M18</f>
        <v>1971.5</v>
      </c>
    </row>
    <row r="18" spans="1:13" s="95" customFormat="1" ht="37.5">
      <c r="A18" s="82"/>
      <c r="B18" s="91" t="s">
        <v>455</v>
      </c>
      <c r="C18" s="92" t="s">
        <v>12</v>
      </c>
      <c r="D18" s="81" t="s">
        <v>89</v>
      </c>
      <c r="E18" s="81" t="s">
        <v>91</v>
      </c>
      <c r="F18" s="705" t="s">
        <v>93</v>
      </c>
      <c r="G18" s="706" t="s">
        <v>97</v>
      </c>
      <c r="H18" s="706" t="s">
        <v>95</v>
      </c>
      <c r="I18" s="707" t="s">
        <v>96</v>
      </c>
      <c r="J18" s="81"/>
      <c r="K18" s="550">
        <f t="shared" si="0"/>
        <v>1971.5</v>
      </c>
      <c r="L18" s="93">
        <f t="shared" si="0"/>
        <v>0</v>
      </c>
      <c r="M18" s="93">
        <f t="shared" si="0"/>
        <v>1971.5</v>
      </c>
    </row>
    <row r="19" spans="1:13" s="95" customFormat="1" ht="56.25">
      <c r="A19" s="82"/>
      <c r="B19" s="91" t="s">
        <v>98</v>
      </c>
      <c r="C19" s="92" t="s">
        <v>12</v>
      </c>
      <c r="D19" s="81" t="s">
        <v>89</v>
      </c>
      <c r="E19" s="81" t="s">
        <v>91</v>
      </c>
      <c r="F19" s="705" t="s">
        <v>93</v>
      </c>
      <c r="G19" s="706" t="s">
        <v>97</v>
      </c>
      <c r="H19" s="706" t="s">
        <v>89</v>
      </c>
      <c r="I19" s="707" t="s">
        <v>96</v>
      </c>
      <c r="J19" s="81"/>
      <c r="K19" s="550">
        <f t="shared" si="0"/>
        <v>1971.5</v>
      </c>
      <c r="L19" s="93">
        <f t="shared" si="0"/>
        <v>0</v>
      </c>
      <c r="M19" s="93">
        <f t="shared" si="0"/>
        <v>1971.5</v>
      </c>
    </row>
    <row r="20" spans="1:13" s="95" customFormat="1" ht="37.5">
      <c r="A20" s="82"/>
      <c r="B20" s="91" t="s">
        <v>99</v>
      </c>
      <c r="C20" s="92" t="s">
        <v>12</v>
      </c>
      <c r="D20" s="81" t="s">
        <v>89</v>
      </c>
      <c r="E20" s="81" t="s">
        <v>91</v>
      </c>
      <c r="F20" s="705" t="s">
        <v>93</v>
      </c>
      <c r="G20" s="706" t="s">
        <v>97</v>
      </c>
      <c r="H20" s="706" t="s">
        <v>89</v>
      </c>
      <c r="I20" s="707" t="s">
        <v>100</v>
      </c>
      <c r="J20" s="81"/>
      <c r="K20" s="550">
        <f t="shared" si="0"/>
        <v>1971.5</v>
      </c>
      <c r="L20" s="93">
        <f t="shared" si="0"/>
        <v>0</v>
      </c>
      <c r="M20" s="93">
        <f t="shared" si="0"/>
        <v>1971.5</v>
      </c>
    </row>
    <row r="21" spans="1:13" s="95" customFormat="1" ht="95.45" customHeight="1">
      <c r="A21" s="82"/>
      <c r="B21" s="463" t="s">
        <v>101</v>
      </c>
      <c r="C21" s="92" t="s">
        <v>12</v>
      </c>
      <c r="D21" s="81" t="s">
        <v>89</v>
      </c>
      <c r="E21" s="81" t="s">
        <v>91</v>
      </c>
      <c r="F21" s="705" t="s">
        <v>93</v>
      </c>
      <c r="G21" s="706" t="s">
        <v>97</v>
      </c>
      <c r="H21" s="706" t="s">
        <v>89</v>
      </c>
      <c r="I21" s="707" t="s">
        <v>100</v>
      </c>
      <c r="J21" s="81" t="s">
        <v>102</v>
      </c>
      <c r="K21" s="550">
        <v>1971.5</v>
      </c>
      <c r="L21" s="93">
        <f>M21-K21</f>
        <v>0</v>
      </c>
      <c r="M21" s="93">
        <v>1971.5</v>
      </c>
    </row>
    <row r="22" spans="1:13" s="94" customFormat="1" ht="80.25" customHeight="1">
      <c r="A22" s="82"/>
      <c r="B22" s="91" t="s">
        <v>103</v>
      </c>
      <c r="C22" s="92" t="s">
        <v>12</v>
      </c>
      <c r="D22" s="81" t="s">
        <v>89</v>
      </c>
      <c r="E22" s="81" t="s">
        <v>104</v>
      </c>
      <c r="F22" s="705"/>
      <c r="G22" s="706"/>
      <c r="H22" s="706"/>
      <c r="I22" s="707"/>
      <c r="J22" s="81"/>
      <c r="K22" s="550">
        <f t="shared" ref="K22:M23" si="1">K23</f>
        <v>66117.60239</v>
      </c>
      <c r="L22" s="93">
        <f t="shared" si="1"/>
        <v>-4131.6999999999971</v>
      </c>
      <c r="M22" s="93">
        <f t="shared" si="1"/>
        <v>61985.902390000003</v>
      </c>
    </row>
    <row r="23" spans="1:13" s="94" customFormat="1" ht="59.25" customHeight="1">
      <c r="A23" s="82"/>
      <c r="B23" s="91" t="s">
        <v>105</v>
      </c>
      <c r="C23" s="92" t="s">
        <v>12</v>
      </c>
      <c r="D23" s="81" t="s">
        <v>89</v>
      </c>
      <c r="E23" s="81" t="s">
        <v>104</v>
      </c>
      <c r="F23" s="705" t="s">
        <v>93</v>
      </c>
      <c r="G23" s="706" t="s">
        <v>94</v>
      </c>
      <c r="H23" s="706" t="s">
        <v>95</v>
      </c>
      <c r="I23" s="707" t="s">
        <v>96</v>
      </c>
      <c r="J23" s="81"/>
      <c r="K23" s="550">
        <f t="shared" si="1"/>
        <v>66117.60239</v>
      </c>
      <c r="L23" s="93">
        <f t="shared" si="1"/>
        <v>-4131.6999999999971</v>
      </c>
      <c r="M23" s="93">
        <f t="shared" si="1"/>
        <v>61985.902390000003</v>
      </c>
    </row>
    <row r="24" spans="1:13" s="78" customFormat="1" ht="37.5">
      <c r="A24" s="82"/>
      <c r="B24" s="91" t="s">
        <v>455</v>
      </c>
      <c r="C24" s="92" t="s">
        <v>12</v>
      </c>
      <c r="D24" s="81" t="s">
        <v>89</v>
      </c>
      <c r="E24" s="81" t="s">
        <v>104</v>
      </c>
      <c r="F24" s="705" t="s">
        <v>93</v>
      </c>
      <c r="G24" s="706" t="s">
        <v>97</v>
      </c>
      <c r="H24" s="131" t="s">
        <v>95</v>
      </c>
      <c r="I24" s="707" t="s">
        <v>96</v>
      </c>
      <c r="J24" s="81"/>
      <c r="K24" s="550">
        <f>K25+K41</f>
        <v>66117.60239</v>
      </c>
      <c r="L24" s="93">
        <f>L25+L41</f>
        <v>-4131.6999999999971</v>
      </c>
      <c r="M24" s="93">
        <f>M25+M41</f>
        <v>61985.902390000003</v>
      </c>
    </row>
    <row r="25" spans="1:13" s="78" customFormat="1" ht="37.5">
      <c r="A25" s="82"/>
      <c r="B25" s="91" t="s">
        <v>106</v>
      </c>
      <c r="C25" s="92" t="s">
        <v>12</v>
      </c>
      <c r="D25" s="81" t="s">
        <v>89</v>
      </c>
      <c r="E25" s="81" t="s">
        <v>104</v>
      </c>
      <c r="F25" s="705" t="s">
        <v>93</v>
      </c>
      <c r="G25" s="706" t="s">
        <v>97</v>
      </c>
      <c r="H25" s="706" t="s">
        <v>91</v>
      </c>
      <c r="I25" s="707" t="s">
        <v>96</v>
      </c>
      <c r="J25" s="81"/>
      <c r="K25" s="550">
        <f>K26+K32+K34+K37+K30+K39</f>
        <v>66054.002389999994</v>
      </c>
      <c r="L25" s="93">
        <f>L26+L32+L34+L37+L30+L39</f>
        <v>-4131.6999999999971</v>
      </c>
      <c r="M25" s="93">
        <f>M26+M32+M34+M37+M30+M39</f>
        <v>61922.302390000004</v>
      </c>
    </row>
    <row r="26" spans="1:13" s="95" customFormat="1" ht="37.5">
      <c r="A26" s="82"/>
      <c r="B26" s="91" t="s">
        <v>99</v>
      </c>
      <c r="C26" s="92" t="s">
        <v>12</v>
      </c>
      <c r="D26" s="81" t="s">
        <v>89</v>
      </c>
      <c r="E26" s="81" t="s">
        <v>104</v>
      </c>
      <c r="F26" s="705" t="s">
        <v>93</v>
      </c>
      <c r="G26" s="706" t="s">
        <v>97</v>
      </c>
      <c r="H26" s="706" t="s">
        <v>91</v>
      </c>
      <c r="I26" s="707" t="s">
        <v>100</v>
      </c>
      <c r="J26" s="81"/>
      <c r="K26" s="550">
        <f>K27+K28+K29</f>
        <v>62188.902390000003</v>
      </c>
      <c r="L26" s="93">
        <f>L27+L28+L29</f>
        <v>-4131.6999999999971</v>
      </c>
      <c r="M26" s="93">
        <f>M27+M28+M29</f>
        <v>58057.202390000006</v>
      </c>
    </row>
    <row r="27" spans="1:13" s="95" customFormat="1" ht="91.9" customHeight="1">
      <c r="A27" s="82"/>
      <c r="B27" s="463" t="s">
        <v>101</v>
      </c>
      <c r="C27" s="92" t="s">
        <v>12</v>
      </c>
      <c r="D27" s="81" t="s">
        <v>89</v>
      </c>
      <c r="E27" s="81" t="s">
        <v>104</v>
      </c>
      <c r="F27" s="705" t="s">
        <v>93</v>
      </c>
      <c r="G27" s="706" t="s">
        <v>97</v>
      </c>
      <c r="H27" s="706" t="s">
        <v>91</v>
      </c>
      <c r="I27" s="707" t="s">
        <v>100</v>
      </c>
      <c r="J27" s="81" t="s">
        <v>102</v>
      </c>
      <c r="K27" s="550">
        <f>55633.4-23837+6300+17537-0.1</f>
        <v>55633.3</v>
      </c>
      <c r="L27" s="93">
        <f>M27-K27</f>
        <v>-4131.6999999999971</v>
      </c>
      <c r="M27" s="93">
        <f>55633.4-23837+6300+17537-0.1-4131.7</f>
        <v>51501.600000000006</v>
      </c>
    </row>
    <row r="28" spans="1:13" s="78" customFormat="1" ht="61.15" customHeight="1">
      <c r="A28" s="82"/>
      <c r="B28" s="463" t="s">
        <v>107</v>
      </c>
      <c r="C28" s="92" t="s">
        <v>12</v>
      </c>
      <c r="D28" s="81" t="s">
        <v>89</v>
      </c>
      <c r="E28" s="81" t="s">
        <v>104</v>
      </c>
      <c r="F28" s="705" t="s">
        <v>93</v>
      </c>
      <c r="G28" s="706" t="s">
        <v>97</v>
      </c>
      <c r="H28" s="706" t="s">
        <v>91</v>
      </c>
      <c r="I28" s="707" t="s">
        <v>100</v>
      </c>
      <c r="J28" s="81" t="s">
        <v>108</v>
      </c>
      <c r="K28" s="550">
        <f>5063.2+591.6+3.3+38.849+70+13.9+15.1+201.9-0.03661-21.01+111.7+11.5</f>
        <v>6100.0023899999997</v>
      </c>
      <c r="L28" s="93">
        <f>M28-K28</f>
        <v>0</v>
      </c>
      <c r="M28" s="93">
        <f>5063.2+591.6+3.3+38.849+70+13.9+15.1+201.9-0.03661-21.01+111.7+11.5</f>
        <v>6100.0023899999997</v>
      </c>
    </row>
    <row r="29" spans="1:13" s="95" customFormat="1" ht="18.75">
      <c r="A29" s="82"/>
      <c r="B29" s="91" t="s">
        <v>109</v>
      </c>
      <c r="C29" s="92" t="s">
        <v>12</v>
      </c>
      <c r="D29" s="81" t="s">
        <v>89</v>
      </c>
      <c r="E29" s="81" t="s">
        <v>104</v>
      </c>
      <c r="F29" s="705" t="s">
        <v>93</v>
      </c>
      <c r="G29" s="706" t="s">
        <v>97</v>
      </c>
      <c r="H29" s="706" t="s">
        <v>91</v>
      </c>
      <c r="I29" s="707" t="s">
        <v>100</v>
      </c>
      <c r="J29" s="81" t="s">
        <v>110</v>
      </c>
      <c r="K29" s="550">
        <f>240.4+110.297+104.903</f>
        <v>455.6</v>
      </c>
      <c r="L29" s="93">
        <f>M29-K29</f>
        <v>0</v>
      </c>
      <c r="M29" s="93">
        <f>240.4+110.297+104.903</f>
        <v>455.6</v>
      </c>
    </row>
    <row r="30" spans="1:13" s="94" customFormat="1" ht="90.75" customHeight="1">
      <c r="A30" s="82"/>
      <c r="B30" s="91" t="s">
        <v>116</v>
      </c>
      <c r="C30" s="92" t="s">
        <v>12</v>
      </c>
      <c r="D30" s="81" t="s">
        <v>89</v>
      </c>
      <c r="E30" s="81" t="s">
        <v>104</v>
      </c>
      <c r="F30" s="705" t="s">
        <v>93</v>
      </c>
      <c r="G30" s="706" t="s">
        <v>97</v>
      </c>
      <c r="H30" s="706" t="s">
        <v>91</v>
      </c>
      <c r="I30" s="707" t="s">
        <v>342</v>
      </c>
      <c r="J30" s="81"/>
      <c r="K30" s="550">
        <f>K31</f>
        <v>66</v>
      </c>
      <c r="L30" s="93">
        <f>L31</f>
        <v>0</v>
      </c>
      <c r="M30" s="93">
        <f>M31</f>
        <v>66</v>
      </c>
    </row>
    <row r="31" spans="1:13" s="94" customFormat="1" ht="54" customHeight="1">
      <c r="A31" s="82"/>
      <c r="B31" s="463" t="s">
        <v>107</v>
      </c>
      <c r="C31" s="92" t="s">
        <v>12</v>
      </c>
      <c r="D31" s="81" t="s">
        <v>89</v>
      </c>
      <c r="E31" s="81" t="s">
        <v>104</v>
      </c>
      <c r="F31" s="705" t="s">
        <v>93</v>
      </c>
      <c r="G31" s="706" t="s">
        <v>97</v>
      </c>
      <c r="H31" s="706" t="s">
        <v>91</v>
      </c>
      <c r="I31" s="707" t="s">
        <v>342</v>
      </c>
      <c r="J31" s="81" t="s">
        <v>108</v>
      </c>
      <c r="K31" s="550">
        <v>66</v>
      </c>
      <c r="L31" s="93">
        <f>M31-K31</f>
        <v>0</v>
      </c>
      <c r="M31" s="93">
        <v>66</v>
      </c>
    </row>
    <row r="32" spans="1:13" s="94" customFormat="1" ht="210" customHeight="1">
      <c r="A32" s="82"/>
      <c r="B32" s="91" t="s">
        <v>695</v>
      </c>
      <c r="C32" s="92" t="s">
        <v>12</v>
      </c>
      <c r="D32" s="81" t="s">
        <v>89</v>
      </c>
      <c r="E32" s="81" t="s">
        <v>104</v>
      </c>
      <c r="F32" s="705" t="s">
        <v>93</v>
      </c>
      <c r="G32" s="706" t="s">
        <v>97</v>
      </c>
      <c r="H32" s="706" t="s">
        <v>91</v>
      </c>
      <c r="I32" s="707" t="s">
        <v>111</v>
      </c>
      <c r="J32" s="81"/>
      <c r="K32" s="550">
        <f>K33</f>
        <v>617.1</v>
      </c>
      <c r="L32" s="93">
        <f>L33</f>
        <v>0</v>
      </c>
      <c r="M32" s="93">
        <f>M33</f>
        <v>617.1</v>
      </c>
    </row>
    <row r="33" spans="1:13" s="94" customFormat="1" ht="94.15" customHeight="1">
      <c r="A33" s="82"/>
      <c r="B33" s="463" t="s">
        <v>101</v>
      </c>
      <c r="C33" s="92" t="s">
        <v>12</v>
      </c>
      <c r="D33" s="81" t="s">
        <v>89</v>
      </c>
      <c r="E33" s="81" t="s">
        <v>104</v>
      </c>
      <c r="F33" s="705" t="s">
        <v>93</v>
      </c>
      <c r="G33" s="706" t="s">
        <v>97</v>
      </c>
      <c r="H33" s="706" t="s">
        <v>91</v>
      </c>
      <c r="I33" s="707" t="s">
        <v>111</v>
      </c>
      <c r="J33" s="81" t="s">
        <v>102</v>
      </c>
      <c r="K33" s="550">
        <v>617.1</v>
      </c>
      <c r="L33" s="93">
        <f>M33-K33</f>
        <v>0</v>
      </c>
      <c r="M33" s="93">
        <v>617.1</v>
      </c>
    </row>
    <row r="34" spans="1:13" s="94" customFormat="1" ht="83.25" customHeight="1">
      <c r="A34" s="82"/>
      <c r="B34" s="91" t="s">
        <v>112</v>
      </c>
      <c r="C34" s="92" t="s">
        <v>12</v>
      </c>
      <c r="D34" s="81" t="s">
        <v>89</v>
      </c>
      <c r="E34" s="81" t="s">
        <v>104</v>
      </c>
      <c r="F34" s="705" t="s">
        <v>93</v>
      </c>
      <c r="G34" s="706" t="s">
        <v>97</v>
      </c>
      <c r="H34" s="706" t="s">
        <v>91</v>
      </c>
      <c r="I34" s="707" t="s">
        <v>113</v>
      </c>
      <c r="J34" s="81"/>
      <c r="K34" s="550">
        <f>SUM(K35:K36)</f>
        <v>2498.7000000000003</v>
      </c>
      <c r="L34" s="93">
        <f>SUM(L35:L36)</f>
        <v>0</v>
      </c>
      <c r="M34" s="93">
        <f>SUM(M35:M36)</f>
        <v>2498.7000000000003</v>
      </c>
    </row>
    <row r="35" spans="1:13" s="94" customFormat="1" ht="92.45" customHeight="1">
      <c r="A35" s="82"/>
      <c r="B35" s="463" t="s">
        <v>101</v>
      </c>
      <c r="C35" s="92" t="s">
        <v>12</v>
      </c>
      <c r="D35" s="81" t="s">
        <v>89</v>
      </c>
      <c r="E35" s="81" t="s">
        <v>104</v>
      </c>
      <c r="F35" s="705" t="s">
        <v>93</v>
      </c>
      <c r="G35" s="706" t="s">
        <v>97</v>
      </c>
      <c r="H35" s="706" t="s">
        <v>91</v>
      </c>
      <c r="I35" s="707" t="s">
        <v>113</v>
      </c>
      <c r="J35" s="81" t="s">
        <v>102</v>
      </c>
      <c r="K35" s="550">
        <v>2399.8000000000002</v>
      </c>
      <c r="L35" s="93">
        <f t="shared" ref="L35:L36" si="2">M35-K35</f>
        <v>0</v>
      </c>
      <c r="M35" s="93">
        <v>2399.8000000000002</v>
      </c>
    </row>
    <row r="36" spans="1:13" s="94" customFormat="1" ht="54" customHeight="1">
      <c r="A36" s="82"/>
      <c r="B36" s="463" t="s">
        <v>107</v>
      </c>
      <c r="C36" s="92" t="s">
        <v>12</v>
      </c>
      <c r="D36" s="81" t="s">
        <v>89</v>
      </c>
      <c r="E36" s="81" t="s">
        <v>104</v>
      </c>
      <c r="F36" s="705" t="s">
        <v>93</v>
      </c>
      <c r="G36" s="706" t="s">
        <v>97</v>
      </c>
      <c r="H36" s="706" t="s">
        <v>91</v>
      </c>
      <c r="I36" s="707" t="s">
        <v>113</v>
      </c>
      <c r="J36" s="81" t="s">
        <v>108</v>
      </c>
      <c r="K36" s="550">
        <f>89.9+9</f>
        <v>98.9</v>
      </c>
      <c r="L36" s="93">
        <f t="shared" si="2"/>
        <v>0</v>
      </c>
      <c r="M36" s="93">
        <f>89.9+9</f>
        <v>98.9</v>
      </c>
    </row>
    <row r="37" spans="1:13" s="94" customFormat="1" ht="75">
      <c r="A37" s="82"/>
      <c r="B37" s="91" t="s">
        <v>114</v>
      </c>
      <c r="C37" s="92" t="s">
        <v>12</v>
      </c>
      <c r="D37" s="81" t="s">
        <v>89</v>
      </c>
      <c r="E37" s="81" t="s">
        <v>104</v>
      </c>
      <c r="F37" s="705" t="s">
        <v>93</v>
      </c>
      <c r="G37" s="706" t="s">
        <v>97</v>
      </c>
      <c r="H37" s="706" t="s">
        <v>91</v>
      </c>
      <c r="I37" s="707" t="s">
        <v>115</v>
      </c>
      <c r="J37" s="81"/>
      <c r="K37" s="550">
        <f>K38</f>
        <v>617.29999999999995</v>
      </c>
      <c r="L37" s="93">
        <f>L38</f>
        <v>0</v>
      </c>
      <c r="M37" s="93">
        <f>M38</f>
        <v>617.29999999999995</v>
      </c>
    </row>
    <row r="38" spans="1:13" s="94" customFormat="1" ht="90" customHeight="1">
      <c r="A38" s="82"/>
      <c r="B38" s="463" t="s">
        <v>101</v>
      </c>
      <c r="C38" s="92" t="s">
        <v>12</v>
      </c>
      <c r="D38" s="81" t="s">
        <v>89</v>
      </c>
      <c r="E38" s="81" t="s">
        <v>104</v>
      </c>
      <c r="F38" s="705" t="s">
        <v>93</v>
      </c>
      <c r="G38" s="706" t="s">
        <v>97</v>
      </c>
      <c r="H38" s="706" t="s">
        <v>91</v>
      </c>
      <c r="I38" s="707" t="s">
        <v>115</v>
      </c>
      <c r="J38" s="81" t="s">
        <v>102</v>
      </c>
      <c r="K38" s="550">
        <v>617.29999999999995</v>
      </c>
      <c r="L38" s="93">
        <f>M38-K38</f>
        <v>0</v>
      </c>
      <c r="M38" s="93">
        <v>617.29999999999995</v>
      </c>
    </row>
    <row r="39" spans="1:13" s="94" customFormat="1" ht="18.75">
      <c r="A39" s="82"/>
      <c r="B39" s="91" t="s">
        <v>540</v>
      </c>
      <c r="C39" s="92" t="s">
        <v>12</v>
      </c>
      <c r="D39" s="81" t="s">
        <v>89</v>
      </c>
      <c r="E39" s="81" t="s">
        <v>104</v>
      </c>
      <c r="F39" s="705" t="s">
        <v>93</v>
      </c>
      <c r="G39" s="706" t="s">
        <v>97</v>
      </c>
      <c r="H39" s="706" t="s">
        <v>91</v>
      </c>
      <c r="I39" s="707" t="s">
        <v>539</v>
      </c>
      <c r="J39" s="81"/>
      <c r="K39" s="550">
        <f>K40</f>
        <v>66</v>
      </c>
      <c r="L39" s="93">
        <f>L40</f>
        <v>0</v>
      </c>
      <c r="M39" s="93">
        <f>M40</f>
        <v>66</v>
      </c>
    </row>
    <row r="40" spans="1:13" s="94" customFormat="1" ht="52.15" customHeight="1">
      <c r="A40" s="82"/>
      <c r="B40" s="463" t="s">
        <v>107</v>
      </c>
      <c r="C40" s="92" t="s">
        <v>12</v>
      </c>
      <c r="D40" s="81" t="s">
        <v>89</v>
      </c>
      <c r="E40" s="81" t="s">
        <v>104</v>
      </c>
      <c r="F40" s="705" t="s">
        <v>93</v>
      </c>
      <c r="G40" s="706" t="s">
        <v>97</v>
      </c>
      <c r="H40" s="706" t="s">
        <v>91</v>
      </c>
      <c r="I40" s="707" t="s">
        <v>539</v>
      </c>
      <c r="J40" s="81" t="s">
        <v>108</v>
      </c>
      <c r="K40" s="550">
        <v>66</v>
      </c>
      <c r="L40" s="93">
        <f>M40-K40</f>
        <v>0</v>
      </c>
      <c r="M40" s="93">
        <v>66</v>
      </c>
    </row>
    <row r="41" spans="1:13" s="78" customFormat="1" ht="18.75">
      <c r="A41" s="82"/>
      <c r="B41" s="91" t="s">
        <v>117</v>
      </c>
      <c r="C41" s="92" t="s">
        <v>12</v>
      </c>
      <c r="D41" s="81" t="s">
        <v>89</v>
      </c>
      <c r="E41" s="81" t="s">
        <v>104</v>
      </c>
      <c r="F41" s="705" t="s">
        <v>93</v>
      </c>
      <c r="G41" s="706" t="s">
        <v>97</v>
      </c>
      <c r="H41" s="706" t="s">
        <v>118</v>
      </c>
      <c r="I41" s="707" t="s">
        <v>96</v>
      </c>
      <c r="J41" s="81"/>
      <c r="K41" s="550">
        <f t="shared" ref="K41:M42" si="3">K42</f>
        <v>63.6</v>
      </c>
      <c r="L41" s="93">
        <f t="shared" si="3"/>
        <v>0</v>
      </c>
      <c r="M41" s="93">
        <f t="shared" si="3"/>
        <v>63.6</v>
      </c>
    </row>
    <row r="42" spans="1:13" s="95" customFormat="1" ht="37.5">
      <c r="A42" s="82"/>
      <c r="B42" s="91" t="s">
        <v>99</v>
      </c>
      <c r="C42" s="92" t="s">
        <v>12</v>
      </c>
      <c r="D42" s="81" t="s">
        <v>89</v>
      </c>
      <c r="E42" s="81" t="s">
        <v>104</v>
      </c>
      <c r="F42" s="705" t="s">
        <v>93</v>
      </c>
      <c r="G42" s="706" t="s">
        <v>97</v>
      </c>
      <c r="H42" s="706" t="s">
        <v>118</v>
      </c>
      <c r="I42" s="707" t="s">
        <v>100</v>
      </c>
      <c r="J42" s="81"/>
      <c r="K42" s="550">
        <f t="shared" si="3"/>
        <v>63.6</v>
      </c>
      <c r="L42" s="93">
        <f t="shared" si="3"/>
        <v>0</v>
      </c>
      <c r="M42" s="93">
        <f t="shared" si="3"/>
        <v>63.6</v>
      </c>
    </row>
    <row r="43" spans="1:13" s="78" customFormat="1" ht="51.6" customHeight="1">
      <c r="A43" s="82"/>
      <c r="B43" s="463" t="s">
        <v>107</v>
      </c>
      <c r="C43" s="92" t="s">
        <v>12</v>
      </c>
      <c r="D43" s="81" t="s">
        <v>89</v>
      </c>
      <c r="E43" s="81" t="s">
        <v>104</v>
      </c>
      <c r="F43" s="705" t="s">
        <v>93</v>
      </c>
      <c r="G43" s="706" t="s">
        <v>97</v>
      </c>
      <c r="H43" s="706" t="s">
        <v>118</v>
      </c>
      <c r="I43" s="707" t="s">
        <v>100</v>
      </c>
      <c r="J43" s="81" t="s">
        <v>108</v>
      </c>
      <c r="K43" s="550">
        <f>41.6+22</f>
        <v>63.6</v>
      </c>
      <c r="L43" s="93">
        <f>M43-K43</f>
        <v>0</v>
      </c>
      <c r="M43" s="93">
        <f>41.6+22</f>
        <v>63.6</v>
      </c>
    </row>
    <row r="44" spans="1:13" s="78" customFormat="1" ht="18.75">
      <c r="A44" s="82"/>
      <c r="B44" s="91" t="s">
        <v>585</v>
      </c>
      <c r="C44" s="92" t="s">
        <v>12</v>
      </c>
      <c r="D44" s="81" t="s">
        <v>89</v>
      </c>
      <c r="E44" s="81" t="s">
        <v>120</v>
      </c>
      <c r="F44" s="705"/>
      <c r="G44" s="706"/>
      <c r="H44" s="706"/>
      <c r="I44" s="707"/>
      <c r="J44" s="81"/>
      <c r="K44" s="550">
        <f t="shared" ref="K44:M48" si="4">K45</f>
        <v>10.4</v>
      </c>
      <c r="L44" s="93">
        <f t="shared" si="4"/>
        <v>0</v>
      </c>
      <c r="M44" s="93">
        <f t="shared" si="4"/>
        <v>10.4</v>
      </c>
    </row>
    <row r="45" spans="1:13" s="78" customFormat="1" ht="56.25">
      <c r="A45" s="82"/>
      <c r="B45" s="91" t="s">
        <v>105</v>
      </c>
      <c r="C45" s="92" t="s">
        <v>12</v>
      </c>
      <c r="D45" s="81" t="s">
        <v>89</v>
      </c>
      <c r="E45" s="81" t="s">
        <v>120</v>
      </c>
      <c r="F45" s="705" t="s">
        <v>93</v>
      </c>
      <c r="G45" s="706" t="s">
        <v>94</v>
      </c>
      <c r="H45" s="706" t="s">
        <v>95</v>
      </c>
      <c r="I45" s="707" t="s">
        <v>96</v>
      </c>
      <c r="J45" s="81"/>
      <c r="K45" s="550">
        <f t="shared" si="4"/>
        <v>10.4</v>
      </c>
      <c r="L45" s="93">
        <f t="shared" si="4"/>
        <v>0</v>
      </c>
      <c r="M45" s="93">
        <f t="shared" si="4"/>
        <v>10.4</v>
      </c>
    </row>
    <row r="46" spans="1:13" s="78" customFormat="1" ht="37.5">
      <c r="A46" s="82"/>
      <c r="B46" s="91" t="s">
        <v>455</v>
      </c>
      <c r="C46" s="92" t="s">
        <v>12</v>
      </c>
      <c r="D46" s="81" t="s">
        <v>89</v>
      </c>
      <c r="E46" s="81" t="s">
        <v>120</v>
      </c>
      <c r="F46" s="705" t="s">
        <v>93</v>
      </c>
      <c r="G46" s="706" t="s">
        <v>97</v>
      </c>
      <c r="H46" s="706" t="s">
        <v>95</v>
      </c>
      <c r="I46" s="707" t="s">
        <v>96</v>
      </c>
      <c r="J46" s="81"/>
      <c r="K46" s="550">
        <f t="shared" si="4"/>
        <v>10.4</v>
      </c>
      <c r="L46" s="93">
        <f t="shared" si="4"/>
        <v>0</v>
      </c>
      <c r="M46" s="93">
        <f t="shared" si="4"/>
        <v>10.4</v>
      </c>
    </row>
    <row r="47" spans="1:13" s="78" customFormat="1" ht="37.5">
      <c r="A47" s="82"/>
      <c r="B47" s="91" t="s">
        <v>106</v>
      </c>
      <c r="C47" s="92" t="s">
        <v>12</v>
      </c>
      <c r="D47" s="81" t="s">
        <v>89</v>
      </c>
      <c r="E47" s="81" t="s">
        <v>120</v>
      </c>
      <c r="F47" s="705" t="s">
        <v>93</v>
      </c>
      <c r="G47" s="706" t="s">
        <v>97</v>
      </c>
      <c r="H47" s="706" t="s">
        <v>91</v>
      </c>
      <c r="I47" s="707" t="s">
        <v>96</v>
      </c>
      <c r="J47" s="81"/>
      <c r="K47" s="550">
        <f t="shared" si="4"/>
        <v>10.4</v>
      </c>
      <c r="L47" s="93">
        <f t="shared" si="4"/>
        <v>0</v>
      </c>
      <c r="M47" s="93">
        <f t="shared" si="4"/>
        <v>10.4</v>
      </c>
    </row>
    <row r="48" spans="1:13" s="78" customFormat="1" ht="93.75">
      <c r="A48" s="82"/>
      <c r="B48" s="91" t="s">
        <v>587</v>
      </c>
      <c r="C48" s="92" t="s">
        <v>12</v>
      </c>
      <c r="D48" s="81" t="s">
        <v>89</v>
      </c>
      <c r="E48" s="81" t="s">
        <v>120</v>
      </c>
      <c r="F48" s="705" t="s">
        <v>93</v>
      </c>
      <c r="G48" s="706" t="s">
        <v>97</v>
      </c>
      <c r="H48" s="706" t="s">
        <v>91</v>
      </c>
      <c r="I48" s="707" t="s">
        <v>586</v>
      </c>
      <c r="J48" s="81"/>
      <c r="K48" s="550">
        <f t="shared" si="4"/>
        <v>10.4</v>
      </c>
      <c r="L48" s="93">
        <f t="shared" si="4"/>
        <v>0</v>
      </c>
      <c r="M48" s="93">
        <f t="shared" si="4"/>
        <v>10.4</v>
      </c>
    </row>
    <row r="49" spans="1:13" s="78" customFormat="1" ht="57.6" customHeight="1">
      <c r="A49" s="82"/>
      <c r="B49" s="463" t="s">
        <v>107</v>
      </c>
      <c r="C49" s="92" t="s">
        <v>12</v>
      </c>
      <c r="D49" s="81" t="s">
        <v>89</v>
      </c>
      <c r="E49" s="81" t="s">
        <v>120</v>
      </c>
      <c r="F49" s="705" t="s">
        <v>93</v>
      </c>
      <c r="G49" s="706" t="s">
        <v>97</v>
      </c>
      <c r="H49" s="706" t="s">
        <v>91</v>
      </c>
      <c r="I49" s="707" t="s">
        <v>586</v>
      </c>
      <c r="J49" s="81" t="s">
        <v>108</v>
      </c>
      <c r="K49" s="550">
        <f>5.9+4.5</f>
        <v>10.4</v>
      </c>
      <c r="L49" s="93">
        <f>M49-K49</f>
        <v>0</v>
      </c>
      <c r="M49" s="93">
        <f>5.9+4.5</f>
        <v>10.4</v>
      </c>
    </row>
    <row r="50" spans="1:13" s="95" customFormat="1" ht="16.899999999999999" customHeight="1">
      <c r="A50" s="82"/>
      <c r="B50" s="91" t="s">
        <v>121</v>
      </c>
      <c r="C50" s="92" t="s">
        <v>12</v>
      </c>
      <c r="D50" s="81" t="s">
        <v>89</v>
      </c>
      <c r="E50" s="81" t="s">
        <v>122</v>
      </c>
      <c r="F50" s="705"/>
      <c r="G50" s="706"/>
      <c r="H50" s="706"/>
      <c r="I50" s="707"/>
      <c r="J50" s="81"/>
      <c r="K50" s="550">
        <f t="shared" ref="K50:M54" si="5">K51</f>
        <v>4099.8939999999993</v>
      </c>
      <c r="L50" s="93">
        <f t="shared" si="5"/>
        <v>-3449.8630000000003</v>
      </c>
      <c r="M50" s="93">
        <f t="shared" si="5"/>
        <v>650.03099999999927</v>
      </c>
    </row>
    <row r="51" spans="1:13" s="95" customFormat="1" ht="37.5">
      <c r="A51" s="82"/>
      <c r="B51" s="91" t="s">
        <v>123</v>
      </c>
      <c r="C51" s="92" t="s">
        <v>12</v>
      </c>
      <c r="D51" s="81" t="s">
        <v>89</v>
      </c>
      <c r="E51" s="81" t="s">
        <v>122</v>
      </c>
      <c r="F51" s="705" t="s">
        <v>124</v>
      </c>
      <c r="G51" s="706" t="s">
        <v>94</v>
      </c>
      <c r="H51" s="706" t="s">
        <v>95</v>
      </c>
      <c r="I51" s="707" t="s">
        <v>96</v>
      </c>
      <c r="J51" s="81"/>
      <c r="K51" s="550">
        <f t="shared" si="5"/>
        <v>4099.8939999999993</v>
      </c>
      <c r="L51" s="93">
        <f t="shared" si="5"/>
        <v>-3449.8630000000003</v>
      </c>
      <c r="M51" s="93">
        <f t="shared" si="5"/>
        <v>650.03099999999927</v>
      </c>
    </row>
    <row r="52" spans="1:13" s="95" customFormat="1" ht="37.5">
      <c r="A52" s="82"/>
      <c r="B52" s="96" t="s">
        <v>125</v>
      </c>
      <c r="C52" s="92" t="s">
        <v>12</v>
      </c>
      <c r="D52" s="81" t="s">
        <v>89</v>
      </c>
      <c r="E52" s="81" t="s">
        <v>122</v>
      </c>
      <c r="F52" s="705" t="s">
        <v>124</v>
      </c>
      <c r="G52" s="706" t="s">
        <v>97</v>
      </c>
      <c r="H52" s="706" t="s">
        <v>95</v>
      </c>
      <c r="I52" s="707" t="s">
        <v>96</v>
      </c>
      <c r="J52" s="81"/>
      <c r="K52" s="550">
        <f t="shared" si="5"/>
        <v>4099.8939999999993</v>
      </c>
      <c r="L52" s="93">
        <f t="shared" si="5"/>
        <v>-3449.8630000000003</v>
      </c>
      <c r="M52" s="93">
        <f t="shared" si="5"/>
        <v>650.03099999999927</v>
      </c>
    </row>
    <row r="53" spans="1:13" s="95" customFormat="1" ht="18.75">
      <c r="A53" s="82"/>
      <c r="B53" s="91" t="s">
        <v>121</v>
      </c>
      <c r="C53" s="92" t="s">
        <v>12</v>
      </c>
      <c r="D53" s="81" t="s">
        <v>89</v>
      </c>
      <c r="E53" s="81" t="s">
        <v>122</v>
      </c>
      <c r="F53" s="705" t="s">
        <v>124</v>
      </c>
      <c r="G53" s="706" t="s">
        <v>97</v>
      </c>
      <c r="H53" s="706" t="s">
        <v>89</v>
      </c>
      <c r="I53" s="707" t="s">
        <v>96</v>
      </c>
      <c r="J53" s="81"/>
      <c r="K53" s="550">
        <f t="shared" si="5"/>
        <v>4099.8939999999993</v>
      </c>
      <c r="L53" s="93">
        <f t="shared" si="5"/>
        <v>-3449.8630000000003</v>
      </c>
      <c r="M53" s="93">
        <f t="shared" si="5"/>
        <v>650.03099999999927</v>
      </c>
    </row>
    <row r="54" spans="1:13" s="95" customFormat="1" ht="18.75">
      <c r="A54" s="82"/>
      <c r="B54" s="91" t="s">
        <v>126</v>
      </c>
      <c r="C54" s="92" t="s">
        <v>12</v>
      </c>
      <c r="D54" s="81" t="s">
        <v>89</v>
      </c>
      <c r="E54" s="81" t="s">
        <v>122</v>
      </c>
      <c r="F54" s="705" t="s">
        <v>124</v>
      </c>
      <c r="G54" s="706" t="s">
        <v>97</v>
      </c>
      <c r="H54" s="706" t="s">
        <v>89</v>
      </c>
      <c r="I54" s="707" t="s">
        <v>127</v>
      </c>
      <c r="J54" s="81"/>
      <c r="K54" s="550">
        <f t="shared" si="5"/>
        <v>4099.8939999999993</v>
      </c>
      <c r="L54" s="93">
        <f t="shared" si="5"/>
        <v>-3449.8630000000003</v>
      </c>
      <c r="M54" s="93">
        <f t="shared" si="5"/>
        <v>650.03099999999927</v>
      </c>
    </row>
    <row r="55" spans="1:13" s="95" customFormat="1" ht="18.75">
      <c r="A55" s="82"/>
      <c r="B55" s="91" t="s">
        <v>109</v>
      </c>
      <c r="C55" s="92" t="s">
        <v>12</v>
      </c>
      <c r="D55" s="81" t="s">
        <v>89</v>
      </c>
      <c r="E55" s="81" t="s">
        <v>122</v>
      </c>
      <c r="F55" s="705" t="s">
        <v>124</v>
      </c>
      <c r="G55" s="706" t="s">
        <v>97</v>
      </c>
      <c r="H55" s="706" t="s">
        <v>89</v>
      </c>
      <c r="I55" s="707" t="s">
        <v>127</v>
      </c>
      <c r="J55" s="81" t="s">
        <v>110</v>
      </c>
      <c r="K55" s="550">
        <f>3000+2000-1126.706+5000-4569.3-204.1</f>
        <v>4099.8939999999993</v>
      </c>
      <c r="L55" s="93">
        <f>M55-K55</f>
        <v>-3449.8630000000003</v>
      </c>
      <c r="M55" s="93">
        <f>3000+2000-1126.706+5000-4569.3-204.1-3000-449.863</f>
        <v>650.03099999999927</v>
      </c>
    </row>
    <row r="56" spans="1:13" s="95" customFormat="1" ht="16.899999999999999" customHeight="1">
      <c r="A56" s="82"/>
      <c r="B56" s="91" t="s">
        <v>128</v>
      </c>
      <c r="C56" s="92" t="s">
        <v>12</v>
      </c>
      <c r="D56" s="81" t="s">
        <v>89</v>
      </c>
      <c r="E56" s="81" t="s">
        <v>129</v>
      </c>
      <c r="F56" s="705"/>
      <c r="G56" s="706"/>
      <c r="H56" s="706"/>
      <c r="I56" s="707"/>
      <c r="J56" s="81"/>
      <c r="K56" s="550">
        <f t="shared" ref="K56" si="6">K62+K57</f>
        <v>3347.8000000000006</v>
      </c>
      <c r="L56" s="93">
        <f t="shared" ref="L56:M56" si="7">L62+L57</f>
        <v>0</v>
      </c>
      <c r="M56" s="93">
        <f t="shared" si="7"/>
        <v>3347.8000000000006</v>
      </c>
    </row>
    <row r="57" spans="1:13" s="95" customFormat="1" ht="75">
      <c r="A57" s="82"/>
      <c r="B57" s="91" t="s">
        <v>130</v>
      </c>
      <c r="C57" s="92" t="s">
        <v>12</v>
      </c>
      <c r="D57" s="81" t="s">
        <v>89</v>
      </c>
      <c r="E57" s="81" t="s">
        <v>129</v>
      </c>
      <c r="F57" s="705" t="s">
        <v>131</v>
      </c>
      <c r="G57" s="706" t="s">
        <v>94</v>
      </c>
      <c r="H57" s="706" t="s">
        <v>95</v>
      </c>
      <c r="I57" s="707" t="s">
        <v>96</v>
      </c>
      <c r="J57" s="81"/>
      <c r="K57" s="550">
        <f t="shared" ref="K57:M60" si="8">K58</f>
        <v>189.8</v>
      </c>
      <c r="L57" s="93">
        <f t="shared" si="8"/>
        <v>0</v>
      </c>
      <c r="M57" s="93">
        <f t="shared" si="8"/>
        <v>189.8</v>
      </c>
    </row>
    <row r="58" spans="1:13" s="95" customFormat="1" ht="37.5">
      <c r="A58" s="82"/>
      <c r="B58" s="91" t="s">
        <v>455</v>
      </c>
      <c r="C58" s="92" t="s">
        <v>12</v>
      </c>
      <c r="D58" s="81" t="s">
        <v>89</v>
      </c>
      <c r="E58" s="81" t="s">
        <v>129</v>
      </c>
      <c r="F58" s="705" t="s">
        <v>131</v>
      </c>
      <c r="G58" s="706" t="s">
        <v>97</v>
      </c>
      <c r="H58" s="706" t="s">
        <v>95</v>
      </c>
      <c r="I58" s="707" t="s">
        <v>96</v>
      </c>
      <c r="J58" s="81"/>
      <c r="K58" s="550">
        <f t="shared" si="8"/>
        <v>189.8</v>
      </c>
      <c r="L58" s="93">
        <f t="shared" si="8"/>
        <v>0</v>
      </c>
      <c r="M58" s="93">
        <f t="shared" si="8"/>
        <v>189.8</v>
      </c>
    </row>
    <row r="59" spans="1:13" s="95" customFormat="1" ht="56.25">
      <c r="A59" s="82"/>
      <c r="B59" s="96" t="s">
        <v>343</v>
      </c>
      <c r="C59" s="92" t="s">
        <v>12</v>
      </c>
      <c r="D59" s="81" t="s">
        <v>89</v>
      </c>
      <c r="E59" s="81" t="s">
        <v>129</v>
      </c>
      <c r="F59" s="705" t="s">
        <v>131</v>
      </c>
      <c r="G59" s="706" t="s">
        <v>97</v>
      </c>
      <c r="H59" s="706" t="s">
        <v>89</v>
      </c>
      <c r="I59" s="707" t="s">
        <v>96</v>
      </c>
      <c r="J59" s="81"/>
      <c r="K59" s="550">
        <f t="shared" si="8"/>
        <v>189.8</v>
      </c>
      <c r="L59" s="93">
        <f t="shared" si="8"/>
        <v>0</v>
      </c>
      <c r="M59" s="93">
        <f t="shared" si="8"/>
        <v>189.8</v>
      </c>
    </row>
    <row r="60" spans="1:13" s="95" customFormat="1" ht="52.15" customHeight="1">
      <c r="A60" s="82"/>
      <c r="B60" s="464" t="s">
        <v>132</v>
      </c>
      <c r="C60" s="92" t="s">
        <v>12</v>
      </c>
      <c r="D60" s="81" t="s">
        <v>89</v>
      </c>
      <c r="E60" s="81" t="s">
        <v>129</v>
      </c>
      <c r="F60" s="705" t="s">
        <v>131</v>
      </c>
      <c r="G60" s="706" t="s">
        <v>97</v>
      </c>
      <c r="H60" s="706" t="s">
        <v>89</v>
      </c>
      <c r="I60" s="707" t="s">
        <v>133</v>
      </c>
      <c r="J60" s="81"/>
      <c r="K60" s="550">
        <f t="shared" si="8"/>
        <v>189.8</v>
      </c>
      <c r="L60" s="93">
        <f t="shared" si="8"/>
        <v>0</v>
      </c>
      <c r="M60" s="93">
        <f t="shared" si="8"/>
        <v>189.8</v>
      </c>
    </row>
    <row r="61" spans="1:13" s="95" customFormat="1" ht="56.25">
      <c r="A61" s="82"/>
      <c r="B61" s="97" t="s">
        <v>134</v>
      </c>
      <c r="C61" s="92" t="s">
        <v>12</v>
      </c>
      <c r="D61" s="81" t="s">
        <v>89</v>
      </c>
      <c r="E61" s="81" t="s">
        <v>129</v>
      </c>
      <c r="F61" s="705" t="s">
        <v>131</v>
      </c>
      <c r="G61" s="706" t="s">
        <v>97</v>
      </c>
      <c r="H61" s="706" t="s">
        <v>89</v>
      </c>
      <c r="I61" s="707" t="s">
        <v>133</v>
      </c>
      <c r="J61" s="81" t="s">
        <v>135</v>
      </c>
      <c r="K61" s="550">
        <v>189.8</v>
      </c>
      <c r="L61" s="93">
        <f>M61-K61</f>
        <v>0</v>
      </c>
      <c r="M61" s="93">
        <v>189.8</v>
      </c>
    </row>
    <row r="62" spans="1:13" s="95" customFormat="1" ht="56.25">
      <c r="A62" s="82"/>
      <c r="B62" s="91" t="s">
        <v>92</v>
      </c>
      <c r="C62" s="92" t="s">
        <v>12</v>
      </c>
      <c r="D62" s="81" t="s">
        <v>89</v>
      </c>
      <c r="E62" s="81" t="s">
        <v>129</v>
      </c>
      <c r="F62" s="705" t="s">
        <v>93</v>
      </c>
      <c r="G62" s="706" t="s">
        <v>94</v>
      </c>
      <c r="H62" s="706" t="s">
        <v>95</v>
      </c>
      <c r="I62" s="707" t="s">
        <v>96</v>
      </c>
      <c r="J62" s="81"/>
      <c r="K62" s="550">
        <f>K63</f>
        <v>3158.0000000000005</v>
      </c>
      <c r="L62" s="93">
        <f>L63</f>
        <v>0</v>
      </c>
      <c r="M62" s="93">
        <f>M63</f>
        <v>3158.0000000000005</v>
      </c>
    </row>
    <row r="63" spans="1:13" s="95" customFormat="1" ht="37.5">
      <c r="A63" s="82"/>
      <c r="B63" s="91" t="s">
        <v>455</v>
      </c>
      <c r="C63" s="92" t="s">
        <v>12</v>
      </c>
      <c r="D63" s="81" t="s">
        <v>89</v>
      </c>
      <c r="E63" s="81" t="s">
        <v>129</v>
      </c>
      <c r="F63" s="705" t="s">
        <v>93</v>
      </c>
      <c r="G63" s="706" t="s">
        <v>97</v>
      </c>
      <c r="H63" s="706" t="s">
        <v>95</v>
      </c>
      <c r="I63" s="707" t="s">
        <v>96</v>
      </c>
      <c r="J63" s="81"/>
      <c r="K63" s="550">
        <f>K70+K67+K64</f>
        <v>3158.0000000000005</v>
      </c>
      <c r="L63" s="93">
        <f>L70+L67+L64</f>
        <v>0</v>
      </c>
      <c r="M63" s="93">
        <f>M70+M67+M64</f>
        <v>3158.0000000000005</v>
      </c>
    </row>
    <row r="64" spans="1:13" s="95" customFormat="1" ht="37.5">
      <c r="A64" s="82"/>
      <c r="B64" s="256" t="s">
        <v>106</v>
      </c>
      <c r="C64" s="92" t="s">
        <v>12</v>
      </c>
      <c r="D64" s="81" t="s">
        <v>89</v>
      </c>
      <c r="E64" s="81" t="s">
        <v>129</v>
      </c>
      <c r="F64" s="705" t="s">
        <v>93</v>
      </c>
      <c r="G64" s="706" t="s">
        <v>97</v>
      </c>
      <c r="H64" s="706" t="s">
        <v>91</v>
      </c>
      <c r="I64" s="707" t="s">
        <v>96</v>
      </c>
      <c r="J64" s="81"/>
      <c r="K64" s="550">
        <f t="shared" ref="K64:M65" si="9">K65</f>
        <v>103.9</v>
      </c>
      <c r="L64" s="93">
        <f t="shared" si="9"/>
        <v>0</v>
      </c>
      <c r="M64" s="93">
        <f t="shared" si="9"/>
        <v>103.9</v>
      </c>
    </row>
    <row r="65" spans="1:13" s="95" customFormat="1" ht="18.75">
      <c r="A65" s="82"/>
      <c r="B65" s="91" t="s">
        <v>705</v>
      </c>
      <c r="C65" s="92" t="s">
        <v>12</v>
      </c>
      <c r="D65" s="81" t="s">
        <v>89</v>
      </c>
      <c r="E65" s="81" t="s">
        <v>129</v>
      </c>
      <c r="F65" s="705" t="s">
        <v>93</v>
      </c>
      <c r="G65" s="706" t="s">
        <v>97</v>
      </c>
      <c r="H65" s="706" t="s">
        <v>91</v>
      </c>
      <c r="I65" s="707" t="s">
        <v>704</v>
      </c>
      <c r="J65" s="81"/>
      <c r="K65" s="550">
        <f t="shared" si="9"/>
        <v>103.9</v>
      </c>
      <c r="L65" s="93">
        <f t="shared" si="9"/>
        <v>0</v>
      </c>
      <c r="M65" s="93">
        <f t="shared" si="9"/>
        <v>103.9</v>
      </c>
    </row>
    <row r="66" spans="1:13" s="95" customFormat="1" ht="54" customHeight="1">
      <c r="A66" s="82"/>
      <c r="B66" s="463" t="s">
        <v>107</v>
      </c>
      <c r="C66" s="92" t="s">
        <v>12</v>
      </c>
      <c r="D66" s="81" t="s">
        <v>89</v>
      </c>
      <c r="E66" s="81" t="s">
        <v>129</v>
      </c>
      <c r="F66" s="705" t="s">
        <v>93</v>
      </c>
      <c r="G66" s="706" t="s">
        <v>97</v>
      </c>
      <c r="H66" s="706" t="s">
        <v>91</v>
      </c>
      <c r="I66" s="707" t="s">
        <v>704</v>
      </c>
      <c r="J66" s="81" t="s">
        <v>108</v>
      </c>
      <c r="K66" s="550">
        <f>103.9-21.01+21.01</f>
        <v>103.9</v>
      </c>
      <c r="L66" s="93">
        <f>M66-K66</f>
        <v>0</v>
      </c>
      <c r="M66" s="93">
        <f>103.9-21.01+21.01</f>
        <v>103.9</v>
      </c>
    </row>
    <row r="67" spans="1:13" s="95" customFormat="1" ht="18.75">
      <c r="A67" s="82"/>
      <c r="B67" s="91" t="s">
        <v>117</v>
      </c>
      <c r="C67" s="92" t="s">
        <v>12</v>
      </c>
      <c r="D67" s="81" t="s">
        <v>89</v>
      </c>
      <c r="E67" s="81" t="s">
        <v>129</v>
      </c>
      <c r="F67" s="705" t="s">
        <v>93</v>
      </c>
      <c r="G67" s="706" t="s">
        <v>97</v>
      </c>
      <c r="H67" s="706" t="s">
        <v>118</v>
      </c>
      <c r="I67" s="707" t="s">
        <v>96</v>
      </c>
      <c r="J67" s="81"/>
      <c r="K67" s="550">
        <f t="shared" ref="K67:M68" si="10">K68</f>
        <v>911.2</v>
      </c>
      <c r="L67" s="93">
        <f t="shared" si="10"/>
        <v>0</v>
      </c>
      <c r="M67" s="93">
        <f t="shared" si="10"/>
        <v>911.2</v>
      </c>
    </row>
    <row r="68" spans="1:13" s="95" customFormat="1" ht="75">
      <c r="A68" s="82"/>
      <c r="B68" s="91" t="s">
        <v>567</v>
      </c>
      <c r="C68" s="92" t="s">
        <v>12</v>
      </c>
      <c r="D68" s="81" t="s">
        <v>89</v>
      </c>
      <c r="E68" s="81" t="s">
        <v>129</v>
      </c>
      <c r="F68" s="705" t="s">
        <v>93</v>
      </c>
      <c r="G68" s="706" t="s">
        <v>97</v>
      </c>
      <c r="H68" s="706" t="s">
        <v>118</v>
      </c>
      <c r="I68" s="707" t="s">
        <v>566</v>
      </c>
      <c r="J68" s="81"/>
      <c r="K68" s="550">
        <f t="shared" si="10"/>
        <v>911.2</v>
      </c>
      <c r="L68" s="93">
        <f t="shared" si="10"/>
        <v>0</v>
      </c>
      <c r="M68" s="93">
        <f t="shared" si="10"/>
        <v>911.2</v>
      </c>
    </row>
    <row r="69" spans="1:13" s="95" customFormat="1" ht="59.25" customHeight="1">
      <c r="A69" s="82"/>
      <c r="B69" s="463" t="s">
        <v>107</v>
      </c>
      <c r="C69" s="92" t="s">
        <v>12</v>
      </c>
      <c r="D69" s="81" t="s">
        <v>89</v>
      </c>
      <c r="E69" s="81" t="s">
        <v>129</v>
      </c>
      <c r="F69" s="705" t="s">
        <v>93</v>
      </c>
      <c r="G69" s="706" t="s">
        <v>97</v>
      </c>
      <c r="H69" s="706" t="s">
        <v>118</v>
      </c>
      <c r="I69" s="707" t="s">
        <v>566</v>
      </c>
      <c r="J69" s="81" t="s">
        <v>108</v>
      </c>
      <c r="K69" s="550">
        <f>551.2+250-40+150</f>
        <v>911.2</v>
      </c>
      <c r="L69" s="93">
        <f>M69-K69</f>
        <v>0</v>
      </c>
      <c r="M69" s="93">
        <f>551.2+250-40+150</f>
        <v>911.2</v>
      </c>
    </row>
    <row r="70" spans="1:13" s="95" customFormat="1" ht="18.75">
      <c r="A70" s="82"/>
      <c r="B70" s="91" t="s">
        <v>119</v>
      </c>
      <c r="C70" s="92" t="s">
        <v>12</v>
      </c>
      <c r="D70" s="81" t="s">
        <v>89</v>
      </c>
      <c r="E70" s="81" t="s">
        <v>129</v>
      </c>
      <c r="F70" s="705" t="s">
        <v>93</v>
      </c>
      <c r="G70" s="706" t="s">
        <v>97</v>
      </c>
      <c r="H70" s="706" t="s">
        <v>104</v>
      </c>
      <c r="I70" s="707" t="s">
        <v>96</v>
      </c>
      <c r="J70" s="81"/>
      <c r="K70" s="550">
        <f>K71+K73</f>
        <v>2142.9</v>
      </c>
      <c r="L70" s="93">
        <f>L71+L73</f>
        <v>0</v>
      </c>
      <c r="M70" s="93">
        <f>M71+M73</f>
        <v>2142.9</v>
      </c>
    </row>
    <row r="71" spans="1:13" s="95" customFormat="1" ht="51" customHeight="1">
      <c r="A71" s="82"/>
      <c r="B71" s="98" t="s">
        <v>484</v>
      </c>
      <c r="C71" s="92" t="s">
        <v>12</v>
      </c>
      <c r="D71" s="81" t="s">
        <v>89</v>
      </c>
      <c r="E71" s="81" t="s">
        <v>129</v>
      </c>
      <c r="F71" s="705" t="s">
        <v>93</v>
      </c>
      <c r="G71" s="706" t="s">
        <v>97</v>
      </c>
      <c r="H71" s="706" t="s">
        <v>104</v>
      </c>
      <c r="I71" s="707" t="s">
        <v>167</v>
      </c>
      <c r="J71" s="81"/>
      <c r="K71" s="550">
        <f>K72</f>
        <v>185.3</v>
      </c>
      <c r="L71" s="93">
        <f>L72</f>
        <v>0</v>
      </c>
      <c r="M71" s="93">
        <f>M72</f>
        <v>185.3</v>
      </c>
    </row>
    <row r="72" spans="1:13" s="95" customFormat="1" ht="59.25" customHeight="1">
      <c r="A72" s="82"/>
      <c r="B72" s="463" t="s">
        <v>107</v>
      </c>
      <c r="C72" s="92" t="s">
        <v>12</v>
      </c>
      <c r="D72" s="81" t="s">
        <v>89</v>
      </c>
      <c r="E72" s="81" t="s">
        <v>129</v>
      </c>
      <c r="F72" s="705" t="s">
        <v>93</v>
      </c>
      <c r="G72" s="706" t="s">
        <v>97</v>
      </c>
      <c r="H72" s="706" t="s">
        <v>104</v>
      </c>
      <c r="I72" s="707" t="s">
        <v>167</v>
      </c>
      <c r="J72" s="81" t="s">
        <v>108</v>
      </c>
      <c r="K72" s="550">
        <v>185.3</v>
      </c>
      <c r="L72" s="93">
        <f>M72-K72</f>
        <v>0</v>
      </c>
      <c r="M72" s="93">
        <v>185.3</v>
      </c>
    </row>
    <row r="73" spans="1:13" s="95" customFormat="1" ht="56.25">
      <c r="A73" s="82"/>
      <c r="B73" s="91" t="s">
        <v>486</v>
      </c>
      <c r="C73" s="92" t="s">
        <v>12</v>
      </c>
      <c r="D73" s="81" t="s">
        <v>89</v>
      </c>
      <c r="E73" s="81" t="s">
        <v>129</v>
      </c>
      <c r="F73" s="705" t="s">
        <v>93</v>
      </c>
      <c r="G73" s="706" t="s">
        <v>97</v>
      </c>
      <c r="H73" s="706" t="s">
        <v>104</v>
      </c>
      <c r="I73" s="707" t="s">
        <v>485</v>
      </c>
      <c r="J73" s="81"/>
      <c r="K73" s="550">
        <f>K74</f>
        <v>1957.6</v>
      </c>
      <c r="L73" s="93">
        <f>L74</f>
        <v>0</v>
      </c>
      <c r="M73" s="93">
        <f>M74</f>
        <v>1957.6</v>
      </c>
    </row>
    <row r="74" spans="1:13" s="95" customFormat="1" ht="60.75" customHeight="1">
      <c r="A74" s="82"/>
      <c r="B74" s="463" t="s">
        <v>107</v>
      </c>
      <c r="C74" s="92" t="s">
        <v>12</v>
      </c>
      <c r="D74" s="81" t="s">
        <v>89</v>
      </c>
      <c r="E74" s="81" t="s">
        <v>129</v>
      </c>
      <c r="F74" s="705" t="s">
        <v>93</v>
      </c>
      <c r="G74" s="706" t="s">
        <v>97</v>
      </c>
      <c r="H74" s="706" t="s">
        <v>104</v>
      </c>
      <c r="I74" s="707" t="s">
        <v>485</v>
      </c>
      <c r="J74" s="81" t="s">
        <v>108</v>
      </c>
      <c r="K74" s="550">
        <f>1549.8+367.8+40</f>
        <v>1957.6</v>
      </c>
      <c r="L74" s="93">
        <f>M74-K74</f>
        <v>0</v>
      </c>
      <c r="M74" s="93">
        <f>1549.8+367.8+40</f>
        <v>1957.6</v>
      </c>
    </row>
    <row r="75" spans="1:13" s="95" customFormat="1" ht="37.5">
      <c r="A75" s="82"/>
      <c r="B75" s="91" t="s">
        <v>136</v>
      </c>
      <c r="C75" s="92" t="s">
        <v>12</v>
      </c>
      <c r="D75" s="81" t="s">
        <v>118</v>
      </c>
      <c r="E75" s="81"/>
      <c r="F75" s="705"/>
      <c r="G75" s="706"/>
      <c r="H75" s="706"/>
      <c r="I75" s="707"/>
      <c r="J75" s="81"/>
      <c r="K75" s="550">
        <f t="shared" ref="K75" si="11">K76+K90</f>
        <v>15577.980679999997</v>
      </c>
      <c r="L75" s="93">
        <f t="shared" ref="L75:M75" si="12">L76+L90</f>
        <v>0</v>
      </c>
      <c r="M75" s="93">
        <f t="shared" si="12"/>
        <v>15577.980679999997</v>
      </c>
    </row>
    <row r="76" spans="1:13" s="95" customFormat="1" ht="56.25" customHeight="1">
      <c r="A76" s="82"/>
      <c r="B76" s="91" t="s">
        <v>137</v>
      </c>
      <c r="C76" s="92" t="s">
        <v>12</v>
      </c>
      <c r="D76" s="81" t="s">
        <v>118</v>
      </c>
      <c r="E76" s="81" t="s">
        <v>138</v>
      </c>
      <c r="F76" s="705"/>
      <c r="G76" s="706"/>
      <c r="H76" s="706"/>
      <c r="I76" s="707"/>
      <c r="J76" s="81"/>
      <c r="K76" s="550">
        <f t="shared" ref="K76:M78" si="13">K77</f>
        <v>6498.1166799999992</v>
      </c>
      <c r="L76" s="93">
        <f t="shared" si="13"/>
        <v>0</v>
      </c>
      <c r="M76" s="93">
        <f t="shared" si="13"/>
        <v>6498.1166799999992</v>
      </c>
    </row>
    <row r="77" spans="1:13" s="95" customFormat="1" ht="60" customHeight="1">
      <c r="A77" s="82"/>
      <c r="B77" s="91" t="s">
        <v>139</v>
      </c>
      <c r="C77" s="92" t="s">
        <v>12</v>
      </c>
      <c r="D77" s="81" t="s">
        <v>118</v>
      </c>
      <c r="E77" s="81" t="s">
        <v>138</v>
      </c>
      <c r="F77" s="705" t="s">
        <v>140</v>
      </c>
      <c r="G77" s="706" t="s">
        <v>94</v>
      </c>
      <c r="H77" s="706" t="s">
        <v>95</v>
      </c>
      <c r="I77" s="707" t="s">
        <v>96</v>
      </c>
      <c r="J77" s="81"/>
      <c r="K77" s="550">
        <f t="shared" si="13"/>
        <v>6498.1166799999992</v>
      </c>
      <c r="L77" s="93">
        <f t="shared" si="13"/>
        <v>0</v>
      </c>
      <c r="M77" s="93">
        <f t="shared" si="13"/>
        <v>6498.1166799999992</v>
      </c>
    </row>
    <row r="78" spans="1:13" s="95" customFormat="1" ht="60" customHeight="1">
      <c r="A78" s="82"/>
      <c r="B78" s="99" t="s">
        <v>141</v>
      </c>
      <c r="C78" s="92" t="s">
        <v>12</v>
      </c>
      <c r="D78" s="81" t="s">
        <v>118</v>
      </c>
      <c r="E78" s="81" t="s">
        <v>138</v>
      </c>
      <c r="F78" s="705" t="s">
        <v>140</v>
      </c>
      <c r="G78" s="706" t="s">
        <v>97</v>
      </c>
      <c r="H78" s="706" t="s">
        <v>95</v>
      </c>
      <c r="I78" s="707" t="s">
        <v>96</v>
      </c>
      <c r="J78" s="81"/>
      <c r="K78" s="550">
        <f t="shared" si="13"/>
        <v>6498.1166799999992</v>
      </c>
      <c r="L78" s="93">
        <f t="shared" si="13"/>
        <v>0</v>
      </c>
      <c r="M78" s="93">
        <f t="shared" si="13"/>
        <v>6498.1166799999992</v>
      </c>
    </row>
    <row r="79" spans="1:13" s="95" customFormat="1" ht="79.5" customHeight="1">
      <c r="A79" s="82"/>
      <c r="B79" s="91" t="s">
        <v>142</v>
      </c>
      <c r="C79" s="92" t="s">
        <v>12</v>
      </c>
      <c r="D79" s="81" t="s">
        <v>118</v>
      </c>
      <c r="E79" s="81" t="s">
        <v>138</v>
      </c>
      <c r="F79" s="705" t="s">
        <v>140</v>
      </c>
      <c r="G79" s="706" t="s">
        <v>97</v>
      </c>
      <c r="H79" s="706" t="s">
        <v>89</v>
      </c>
      <c r="I79" s="707" t="s">
        <v>96</v>
      </c>
      <c r="J79" s="81"/>
      <c r="K79" s="550">
        <f>K80+K82+K84+K86+K88</f>
        <v>6498.1166799999992</v>
      </c>
      <c r="L79" s="93">
        <f>L80+L82+L84+L86+L88</f>
        <v>0</v>
      </c>
      <c r="M79" s="93">
        <f>M80+M82+M84+M86+M88</f>
        <v>6498.1166799999992</v>
      </c>
    </row>
    <row r="80" spans="1:13" s="95" customFormat="1" ht="77.25" customHeight="1">
      <c r="A80" s="82"/>
      <c r="B80" s="99" t="s">
        <v>143</v>
      </c>
      <c r="C80" s="92" t="s">
        <v>12</v>
      </c>
      <c r="D80" s="81" t="s">
        <v>118</v>
      </c>
      <c r="E80" s="81" t="s">
        <v>138</v>
      </c>
      <c r="F80" s="705" t="s">
        <v>140</v>
      </c>
      <c r="G80" s="706" t="s">
        <v>97</v>
      </c>
      <c r="H80" s="706" t="s">
        <v>89</v>
      </c>
      <c r="I80" s="707" t="s">
        <v>144</v>
      </c>
      <c r="J80" s="81"/>
      <c r="K80" s="550">
        <f>K81</f>
        <v>1353.6766799999998</v>
      </c>
      <c r="L80" s="93">
        <f>L81</f>
        <v>0</v>
      </c>
      <c r="M80" s="93">
        <f>M81</f>
        <v>1353.6766799999998</v>
      </c>
    </row>
    <row r="81" spans="1:13" s="95" customFormat="1" ht="60" customHeight="1">
      <c r="A81" s="82"/>
      <c r="B81" s="463" t="s">
        <v>107</v>
      </c>
      <c r="C81" s="92" t="s">
        <v>12</v>
      </c>
      <c r="D81" s="81" t="s">
        <v>118</v>
      </c>
      <c r="E81" s="81" t="s">
        <v>138</v>
      </c>
      <c r="F81" s="705" t="s">
        <v>140</v>
      </c>
      <c r="G81" s="706" t="s">
        <v>97</v>
      </c>
      <c r="H81" s="706" t="s">
        <v>89</v>
      </c>
      <c r="I81" s="707" t="s">
        <v>144</v>
      </c>
      <c r="J81" s="81" t="s">
        <v>108</v>
      </c>
      <c r="K81" s="550">
        <f>298.4+864.61668+189-188.94+190.6</f>
        <v>1353.6766799999998</v>
      </c>
      <c r="L81" s="93">
        <f>M81-K81</f>
        <v>0</v>
      </c>
      <c r="M81" s="93">
        <f>298.4+864.61668+189-188.94+190.6</f>
        <v>1353.6766799999998</v>
      </c>
    </row>
    <row r="82" spans="1:13" s="95" customFormat="1" ht="56.25">
      <c r="A82" s="82"/>
      <c r="B82" s="91" t="s">
        <v>145</v>
      </c>
      <c r="C82" s="92" t="s">
        <v>12</v>
      </c>
      <c r="D82" s="81" t="s">
        <v>118</v>
      </c>
      <c r="E82" s="81" t="s">
        <v>138</v>
      </c>
      <c r="F82" s="705" t="s">
        <v>140</v>
      </c>
      <c r="G82" s="706" t="s">
        <v>97</v>
      </c>
      <c r="H82" s="706" t="s">
        <v>89</v>
      </c>
      <c r="I82" s="707" t="s">
        <v>146</v>
      </c>
      <c r="J82" s="81"/>
      <c r="K82" s="550">
        <f>K83</f>
        <v>63.9</v>
      </c>
      <c r="L82" s="93">
        <f>L83</f>
        <v>0</v>
      </c>
      <c r="M82" s="93">
        <f>M83</f>
        <v>63.9</v>
      </c>
    </row>
    <row r="83" spans="1:13" s="95" customFormat="1" ht="55.9" customHeight="1">
      <c r="A83" s="82"/>
      <c r="B83" s="463" t="s">
        <v>107</v>
      </c>
      <c r="C83" s="92" t="s">
        <v>12</v>
      </c>
      <c r="D83" s="81" t="s">
        <v>118</v>
      </c>
      <c r="E83" s="81" t="s">
        <v>138</v>
      </c>
      <c r="F83" s="705" t="s">
        <v>140</v>
      </c>
      <c r="G83" s="706" t="s">
        <v>97</v>
      </c>
      <c r="H83" s="706" t="s">
        <v>89</v>
      </c>
      <c r="I83" s="707" t="s">
        <v>146</v>
      </c>
      <c r="J83" s="81" t="s">
        <v>108</v>
      </c>
      <c r="K83" s="550">
        <v>63.9</v>
      </c>
      <c r="L83" s="93">
        <f>M83-K83</f>
        <v>0</v>
      </c>
      <c r="M83" s="93">
        <v>63.9</v>
      </c>
    </row>
    <row r="84" spans="1:13" s="95" customFormat="1" ht="100.5" customHeight="1">
      <c r="A84" s="82"/>
      <c r="B84" s="91" t="s">
        <v>456</v>
      </c>
      <c r="C84" s="92" t="s">
        <v>12</v>
      </c>
      <c r="D84" s="81" t="s">
        <v>118</v>
      </c>
      <c r="E84" s="81" t="s">
        <v>138</v>
      </c>
      <c r="F84" s="705" t="s">
        <v>140</v>
      </c>
      <c r="G84" s="706" t="s">
        <v>97</v>
      </c>
      <c r="H84" s="706" t="s">
        <v>89</v>
      </c>
      <c r="I84" s="707" t="s">
        <v>436</v>
      </c>
      <c r="J84" s="81"/>
      <c r="K84" s="550">
        <f>K85</f>
        <v>2643.1</v>
      </c>
      <c r="L84" s="93">
        <f>L85</f>
        <v>0</v>
      </c>
      <c r="M84" s="93">
        <f>M85</f>
        <v>2643.1</v>
      </c>
    </row>
    <row r="85" spans="1:13" s="95" customFormat="1" ht="18.75">
      <c r="A85" s="82"/>
      <c r="B85" s="91" t="s">
        <v>185</v>
      </c>
      <c r="C85" s="92" t="s">
        <v>12</v>
      </c>
      <c r="D85" s="81" t="s">
        <v>118</v>
      </c>
      <c r="E85" s="81" t="s">
        <v>138</v>
      </c>
      <c r="F85" s="705" t="s">
        <v>140</v>
      </c>
      <c r="G85" s="706" t="s">
        <v>97</v>
      </c>
      <c r="H85" s="706" t="s">
        <v>89</v>
      </c>
      <c r="I85" s="707" t="s">
        <v>436</v>
      </c>
      <c r="J85" s="81" t="s">
        <v>186</v>
      </c>
      <c r="K85" s="550">
        <v>2643.1</v>
      </c>
      <c r="L85" s="93">
        <f>M85-K85</f>
        <v>0</v>
      </c>
      <c r="M85" s="93">
        <v>2643.1</v>
      </c>
    </row>
    <row r="86" spans="1:13" s="95" customFormat="1" ht="131.25">
      <c r="A86" s="82"/>
      <c r="B86" s="91" t="s">
        <v>459</v>
      </c>
      <c r="C86" s="92" t="s">
        <v>12</v>
      </c>
      <c r="D86" s="81" t="s">
        <v>118</v>
      </c>
      <c r="E86" s="81" t="s">
        <v>138</v>
      </c>
      <c r="F86" s="705" t="s">
        <v>140</v>
      </c>
      <c r="G86" s="706" t="s">
        <v>97</v>
      </c>
      <c r="H86" s="706" t="s">
        <v>89</v>
      </c>
      <c r="I86" s="707" t="s">
        <v>437</v>
      </c>
      <c r="J86" s="81"/>
      <c r="K86" s="550">
        <f>K87</f>
        <v>17.800000000000004</v>
      </c>
      <c r="L86" s="93">
        <f>L87</f>
        <v>0</v>
      </c>
      <c r="M86" s="93">
        <f>M87</f>
        <v>17.800000000000004</v>
      </c>
    </row>
    <row r="87" spans="1:13" s="95" customFormat="1" ht="18.75">
      <c r="A87" s="82"/>
      <c r="B87" s="91" t="s">
        <v>185</v>
      </c>
      <c r="C87" s="92" t="s">
        <v>12</v>
      </c>
      <c r="D87" s="81" t="s">
        <v>118</v>
      </c>
      <c r="E87" s="81" t="s">
        <v>138</v>
      </c>
      <c r="F87" s="705" t="s">
        <v>140</v>
      </c>
      <c r="G87" s="706" t="s">
        <v>97</v>
      </c>
      <c r="H87" s="706" t="s">
        <v>89</v>
      </c>
      <c r="I87" s="707" t="s">
        <v>437</v>
      </c>
      <c r="J87" s="81" t="s">
        <v>186</v>
      </c>
      <c r="K87" s="550">
        <f>36.2-18.4</f>
        <v>17.800000000000004</v>
      </c>
      <c r="L87" s="93">
        <f>M87-K87</f>
        <v>0</v>
      </c>
      <c r="M87" s="93">
        <f>36.2-18.4</f>
        <v>17.800000000000004</v>
      </c>
    </row>
    <row r="88" spans="1:13" s="95" customFormat="1" ht="37.5">
      <c r="A88" s="82"/>
      <c r="B88" s="91" t="s">
        <v>713</v>
      </c>
      <c r="C88" s="92" t="s">
        <v>12</v>
      </c>
      <c r="D88" s="81" t="s">
        <v>118</v>
      </c>
      <c r="E88" s="81" t="s">
        <v>138</v>
      </c>
      <c r="F88" s="705" t="s">
        <v>140</v>
      </c>
      <c r="G88" s="706" t="s">
        <v>97</v>
      </c>
      <c r="H88" s="706" t="s">
        <v>89</v>
      </c>
      <c r="I88" s="707" t="s">
        <v>711</v>
      </c>
      <c r="J88" s="81"/>
      <c r="K88" s="550">
        <f>K89</f>
        <v>2419.64</v>
      </c>
      <c r="L88" s="93">
        <f>L89</f>
        <v>0</v>
      </c>
      <c r="M88" s="93">
        <f>M89</f>
        <v>2419.64</v>
      </c>
    </row>
    <row r="89" spans="1:13" s="95" customFormat="1" ht="60.6" customHeight="1">
      <c r="A89" s="82"/>
      <c r="B89" s="463" t="s">
        <v>107</v>
      </c>
      <c r="C89" s="92" t="s">
        <v>12</v>
      </c>
      <c r="D89" s="81" t="s">
        <v>118</v>
      </c>
      <c r="E89" s="81" t="s">
        <v>138</v>
      </c>
      <c r="F89" s="705" t="s">
        <v>140</v>
      </c>
      <c r="G89" s="706" t="s">
        <v>97</v>
      </c>
      <c r="H89" s="706" t="s">
        <v>89</v>
      </c>
      <c r="I89" s="707" t="s">
        <v>711</v>
      </c>
      <c r="J89" s="81" t="s">
        <v>108</v>
      </c>
      <c r="K89" s="550">
        <f>1880.44+485+54.2</f>
        <v>2419.64</v>
      </c>
      <c r="L89" s="93">
        <f>M89-K89</f>
        <v>0</v>
      </c>
      <c r="M89" s="93">
        <f>1880.44+485+54.2</f>
        <v>2419.64</v>
      </c>
    </row>
    <row r="90" spans="1:13" s="95" customFormat="1" ht="56.25">
      <c r="A90" s="82"/>
      <c r="B90" s="98" t="s">
        <v>147</v>
      </c>
      <c r="C90" s="92" t="s">
        <v>12</v>
      </c>
      <c r="D90" s="81" t="s">
        <v>118</v>
      </c>
      <c r="E90" s="81" t="s">
        <v>148</v>
      </c>
      <c r="F90" s="705"/>
      <c r="G90" s="706"/>
      <c r="H90" s="706"/>
      <c r="I90" s="707"/>
      <c r="J90" s="81"/>
      <c r="K90" s="550">
        <f>K91</f>
        <v>9079.8639999999978</v>
      </c>
      <c r="L90" s="93">
        <f>L91</f>
        <v>0</v>
      </c>
      <c r="M90" s="93">
        <f>M91</f>
        <v>9079.8639999999978</v>
      </c>
    </row>
    <row r="91" spans="1:13" s="95" customFormat="1" ht="61.5" customHeight="1">
      <c r="A91" s="82"/>
      <c r="B91" s="91" t="s">
        <v>139</v>
      </c>
      <c r="C91" s="92" t="s">
        <v>12</v>
      </c>
      <c r="D91" s="81" t="s">
        <v>118</v>
      </c>
      <c r="E91" s="81" t="s">
        <v>148</v>
      </c>
      <c r="F91" s="705" t="s">
        <v>140</v>
      </c>
      <c r="G91" s="706" t="s">
        <v>94</v>
      </c>
      <c r="H91" s="706" t="s">
        <v>95</v>
      </c>
      <c r="I91" s="707" t="s">
        <v>96</v>
      </c>
      <c r="J91" s="81"/>
      <c r="K91" s="550">
        <f>K92+K101+K110</f>
        <v>9079.8639999999978</v>
      </c>
      <c r="L91" s="93">
        <f>L92+L101+L110</f>
        <v>0</v>
      </c>
      <c r="M91" s="93">
        <f>M92+M101+M110</f>
        <v>9079.8639999999978</v>
      </c>
    </row>
    <row r="92" spans="1:13" s="95" customFormat="1" ht="37.5">
      <c r="A92" s="82"/>
      <c r="B92" s="98" t="s">
        <v>187</v>
      </c>
      <c r="C92" s="92" t="s">
        <v>12</v>
      </c>
      <c r="D92" s="81" t="s">
        <v>118</v>
      </c>
      <c r="E92" s="81" t="s">
        <v>148</v>
      </c>
      <c r="F92" s="705" t="s">
        <v>140</v>
      </c>
      <c r="G92" s="706" t="s">
        <v>149</v>
      </c>
      <c r="H92" s="706" t="s">
        <v>95</v>
      </c>
      <c r="I92" s="707" t="s">
        <v>96</v>
      </c>
      <c r="J92" s="81"/>
      <c r="K92" s="550">
        <f>K98+K93</f>
        <v>380.31</v>
      </c>
      <c r="L92" s="93">
        <f>L98+L93</f>
        <v>0</v>
      </c>
      <c r="M92" s="93">
        <f>M98+M93</f>
        <v>380.31</v>
      </c>
    </row>
    <row r="93" spans="1:13" s="95" customFormat="1" ht="40.5" customHeight="1">
      <c r="A93" s="82"/>
      <c r="B93" s="98" t="s">
        <v>349</v>
      </c>
      <c r="C93" s="92" t="s">
        <v>12</v>
      </c>
      <c r="D93" s="81" t="s">
        <v>118</v>
      </c>
      <c r="E93" s="81" t="s">
        <v>148</v>
      </c>
      <c r="F93" s="705" t="s">
        <v>140</v>
      </c>
      <c r="G93" s="706" t="s">
        <v>149</v>
      </c>
      <c r="H93" s="706" t="s">
        <v>89</v>
      </c>
      <c r="I93" s="707" t="s">
        <v>96</v>
      </c>
      <c r="J93" s="81"/>
      <c r="K93" s="550">
        <f>K96+K94</f>
        <v>166.5</v>
      </c>
      <c r="L93" s="93">
        <f>L96+L94</f>
        <v>0</v>
      </c>
      <c r="M93" s="93">
        <f>M96+M94</f>
        <v>166.5</v>
      </c>
    </row>
    <row r="94" spans="1:13" s="95" customFormat="1" ht="37.5">
      <c r="A94" s="82"/>
      <c r="B94" s="96" t="s">
        <v>189</v>
      </c>
      <c r="C94" s="92" t="s">
        <v>12</v>
      </c>
      <c r="D94" s="81" t="s">
        <v>118</v>
      </c>
      <c r="E94" s="81" t="s">
        <v>148</v>
      </c>
      <c r="F94" s="705" t="s">
        <v>140</v>
      </c>
      <c r="G94" s="706" t="s">
        <v>149</v>
      </c>
      <c r="H94" s="706" t="s">
        <v>89</v>
      </c>
      <c r="I94" s="707" t="s">
        <v>151</v>
      </c>
      <c r="J94" s="81"/>
      <c r="K94" s="550">
        <f>K95</f>
        <v>20.100000000000001</v>
      </c>
      <c r="L94" s="93">
        <f>L95</f>
        <v>0</v>
      </c>
      <c r="M94" s="93">
        <f>M95</f>
        <v>20.100000000000001</v>
      </c>
    </row>
    <row r="95" spans="1:13" s="95" customFormat="1" ht="53.45" customHeight="1">
      <c r="A95" s="82"/>
      <c r="B95" s="463" t="s">
        <v>107</v>
      </c>
      <c r="C95" s="92" t="s">
        <v>12</v>
      </c>
      <c r="D95" s="81" t="s">
        <v>118</v>
      </c>
      <c r="E95" s="81" t="s">
        <v>148</v>
      </c>
      <c r="F95" s="705" t="s">
        <v>140</v>
      </c>
      <c r="G95" s="706" t="s">
        <v>149</v>
      </c>
      <c r="H95" s="706" t="s">
        <v>89</v>
      </c>
      <c r="I95" s="707" t="s">
        <v>151</v>
      </c>
      <c r="J95" s="81" t="s">
        <v>108</v>
      </c>
      <c r="K95" s="550">
        <v>20.100000000000001</v>
      </c>
      <c r="L95" s="93">
        <f>M95-K95</f>
        <v>0</v>
      </c>
      <c r="M95" s="93">
        <v>20.100000000000001</v>
      </c>
    </row>
    <row r="96" spans="1:13" s="95" customFormat="1" ht="112.5">
      <c r="A96" s="82"/>
      <c r="B96" s="98" t="s">
        <v>457</v>
      </c>
      <c r="C96" s="92" t="s">
        <v>12</v>
      </c>
      <c r="D96" s="81" t="s">
        <v>118</v>
      </c>
      <c r="E96" s="81" t="s">
        <v>148</v>
      </c>
      <c r="F96" s="705" t="s">
        <v>140</v>
      </c>
      <c r="G96" s="706" t="s">
        <v>149</v>
      </c>
      <c r="H96" s="706" t="s">
        <v>89</v>
      </c>
      <c r="I96" s="707" t="s">
        <v>438</v>
      </c>
      <c r="J96" s="81"/>
      <c r="K96" s="550">
        <f>K97</f>
        <v>146.4</v>
      </c>
      <c r="L96" s="93">
        <f>L97</f>
        <v>0</v>
      </c>
      <c r="M96" s="93">
        <f>M97</f>
        <v>146.4</v>
      </c>
    </row>
    <row r="97" spans="1:13" s="95" customFormat="1" ht="18.75">
      <c r="A97" s="82"/>
      <c r="B97" s="98" t="s">
        <v>185</v>
      </c>
      <c r="C97" s="92" t="s">
        <v>12</v>
      </c>
      <c r="D97" s="81" t="s">
        <v>118</v>
      </c>
      <c r="E97" s="81" t="s">
        <v>148</v>
      </c>
      <c r="F97" s="705" t="s">
        <v>140</v>
      </c>
      <c r="G97" s="706" t="s">
        <v>149</v>
      </c>
      <c r="H97" s="706" t="s">
        <v>89</v>
      </c>
      <c r="I97" s="707" t="s">
        <v>438</v>
      </c>
      <c r="J97" s="81" t="s">
        <v>186</v>
      </c>
      <c r="K97" s="550">
        <f>177-30.6</f>
        <v>146.4</v>
      </c>
      <c r="L97" s="93">
        <f>M97-K97</f>
        <v>0</v>
      </c>
      <c r="M97" s="93">
        <f>177-30.6</f>
        <v>146.4</v>
      </c>
    </row>
    <row r="98" spans="1:13" s="95" customFormat="1" ht="56.25">
      <c r="A98" s="82"/>
      <c r="B98" s="96" t="s">
        <v>188</v>
      </c>
      <c r="C98" s="92" t="s">
        <v>12</v>
      </c>
      <c r="D98" s="81" t="s">
        <v>118</v>
      </c>
      <c r="E98" s="81" t="s">
        <v>148</v>
      </c>
      <c r="F98" s="705" t="s">
        <v>140</v>
      </c>
      <c r="G98" s="706" t="s">
        <v>149</v>
      </c>
      <c r="H98" s="706" t="s">
        <v>91</v>
      </c>
      <c r="I98" s="707" t="s">
        <v>96</v>
      </c>
      <c r="J98" s="81"/>
      <c r="K98" s="550">
        <f t="shared" ref="K98:M99" si="14">K99</f>
        <v>213.81</v>
      </c>
      <c r="L98" s="93">
        <f t="shared" si="14"/>
        <v>0</v>
      </c>
      <c r="M98" s="93">
        <f t="shared" si="14"/>
        <v>213.81</v>
      </c>
    </row>
    <row r="99" spans="1:13" s="95" customFormat="1" ht="37.5">
      <c r="A99" s="82"/>
      <c r="B99" s="96" t="s">
        <v>189</v>
      </c>
      <c r="C99" s="92" t="s">
        <v>12</v>
      </c>
      <c r="D99" s="81" t="s">
        <v>118</v>
      </c>
      <c r="E99" s="81" t="s">
        <v>148</v>
      </c>
      <c r="F99" s="705" t="s">
        <v>140</v>
      </c>
      <c r="G99" s="706" t="s">
        <v>149</v>
      </c>
      <c r="H99" s="706" t="s">
        <v>91</v>
      </c>
      <c r="I99" s="707" t="s">
        <v>151</v>
      </c>
      <c r="J99" s="81"/>
      <c r="K99" s="550">
        <f t="shared" si="14"/>
        <v>213.81</v>
      </c>
      <c r="L99" s="93">
        <f t="shared" si="14"/>
        <v>0</v>
      </c>
      <c r="M99" s="93">
        <f t="shared" si="14"/>
        <v>213.81</v>
      </c>
    </row>
    <row r="100" spans="1:13" s="95" customFormat="1" ht="53.45" customHeight="1">
      <c r="A100" s="82"/>
      <c r="B100" s="463" t="s">
        <v>107</v>
      </c>
      <c r="C100" s="92" t="s">
        <v>12</v>
      </c>
      <c r="D100" s="81" t="s">
        <v>118</v>
      </c>
      <c r="E100" s="81" t="s">
        <v>148</v>
      </c>
      <c r="F100" s="705" t="s">
        <v>140</v>
      </c>
      <c r="G100" s="706" t="s">
        <v>149</v>
      </c>
      <c r="H100" s="706" t="s">
        <v>91</v>
      </c>
      <c r="I100" s="707" t="s">
        <v>151</v>
      </c>
      <c r="J100" s="81" t="s">
        <v>108</v>
      </c>
      <c r="K100" s="550">
        <f>247-33.19</f>
        <v>213.81</v>
      </c>
      <c r="L100" s="93">
        <f>M100-K100</f>
        <v>0</v>
      </c>
      <c r="M100" s="93">
        <f>247-33.19</f>
        <v>213.81</v>
      </c>
    </row>
    <row r="101" spans="1:13" s="95" customFormat="1" ht="75">
      <c r="A101" s="82"/>
      <c r="B101" s="98" t="s">
        <v>519</v>
      </c>
      <c r="C101" s="92" t="s">
        <v>12</v>
      </c>
      <c r="D101" s="81" t="s">
        <v>118</v>
      </c>
      <c r="E101" s="81" t="s">
        <v>148</v>
      </c>
      <c r="F101" s="705" t="s">
        <v>140</v>
      </c>
      <c r="G101" s="706" t="s">
        <v>82</v>
      </c>
      <c r="H101" s="706" t="s">
        <v>95</v>
      </c>
      <c r="I101" s="707" t="s">
        <v>96</v>
      </c>
      <c r="J101" s="81"/>
      <c r="K101" s="550">
        <f>K102+K107</f>
        <v>8357.5539999999983</v>
      </c>
      <c r="L101" s="93">
        <f>L102+L107</f>
        <v>0</v>
      </c>
      <c r="M101" s="93">
        <f>M102+M107</f>
        <v>8357.5539999999983</v>
      </c>
    </row>
    <row r="102" spans="1:13" s="95" customFormat="1" ht="78.75" customHeight="1">
      <c r="A102" s="82"/>
      <c r="B102" s="96" t="s">
        <v>429</v>
      </c>
      <c r="C102" s="92" t="s">
        <v>12</v>
      </c>
      <c r="D102" s="81" t="s">
        <v>118</v>
      </c>
      <c r="E102" s="81" t="s">
        <v>148</v>
      </c>
      <c r="F102" s="705" t="s">
        <v>140</v>
      </c>
      <c r="G102" s="706" t="s">
        <v>82</v>
      </c>
      <c r="H102" s="706" t="s">
        <v>89</v>
      </c>
      <c r="I102" s="707" t="s">
        <v>96</v>
      </c>
      <c r="J102" s="81"/>
      <c r="K102" s="550">
        <f t="shared" ref="K102:M102" si="15">K103</f>
        <v>8271.753999999999</v>
      </c>
      <c r="L102" s="93">
        <f>L103</f>
        <v>0</v>
      </c>
      <c r="M102" s="93">
        <f t="shared" si="15"/>
        <v>8271.753999999999</v>
      </c>
    </row>
    <row r="103" spans="1:13" s="95" customFormat="1" ht="79.900000000000006" customHeight="1">
      <c r="A103" s="82"/>
      <c r="B103" s="464" t="s">
        <v>150</v>
      </c>
      <c r="C103" s="92" t="s">
        <v>12</v>
      </c>
      <c r="D103" s="81" t="s">
        <v>118</v>
      </c>
      <c r="E103" s="81" t="s">
        <v>148</v>
      </c>
      <c r="F103" s="705" t="s">
        <v>140</v>
      </c>
      <c r="G103" s="706" t="s">
        <v>82</v>
      </c>
      <c r="H103" s="706" t="s">
        <v>89</v>
      </c>
      <c r="I103" s="707" t="s">
        <v>152</v>
      </c>
      <c r="J103" s="81"/>
      <c r="K103" s="550">
        <f>K104+K105+K106</f>
        <v>8271.753999999999</v>
      </c>
      <c r="L103" s="93">
        <f>L104+L105+L106</f>
        <v>0</v>
      </c>
      <c r="M103" s="93">
        <f>M104+M105+M106</f>
        <v>8271.753999999999</v>
      </c>
    </row>
    <row r="104" spans="1:13" s="95" customFormat="1" ht="95.45" customHeight="1">
      <c r="A104" s="82"/>
      <c r="B104" s="463" t="s">
        <v>101</v>
      </c>
      <c r="C104" s="92" t="s">
        <v>12</v>
      </c>
      <c r="D104" s="81" t="s">
        <v>118</v>
      </c>
      <c r="E104" s="81" t="s">
        <v>148</v>
      </c>
      <c r="F104" s="705" t="s">
        <v>140</v>
      </c>
      <c r="G104" s="706" t="s">
        <v>82</v>
      </c>
      <c r="H104" s="706" t="s">
        <v>89</v>
      </c>
      <c r="I104" s="707" t="s">
        <v>152</v>
      </c>
      <c r="J104" s="81" t="s">
        <v>102</v>
      </c>
      <c r="K104" s="550">
        <f>6116.6+3.4+23.5</f>
        <v>6143.5</v>
      </c>
      <c r="L104" s="93">
        <f>M104-K104</f>
        <v>0</v>
      </c>
      <c r="M104" s="93">
        <f>6116.6+3.4+23.5</f>
        <v>6143.5</v>
      </c>
    </row>
    <row r="105" spans="1:13" s="95" customFormat="1" ht="58.15" customHeight="1">
      <c r="A105" s="82"/>
      <c r="B105" s="463" t="s">
        <v>107</v>
      </c>
      <c r="C105" s="92" t="s">
        <v>12</v>
      </c>
      <c r="D105" s="81" t="s">
        <v>118</v>
      </c>
      <c r="E105" s="81" t="s">
        <v>148</v>
      </c>
      <c r="F105" s="705" t="s">
        <v>140</v>
      </c>
      <c r="G105" s="706" t="s">
        <v>82</v>
      </c>
      <c r="H105" s="706" t="s">
        <v>89</v>
      </c>
      <c r="I105" s="707" t="s">
        <v>152</v>
      </c>
      <c r="J105" s="81" t="s">
        <v>108</v>
      </c>
      <c r="K105" s="550">
        <f>1002.7+62.4+0.754+66.6+885.5+10+62.9</f>
        <v>2090.8539999999998</v>
      </c>
      <c r="L105" s="93">
        <f>M105-K105</f>
        <v>0</v>
      </c>
      <c r="M105" s="93">
        <f>1002.7+62.4+0.754+66.6+885.5+10+62.9</f>
        <v>2090.8539999999998</v>
      </c>
    </row>
    <row r="106" spans="1:13" s="95" customFormat="1" ht="18.75">
      <c r="A106" s="82"/>
      <c r="B106" s="91" t="s">
        <v>109</v>
      </c>
      <c r="C106" s="92" t="s">
        <v>12</v>
      </c>
      <c r="D106" s="81" t="s">
        <v>118</v>
      </c>
      <c r="E106" s="81" t="s">
        <v>148</v>
      </c>
      <c r="F106" s="705" t="s">
        <v>140</v>
      </c>
      <c r="G106" s="706" t="s">
        <v>82</v>
      </c>
      <c r="H106" s="706" t="s">
        <v>89</v>
      </c>
      <c r="I106" s="707" t="s">
        <v>152</v>
      </c>
      <c r="J106" s="81" t="s">
        <v>110</v>
      </c>
      <c r="K106" s="550">
        <v>37.4</v>
      </c>
      <c r="L106" s="93">
        <f t="shared" ref="L106:L108" si="16">M106-K106</f>
        <v>0</v>
      </c>
      <c r="M106" s="93">
        <v>37.4</v>
      </c>
    </row>
    <row r="107" spans="1:13" s="95" customFormat="1" ht="37.5">
      <c r="A107" s="82"/>
      <c r="B107" s="100" t="s">
        <v>744</v>
      </c>
      <c r="C107" s="92" t="s">
        <v>12</v>
      </c>
      <c r="D107" s="81" t="s">
        <v>118</v>
      </c>
      <c r="E107" s="81" t="s">
        <v>148</v>
      </c>
      <c r="F107" s="705" t="s">
        <v>140</v>
      </c>
      <c r="G107" s="706" t="s">
        <v>82</v>
      </c>
      <c r="H107" s="706" t="s">
        <v>91</v>
      </c>
      <c r="I107" s="707" t="s">
        <v>96</v>
      </c>
      <c r="J107" s="81"/>
      <c r="K107" s="550">
        <f>K108</f>
        <v>85.8</v>
      </c>
      <c r="L107" s="93">
        <f t="shared" si="16"/>
        <v>0</v>
      </c>
      <c r="M107" s="93">
        <f>M108</f>
        <v>85.8</v>
      </c>
    </row>
    <row r="108" spans="1:13" s="95" customFormat="1" ht="56.25">
      <c r="A108" s="82"/>
      <c r="B108" s="100" t="s">
        <v>145</v>
      </c>
      <c r="C108" s="92" t="s">
        <v>12</v>
      </c>
      <c r="D108" s="81" t="s">
        <v>118</v>
      </c>
      <c r="E108" s="81" t="s">
        <v>148</v>
      </c>
      <c r="F108" s="705" t="s">
        <v>140</v>
      </c>
      <c r="G108" s="706" t="s">
        <v>82</v>
      </c>
      <c r="H108" s="706" t="s">
        <v>91</v>
      </c>
      <c r="I108" s="707" t="s">
        <v>146</v>
      </c>
      <c r="J108" s="81"/>
      <c r="K108" s="550">
        <f>K109</f>
        <v>85.8</v>
      </c>
      <c r="L108" s="93">
        <f t="shared" si="16"/>
        <v>0</v>
      </c>
      <c r="M108" s="93">
        <f>M109</f>
        <v>85.8</v>
      </c>
    </row>
    <row r="109" spans="1:13" s="95" customFormat="1" ht="53.45" customHeight="1">
      <c r="A109" s="82"/>
      <c r="B109" s="463" t="s">
        <v>107</v>
      </c>
      <c r="C109" s="92" t="s">
        <v>12</v>
      </c>
      <c r="D109" s="81" t="s">
        <v>118</v>
      </c>
      <c r="E109" s="81" t="s">
        <v>148</v>
      </c>
      <c r="F109" s="705" t="s">
        <v>140</v>
      </c>
      <c r="G109" s="706" t="s">
        <v>82</v>
      </c>
      <c r="H109" s="706" t="s">
        <v>91</v>
      </c>
      <c r="I109" s="707" t="s">
        <v>146</v>
      </c>
      <c r="J109" s="81" t="s">
        <v>108</v>
      </c>
      <c r="K109" s="550">
        <f>85.8</f>
        <v>85.8</v>
      </c>
      <c r="L109" s="93">
        <f>M109-K109</f>
        <v>0</v>
      </c>
      <c r="M109" s="93">
        <f>85.8</f>
        <v>85.8</v>
      </c>
    </row>
    <row r="110" spans="1:13" s="95" customFormat="1" ht="61.5" customHeight="1">
      <c r="A110" s="82"/>
      <c r="B110" s="333" t="s">
        <v>714</v>
      </c>
      <c r="C110" s="92" t="s">
        <v>12</v>
      </c>
      <c r="D110" s="81" t="s">
        <v>118</v>
      </c>
      <c r="E110" s="81" t="s">
        <v>148</v>
      </c>
      <c r="F110" s="705" t="s">
        <v>140</v>
      </c>
      <c r="G110" s="706" t="s">
        <v>83</v>
      </c>
      <c r="H110" s="706" t="s">
        <v>95</v>
      </c>
      <c r="I110" s="707" t="s">
        <v>96</v>
      </c>
      <c r="J110" s="81"/>
      <c r="K110" s="550">
        <f t="shared" ref="K110:M112" si="17">K111</f>
        <v>342</v>
      </c>
      <c r="L110" s="93">
        <f t="shared" si="17"/>
        <v>0</v>
      </c>
      <c r="M110" s="93">
        <f t="shared" si="17"/>
        <v>342</v>
      </c>
    </row>
    <row r="111" spans="1:13" s="95" customFormat="1" ht="75">
      <c r="A111" s="82"/>
      <c r="B111" s="334" t="s">
        <v>715</v>
      </c>
      <c r="C111" s="92" t="s">
        <v>12</v>
      </c>
      <c r="D111" s="81" t="s">
        <v>118</v>
      </c>
      <c r="E111" s="81" t="s">
        <v>148</v>
      </c>
      <c r="F111" s="705" t="s">
        <v>140</v>
      </c>
      <c r="G111" s="706" t="s">
        <v>83</v>
      </c>
      <c r="H111" s="706" t="s">
        <v>89</v>
      </c>
      <c r="I111" s="707" t="s">
        <v>96</v>
      </c>
      <c r="J111" s="81"/>
      <c r="K111" s="550">
        <f t="shared" si="17"/>
        <v>342</v>
      </c>
      <c r="L111" s="93">
        <f t="shared" si="17"/>
        <v>0</v>
      </c>
      <c r="M111" s="93">
        <f t="shared" si="17"/>
        <v>342</v>
      </c>
    </row>
    <row r="112" spans="1:13" s="95" customFormat="1" ht="56.25">
      <c r="A112" s="82"/>
      <c r="B112" s="91" t="s">
        <v>145</v>
      </c>
      <c r="C112" s="92" t="s">
        <v>12</v>
      </c>
      <c r="D112" s="81" t="s">
        <v>118</v>
      </c>
      <c r="E112" s="81" t="s">
        <v>148</v>
      </c>
      <c r="F112" s="705" t="s">
        <v>140</v>
      </c>
      <c r="G112" s="706" t="s">
        <v>83</v>
      </c>
      <c r="H112" s="706" t="s">
        <v>89</v>
      </c>
      <c r="I112" s="707" t="s">
        <v>146</v>
      </c>
      <c r="J112" s="81"/>
      <c r="K112" s="550">
        <f t="shared" si="17"/>
        <v>342</v>
      </c>
      <c r="L112" s="93">
        <f t="shared" si="17"/>
        <v>0</v>
      </c>
      <c r="M112" s="93">
        <f t="shared" si="17"/>
        <v>342</v>
      </c>
    </row>
    <row r="113" spans="1:13" s="95" customFormat="1" ht="54.6" customHeight="1">
      <c r="A113" s="82"/>
      <c r="B113" s="463" t="s">
        <v>107</v>
      </c>
      <c r="C113" s="92" t="s">
        <v>12</v>
      </c>
      <c r="D113" s="81" t="s">
        <v>118</v>
      </c>
      <c r="E113" s="81" t="s">
        <v>148</v>
      </c>
      <c r="F113" s="705" t="s">
        <v>140</v>
      </c>
      <c r="G113" s="706" t="s">
        <v>83</v>
      </c>
      <c r="H113" s="706" t="s">
        <v>89</v>
      </c>
      <c r="I113" s="707" t="s">
        <v>146</v>
      </c>
      <c r="J113" s="81" t="s">
        <v>108</v>
      </c>
      <c r="K113" s="550">
        <v>342</v>
      </c>
      <c r="L113" s="93">
        <f t="shared" ref="L113" si="18">M113-K113</f>
        <v>0</v>
      </c>
      <c r="M113" s="93">
        <v>342</v>
      </c>
    </row>
    <row r="114" spans="1:13" s="95" customFormat="1" ht="18.75">
      <c r="A114" s="82"/>
      <c r="B114" s="91" t="s">
        <v>153</v>
      </c>
      <c r="C114" s="92" t="s">
        <v>12</v>
      </c>
      <c r="D114" s="81" t="s">
        <v>104</v>
      </c>
      <c r="E114" s="81"/>
      <c r="F114" s="705"/>
      <c r="G114" s="706"/>
      <c r="H114" s="706"/>
      <c r="I114" s="707"/>
      <c r="J114" s="81"/>
      <c r="K114" s="550">
        <f t="shared" ref="K114" si="19">K115+K124+K132</f>
        <v>31541.629400000002</v>
      </c>
      <c r="L114" s="93">
        <f t="shared" ref="L114:M114" si="20">L115+L124+L132</f>
        <v>-328.7</v>
      </c>
      <c r="M114" s="93">
        <f t="shared" si="20"/>
        <v>31212.929400000001</v>
      </c>
    </row>
    <row r="115" spans="1:13" s="78" customFormat="1" ht="18.75">
      <c r="A115" s="82"/>
      <c r="B115" s="91" t="s">
        <v>154</v>
      </c>
      <c r="C115" s="92" t="s">
        <v>12</v>
      </c>
      <c r="D115" s="81" t="s">
        <v>104</v>
      </c>
      <c r="E115" s="81" t="s">
        <v>120</v>
      </c>
      <c r="F115" s="705"/>
      <c r="G115" s="706"/>
      <c r="H115" s="706"/>
      <c r="I115" s="707"/>
      <c r="J115" s="81"/>
      <c r="K115" s="550">
        <f t="shared" ref="K115:M116" si="21">K116</f>
        <v>17441.2</v>
      </c>
      <c r="L115" s="93">
        <f t="shared" si="21"/>
        <v>0</v>
      </c>
      <c r="M115" s="93">
        <f t="shared" si="21"/>
        <v>17441.2</v>
      </c>
    </row>
    <row r="116" spans="1:13" s="95" customFormat="1" ht="62.25" customHeight="1">
      <c r="A116" s="82"/>
      <c r="B116" s="91" t="s">
        <v>155</v>
      </c>
      <c r="C116" s="92" t="s">
        <v>12</v>
      </c>
      <c r="D116" s="81" t="s">
        <v>104</v>
      </c>
      <c r="E116" s="81" t="s">
        <v>120</v>
      </c>
      <c r="F116" s="705" t="s">
        <v>122</v>
      </c>
      <c r="G116" s="706" t="s">
        <v>94</v>
      </c>
      <c r="H116" s="706" t="s">
        <v>95</v>
      </c>
      <c r="I116" s="707" t="s">
        <v>96</v>
      </c>
      <c r="J116" s="81"/>
      <c r="K116" s="550">
        <f t="shared" si="21"/>
        <v>17441.2</v>
      </c>
      <c r="L116" s="93">
        <f t="shared" si="21"/>
        <v>0</v>
      </c>
      <c r="M116" s="93">
        <f t="shared" si="21"/>
        <v>17441.2</v>
      </c>
    </row>
    <row r="117" spans="1:13" s="78" customFormat="1" ht="37.5">
      <c r="A117" s="82"/>
      <c r="B117" s="91" t="s">
        <v>455</v>
      </c>
      <c r="C117" s="92" t="s">
        <v>12</v>
      </c>
      <c r="D117" s="81" t="s">
        <v>104</v>
      </c>
      <c r="E117" s="81" t="s">
        <v>120</v>
      </c>
      <c r="F117" s="705" t="s">
        <v>122</v>
      </c>
      <c r="G117" s="706" t="s">
        <v>97</v>
      </c>
      <c r="H117" s="706" t="s">
        <v>95</v>
      </c>
      <c r="I117" s="707" t="s">
        <v>96</v>
      </c>
      <c r="J117" s="81"/>
      <c r="K117" s="550">
        <f>K118+K121</f>
        <v>17441.2</v>
      </c>
      <c r="L117" s="93">
        <f>L118+L121</f>
        <v>0</v>
      </c>
      <c r="M117" s="93">
        <f>M118+M121</f>
        <v>17441.2</v>
      </c>
    </row>
    <row r="118" spans="1:13" s="78" customFormat="1" ht="56.25">
      <c r="A118" s="82"/>
      <c r="B118" s="91" t="s">
        <v>156</v>
      </c>
      <c r="C118" s="92" t="s">
        <v>12</v>
      </c>
      <c r="D118" s="81" t="s">
        <v>104</v>
      </c>
      <c r="E118" s="81" t="s">
        <v>120</v>
      </c>
      <c r="F118" s="705" t="s">
        <v>122</v>
      </c>
      <c r="G118" s="706" t="s">
        <v>97</v>
      </c>
      <c r="H118" s="706" t="s">
        <v>89</v>
      </c>
      <c r="I118" s="707" t="s">
        <v>96</v>
      </c>
      <c r="J118" s="81"/>
      <c r="K118" s="550">
        <f t="shared" ref="K118:M119" si="22">K119</f>
        <v>17261</v>
      </c>
      <c r="L118" s="93">
        <f t="shared" si="22"/>
        <v>0</v>
      </c>
      <c r="M118" s="93">
        <f t="shared" si="22"/>
        <v>17261</v>
      </c>
    </row>
    <row r="119" spans="1:13" s="78" customFormat="1" ht="18.75">
      <c r="A119" s="82"/>
      <c r="B119" s="91" t="s">
        <v>543</v>
      </c>
      <c r="C119" s="92" t="s">
        <v>12</v>
      </c>
      <c r="D119" s="81" t="s">
        <v>104</v>
      </c>
      <c r="E119" s="81" t="s">
        <v>120</v>
      </c>
      <c r="F119" s="705" t="s">
        <v>122</v>
      </c>
      <c r="G119" s="706" t="s">
        <v>97</v>
      </c>
      <c r="H119" s="706" t="s">
        <v>89</v>
      </c>
      <c r="I119" s="707" t="s">
        <v>157</v>
      </c>
      <c r="J119" s="81"/>
      <c r="K119" s="550">
        <f t="shared" si="22"/>
        <v>17261</v>
      </c>
      <c r="L119" s="93">
        <f t="shared" si="22"/>
        <v>0</v>
      </c>
      <c r="M119" s="93">
        <f t="shared" si="22"/>
        <v>17261</v>
      </c>
    </row>
    <row r="120" spans="1:13" s="95" customFormat="1" ht="18.75">
      <c r="A120" s="82"/>
      <c r="B120" s="91" t="s">
        <v>109</v>
      </c>
      <c r="C120" s="92" t="s">
        <v>12</v>
      </c>
      <c r="D120" s="81" t="s">
        <v>104</v>
      </c>
      <c r="E120" s="81" t="s">
        <v>120</v>
      </c>
      <c r="F120" s="705" t="s">
        <v>122</v>
      </c>
      <c r="G120" s="706" t="s">
        <v>97</v>
      </c>
      <c r="H120" s="706" t="s">
        <v>89</v>
      </c>
      <c r="I120" s="707" t="s">
        <v>157</v>
      </c>
      <c r="J120" s="81" t="s">
        <v>110</v>
      </c>
      <c r="K120" s="550">
        <f>11860+5401</f>
        <v>17261</v>
      </c>
      <c r="L120" s="93">
        <f>M120-K120</f>
        <v>0</v>
      </c>
      <c r="M120" s="93">
        <f>11860+5401</f>
        <v>17261</v>
      </c>
    </row>
    <row r="121" spans="1:13" s="78" customFormat="1" ht="60" customHeight="1">
      <c r="A121" s="82"/>
      <c r="B121" s="91" t="s">
        <v>158</v>
      </c>
      <c r="C121" s="92" t="s">
        <v>12</v>
      </c>
      <c r="D121" s="81" t="s">
        <v>104</v>
      </c>
      <c r="E121" s="81" t="s">
        <v>120</v>
      </c>
      <c r="F121" s="705" t="s">
        <v>122</v>
      </c>
      <c r="G121" s="706" t="s">
        <v>97</v>
      </c>
      <c r="H121" s="706" t="s">
        <v>91</v>
      </c>
      <c r="I121" s="707" t="s">
        <v>96</v>
      </c>
      <c r="J121" s="81"/>
      <c r="K121" s="550">
        <f t="shared" ref="K121:M122" si="23">K122</f>
        <v>180.2</v>
      </c>
      <c r="L121" s="93">
        <f t="shared" si="23"/>
        <v>0</v>
      </c>
      <c r="M121" s="93">
        <f t="shared" si="23"/>
        <v>180.2</v>
      </c>
    </row>
    <row r="122" spans="1:13" s="78" customFormat="1" ht="178.5" customHeight="1">
      <c r="A122" s="82"/>
      <c r="B122" s="91" t="s">
        <v>553</v>
      </c>
      <c r="C122" s="92" t="s">
        <v>12</v>
      </c>
      <c r="D122" s="81" t="s">
        <v>104</v>
      </c>
      <c r="E122" s="81" t="s">
        <v>120</v>
      </c>
      <c r="F122" s="705" t="s">
        <v>122</v>
      </c>
      <c r="G122" s="706" t="s">
        <v>97</v>
      </c>
      <c r="H122" s="706" t="s">
        <v>91</v>
      </c>
      <c r="I122" s="707" t="s">
        <v>159</v>
      </c>
      <c r="J122" s="81"/>
      <c r="K122" s="550">
        <f t="shared" si="23"/>
        <v>180.2</v>
      </c>
      <c r="L122" s="93">
        <f t="shared" si="23"/>
        <v>0</v>
      </c>
      <c r="M122" s="93">
        <f t="shared" si="23"/>
        <v>180.2</v>
      </c>
    </row>
    <row r="123" spans="1:13" s="95" customFormat="1" ht="55.15" customHeight="1">
      <c r="A123" s="82"/>
      <c r="B123" s="463" t="s">
        <v>107</v>
      </c>
      <c r="C123" s="92" t="s">
        <v>12</v>
      </c>
      <c r="D123" s="81" t="s">
        <v>104</v>
      </c>
      <c r="E123" s="81" t="s">
        <v>120</v>
      </c>
      <c r="F123" s="705" t="s">
        <v>122</v>
      </c>
      <c r="G123" s="706" t="s">
        <v>97</v>
      </c>
      <c r="H123" s="706" t="s">
        <v>91</v>
      </c>
      <c r="I123" s="707" t="s">
        <v>159</v>
      </c>
      <c r="J123" s="81" t="s">
        <v>108</v>
      </c>
      <c r="K123" s="550">
        <f>98.5+81.7</f>
        <v>180.2</v>
      </c>
      <c r="L123" s="93">
        <f>M123-K123</f>
        <v>0</v>
      </c>
      <c r="M123" s="93">
        <f>98.5+81.7</f>
        <v>180.2</v>
      </c>
    </row>
    <row r="124" spans="1:13" s="78" customFormat="1" ht="18.75">
      <c r="A124" s="82"/>
      <c r="B124" s="98" t="s">
        <v>160</v>
      </c>
      <c r="C124" s="92" t="s">
        <v>12</v>
      </c>
      <c r="D124" s="81" t="s">
        <v>104</v>
      </c>
      <c r="E124" s="81" t="s">
        <v>138</v>
      </c>
      <c r="F124" s="705"/>
      <c r="G124" s="706"/>
      <c r="H124" s="706"/>
      <c r="I124" s="707"/>
      <c r="J124" s="81"/>
      <c r="K124" s="550">
        <f t="shared" ref="K124:M128" si="24">K125</f>
        <v>5673.0294000000004</v>
      </c>
      <c r="L124" s="93">
        <f t="shared" si="24"/>
        <v>0</v>
      </c>
      <c r="M124" s="93">
        <f t="shared" si="24"/>
        <v>5673.0294000000004</v>
      </c>
    </row>
    <row r="125" spans="1:13" s="95" customFormat="1" ht="56.25">
      <c r="A125" s="82"/>
      <c r="B125" s="91" t="s">
        <v>161</v>
      </c>
      <c r="C125" s="92" t="s">
        <v>12</v>
      </c>
      <c r="D125" s="81" t="s">
        <v>104</v>
      </c>
      <c r="E125" s="81" t="s">
        <v>138</v>
      </c>
      <c r="F125" s="705" t="s">
        <v>162</v>
      </c>
      <c r="G125" s="706" t="s">
        <v>94</v>
      </c>
      <c r="H125" s="706" t="s">
        <v>95</v>
      </c>
      <c r="I125" s="707" t="s">
        <v>96</v>
      </c>
      <c r="J125" s="81"/>
      <c r="K125" s="550">
        <f t="shared" si="24"/>
        <v>5673.0294000000004</v>
      </c>
      <c r="L125" s="93">
        <f t="shared" si="24"/>
        <v>0</v>
      </c>
      <c r="M125" s="93">
        <f t="shared" si="24"/>
        <v>5673.0294000000004</v>
      </c>
    </row>
    <row r="126" spans="1:13" s="78" customFormat="1" ht="37.5">
      <c r="A126" s="82"/>
      <c r="B126" s="91" t="s">
        <v>455</v>
      </c>
      <c r="C126" s="92" t="s">
        <v>12</v>
      </c>
      <c r="D126" s="81" t="s">
        <v>104</v>
      </c>
      <c r="E126" s="81" t="s">
        <v>138</v>
      </c>
      <c r="F126" s="705" t="s">
        <v>162</v>
      </c>
      <c r="G126" s="706" t="s">
        <v>97</v>
      </c>
      <c r="H126" s="706" t="s">
        <v>95</v>
      </c>
      <c r="I126" s="707" t="s">
        <v>96</v>
      </c>
      <c r="J126" s="81"/>
      <c r="K126" s="550">
        <f t="shared" si="24"/>
        <v>5673.0294000000004</v>
      </c>
      <c r="L126" s="93">
        <f t="shared" si="24"/>
        <v>0</v>
      </c>
      <c r="M126" s="93">
        <f t="shared" si="24"/>
        <v>5673.0294000000004</v>
      </c>
    </row>
    <row r="127" spans="1:13" s="78" customFormat="1" ht="93.75">
      <c r="A127" s="82"/>
      <c r="B127" s="91" t="s">
        <v>163</v>
      </c>
      <c r="C127" s="92" t="s">
        <v>12</v>
      </c>
      <c r="D127" s="81" t="s">
        <v>104</v>
      </c>
      <c r="E127" s="81" t="s">
        <v>138</v>
      </c>
      <c r="F127" s="705" t="s">
        <v>162</v>
      </c>
      <c r="G127" s="706" t="s">
        <v>97</v>
      </c>
      <c r="H127" s="706" t="s">
        <v>89</v>
      </c>
      <c r="I127" s="707" t="s">
        <v>96</v>
      </c>
      <c r="J127" s="81"/>
      <c r="K127" s="550">
        <f>K128+K130</f>
        <v>5673.0294000000004</v>
      </c>
      <c r="L127" s="93">
        <f>L128+L130</f>
        <v>0</v>
      </c>
      <c r="M127" s="93">
        <f>M128+M130</f>
        <v>5673.0294000000004</v>
      </c>
    </row>
    <row r="128" spans="1:13" s="78" customFormat="1" ht="93.75">
      <c r="A128" s="82"/>
      <c r="B128" s="99" t="s">
        <v>164</v>
      </c>
      <c r="C128" s="92" t="s">
        <v>12</v>
      </c>
      <c r="D128" s="81" t="s">
        <v>104</v>
      </c>
      <c r="E128" s="81" t="s">
        <v>138</v>
      </c>
      <c r="F128" s="705" t="s">
        <v>162</v>
      </c>
      <c r="G128" s="706" t="s">
        <v>97</v>
      </c>
      <c r="H128" s="706" t="s">
        <v>89</v>
      </c>
      <c r="I128" s="707" t="s">
        <v>165</v>
      </c>
      <c r="J128" s="81"/>
      <c r="K128" s="550">
        <f t="shared" si="24"/>
        <v>4419.3294000000005</v>
      </c>
      <c r="L128" s="93">
        <f>L129</f>
        <v>0</v>
      </c>
      <c r="M128" s="93">
        <f t="shared" si="24"/>
        <v>4419.3294000000005</v>
      </c>
    </row>
    <row r="129" spans="1:13" s="95" customFormat="1" ht="53.45" customHeight="1">
      <c r="A129" s="82"/>
      <c r="B129" s="463" t="s">
        <v>107</v>
      </c>
      <c r="C129" s="92" t="s">
        <v>12</v>
      </c>
      <c r="D129" s="81" t="s">
        <v>104</v>
      </c>
      <c r="E129" s="81" t="s">
        <v>138</v>
      </c>
      <c r="F129" s="705" t="s">
        <v>162</v>
      </c>
      <c r="G129" s="706" t="s">
        <v>97</v>
      </c>
      <c r="H129" s="706" t="s">
        <v>89</v>
      </c>
      <c r="I129" s="707" t="s">
        <v>165</v>
      </c>
      <c r="J129" s="81" t="s">
        <v>108</v>
      </c>
      <c r="K129" s="550">
        <f>4108.3+141.015+1423.7144-1253.7</f>
        <v>4419.3294000000005</v>
      </c>
      <c r="L129" s="93">
        <f>M129-K129</f>
        <v>0</v>
      </c>
      <c r="M129" s="93">
        <f>4108.3+141.015+1423.7144-1253.7</f>
        <v>4419.3294000000005</v>
      </c>
    </row>
    <row r="130" spans="1:13" s="95" customFormat="1" ht="93.75">
      <c r="A130" s="82"/>
      <c r="B130" s="91" t="s">
        <v>748</v>
      </c>
      <c r="C130" s="92" t="s">
        <v>12</v>
      </c>
      <c r="D130" s="81" t="s">
        <v>104</v>
      </c>
      <c r="E130" s="81" t="s">
        <v>138</v>
      </c>
      <c r="F130" s="705" t="s">
        <v>162</v>
      </c>
      <c r="G130" s="706" t="s">
        <v>97</v>
      </c>
      <c r="H130" s="706" t="s">
        <v>89</v>
      </c>
      <c r="I130" s="707" t="s">
        <v>747</v>
      </c>
      <c r="J130" s="81"/>
      <c r="K130" s="550">
        <f>K131</f>
        <v>1253.7</v>
      </c>
      <c r="L130" s="93">
        <f>L131</f>
        <v>0</v>
      </c>
      <c r="M130" s="93">
        <f>M131</f>
        <v>1253.7</v>
      </c>
    </row>
    <row r="131" spans="1:13" s="95" customFormat="1" ht="54" customHeight="1">
      <c r="A131" s="82"/>
      <c r="B131" s="463" t="s">
        <v>107</v>
      </c>
      <c r="C131" s="92" t="s">
        <v>12</v>
      </c>
      <c r="D131" s="81" t="s">
        <v>104</v>
      </c>
      <c r="E131" s="81" t="s">
        <v>138</v>
      </c>
      <c r="F131" s="705" t="s">
        <v>162</v>
      </c>
      <c r="G131" s="706" t="s">
        <v>97</v>
      </c>
      <c r="H131" s="706" t="s">
        <v>89</v>
      </c>
      <c r="I131" s="707" t="s">
        <v>747</v>
      </c>
      <c r="J131" s="81" t="s">
        <v>108</v>
      </c>
      <c r="K131" s="550">
        <v>1253.7</v>
      </c>
      <c r="L131" s="93">
        <f>M131-K131</f>
        <v>0</v>
      </c>
      <c r="M131" s="93">
        <v>1253.7</v>
      </c>
    </row>
    <row r="132" spans="1:13" s="78" customFormat="1" ht="37.5">
      <c r="A132" s="82"/>
      <c r="B132" s="98" t="s">
        <v>168</v>
      </c>
      <c r="C132" s="92" t="s">
        <v>12</v>
      </c>
      <c r="D132" s="81" t="s">
        <v>104</v>
      </c>
      <c r="E132" s="81" t="s">
        <v>162</v>
      </c>
      <c r="F132" s="705"/>
      <c r="G132" s="706"/>
      <c r="H132" s="706"/>
      <c r="I132" s="707"/>
      <c r="J132" s="81"/>
      <c r="K132" s="550">
        <f t="shared" ref="K132" si="25">K133+K142+K149</f>
        <v>8427.4000000000015</v>
      </c>
      <c r="L132" s="93">
        <f>L133+L142+L149</f>
        <v>-328.7</v>
      </c>
      <c r="M132" s="93">
        <f t="shared" ref="M132" si="26">M133+M142+M149</f>
        <v>8098.7</v>
      </c>
    </row>
    <row r="133" spans="1:13" s="95" customFormat="1" ht="75">
      <c r="A133" s="82"/>
      <c r="B133" s="91" t="s">
        <v>169</v>
      </c>
      <c r="C133" s="92" t="s">
        <v>12</v>
      </c>
      <c r="D133" s="81" t="s">
        <v>104</v>
      </c>
      <c r="E133" s="81" t="s">
        <v>162</v>
      </c>
      <c r="F133" s="705" t="s">
        <v>129</v>
      </c>
      <c r="G133" s="706" t="s">
        <v>94</v>
      </c>
      <c r="H133" s="706" t="s">
        <v>95</v>
      </c>
      <c r="I133" s="707" t="s">
        <v>96</v>
      </c>
      <c r="J133" s="81"/>
      <c r="K133" s="550">
        <f t="shared" ref="K133" si="27">K134+K138</f>
        <v>1157.8</v>
      </c>
      <c r="L133" s="93">
        <f t="shared" ref="L133:M133" si="28">L134+L138</f>
        <v>0</v>
      </c>
      <c r="M133" s="93">
        <f t="shared" si="28"/>
        <v>1157.8</v>
      </c>
    </row>
    <row r="134" spans="1:13" s="95" customFormat="1" ht="56.25">
      <c r="A134" s="82"/>
      <c r="B134" s="98" t="s">
        <v>170</v>
      </c>
      <c r="C134" s="92" t="s">
        <v>12</v>
      </c>
      <c r="D134" s="81" t="s">
        <v>104</v>
      </c>
      <c r="E134" s="81" t="s">
        <v>162</v>
      </c>
      <c r="F134" s="705" t="s">
        <v>129</v>
      </c>
      <c r="G134" s="706" t="s">
        <v>97</v>
      </c>
      <c r="H134" s="706" t="s">
        <v>95</v>
      </c>
      <c r="I134" s="707" t="s">
        <v>96</v>
      </c>
      <c r="J134" s="81"/>
      <c r="K134" s="550">
        <f t="shared" ref="K134:M136" si="29">K135</f>
        <v>184.7</v>
      </c>
      <c r="L134" s="93">
        <f t="shared" si="29"/>
        <v>0</v>
      </c>
      <c r="M134" s="93">
        <f t="shared" si="29"/>
        <v>184.7</v>
      </c>
    </row>
    <row r="135" spans="1:13" s="78" customFormat="1" ht="37.5">
      <c r="A135" s="82"/>
      <c r="B135" s="91" t="s">
        <v>171</v>
      </c>
      <c r="C135" s="92" t="s">
        <v>12</v>
      </c>
      <c r="D135" s="81" t="s">
        <v>104</v>
      </c>
      <c r="E135" s="81" t="s">
        <v>162</v>
      </c>
      <c r="F135" s="705" t="s">
        <v>129</v>
      </c>
      <c r="G135" s="706" t="s">
        <v>97</v>
      </c>
      <c r="H135" s="706" t="s">
        <v>89</v>
      </c>
      <c r="I135" s="707" t="s">
        <v>96</v>
      </c>
      <c r="J135" s="81"/>
      <c r="K135" s="550">
        <f t="shared" si="29"/>
        <v>184.7</v>
      </c>
      <c r="L135" s="93">
        <f t="shared" si="29"/>
        <v>0</v>
      </c>
      <c r="M135" s="93">
        <f t="shared" si="29"/>
        <v>184.7</v>
      </c>
    </row>
    <row r="136" spans="1:13" s="95" customFormat="1" ht="37.5">
      <c r="A136" s="82"/>
      <c r="B136" s="98" t="s">
        <v>172</v>
      </c>
      <c r="C136" s="92" t="s">
        <v>12</v>
      </c>
      <c r="D136" s="81" t="s">
        <v>104</v>
      </c>
      <c r="E136" s="81" t="s">
        <v>162</v>
      </c>
      <c r="F136" s="705" t="s">
        <v>129</v>
      </c>
      <c r="G136" s="706" t="s">
        <v>97</v>
      </c>
      <c r="H136" s="706" t="s">
        <v>89</v>
      </c>
      <c r="I136" s="707" t="s">
        <v>173</v>
      </c>
      <c r="J136" s="81"/>
      <c r="K136" s="550">
        <f t="shared" si="29"/>
        <v>184.7</v>
      </c>
      <c r="L136" s="93">
        <f t="shared" si="29"/>
        <v>0</v>
      </c>
      <c r="M136" s="93">
        <f t="shared" si="29"/>
        <v>184.7</v>
      </c>
    </row>
    <row r="137" spans="1:13" s="78" customFormat="1" ht="56.45" customHeight="1">
      <c r="A137" s="82"/>
      <c r="B137" s="463" t="s">
        <v>107</v>
      </c>
      <c r="C137" s="92" t="s">
        <v>12</v>
      </c>
      <c r="D137" s="81" t="s">
        <v>104</v>
      </c>
      <c r="E137" s="81" t="s">
        <v>162</v>
      </c>
      <c r="F137" s="705" t="s">
        <v>129</v>
      </c>
      <c r="G137" s="706" t="s">
        <v>97</v>
      </c>
      <c r="H137" s="706" t="s">
        <v>89</v>
      </c>
      <c r="I137" s="707" t="s">
        <v>173</v>
      </c>
      <c r="J137" s="81" t="s">
        <v>108</v>
      </c>
      <c r="K137" s="550">
        <v>184.7</v>
      </c>
      <c r="L137" s="93">
        <f>M137-K137</f>
        <v>0</v>
      </c>
      <c r="M137" s="93">
        <v>184.7</v>
      </c>
    </row>
    <row r="138" spans="1:13" s="95" customFormat="1" ht="37.5">
      <c r="A138" s="82"/>
      <c r="B138" s="98" t="s">
        <v>174</v>
      </c>
      <c r="C138" s="92" t="s">
        <v>12</v>
      </c>
      <c r="D138" s="81" t="s">
        <v>104</v>
      </c>
      <c r="E138" s="81" t="s">
        <v>162</v>
      </c>
      <c r="F138" s="705" t="s">
        <v>129</v>
      </c>
      <c r="G138" s="706" t="s">
        <v>149</v>
      </c>
      <c r="H138" s="706" t="s">
        <v>95</v>
      </c>
      <c r="I138" s="707" t="s">
        <v>96</v>
      </c>
      <c r="J138" s="81"/>
      <c r="K138" s="550">
        <f t="shared" ref="K138:M140" si="30">K139</f>
        <v>973.1</v>
      </c>
      <c r="L138" s="93">
        <f t="shared" si="30"/>
        <v>0</v>
      </c>
      <c r="M138" s="93">
        <f t="shared" si="30"/>
        <v>973.1</v>
      </c>
    </row>
    <row r="139" spans="1:13" s="78" customFormat="1" ht="56.25">
      <c r="A139" s="82"/>
      <c r="B139" s="98" t="s">
        <v>175</v>
      </c>
      <c r="C139" s="92" t="s">
        <v>12</v>
      </c>
      <c r="D139" s="81" t="s">
        <v>104</v>
      </c>
      <c r="E139" s="81" t="s">
        <v>162</v>
      </c>
      <c r="F139" s="705" t="s">
        <v>129</v>
      </c>
      <c r="G139" s="706" t="s">
        <v>149</v>
      </c>
      <c r="H139" s="706" t="s">
        <v>89</v>
      </c>
      <c r="I139" s="707" t="s">
        <v>96</v>
      </c>
      <c r="J139" s="81"/>
      <c r="K139" s="550">
        <f t="shared" si="30"/>
        <v>973.1</v>
      </c>
      <c r="L139" s="93">
        <f t="shared" si="30"/>
        <v>0</v>
      </c>
      <c r="M139" s="93">
        <f t="shared" si="30"/>
        <v>973.1</v>
      </c>
    </row>
    <row r="140" spans="1:13" s="95" customFormat="1" ht="93.75">
      <c r="A140" s="82"/>
      <c r="B140" s="98" t="s">
        <v>176</v>
      </c>
      <c r="C140" s="92" t="s">
        <v>12</v>
      </c>
      <c r="D140" s="81" t="s">
        <v>104</v>
      </c>
      <c r="E140" s="81" t="s">
        <v>162</v>
      </c>
      <c r="F140" s="705" t="s">
        <v>129</v>
      </c>
      <c r="G140" s="706" t="s">
        <v>149</v>
      </c>
      <c r="H140" s="706" t="s">
        <v>89</v>
      </c>
      <c r="I140" s="707" t="s">
        <v>177</v>
      </c>
      <c r="J140" s="81"/>
      <c r="K140" s="550">
        <f t="shared" si="30"/>
        <v>973.1</v>
      </c>
      <c r="L140" s="93">
        <f t="shared" si="30"/>
        <v>0</v>
      </c>
      <c r="M140" s="93">
        <f t="shared" si="30"/>
        <v>973.1</v>
      </c>
    </row>
    <row r="141" spans="1:13" s="78" customFormat="1" ht="55.15" customHeight="1">
      <c r="A141" s="82"/>
      <c r="B141" s="463" t="s">
        <v>107</v>
      </c>
      <c r="C141" s="92" t="s">
        <v>12</v>
      </c>
      <c r="D141" s="81" t="s">
        <v>104</v>
      </c>
      <c r="E141" s="81" t="s">
        <v>162</v>
      </c>
      <c r="F141" s="705" t="s">
        <v>129</v>
      </c>
      <c r="G141" s="706" t="s">
        <v>149</v>
      </c>
      <c r="H141" s="706" t="s">
        <v>89</v>
      </c>
      <c r="I141" s="707" t="s">
        <v>177</v>
      </c>
      <c r="J141" s="81" t="s">
        <v>108</v>
      </c>
      <c r="K141" s="550">
        <f>773.1+200</f>
        <v>973.1</v>
      </c>
      <c r="L141" s="93">
        <f>M141-K141</f>
        <v>0</v>
      </c>
      <c r="M141" s="93">
        <f>773.1+200</f>
        <v>973.1</v>
      </c>
    </row>
    <row r="142" spans="1:13" s="95" customFormat="1" ht="59.45" customHeight="1">
      <c r="A142" s="82"/>
      <c r="B142" s="463" t="s">
        <v>178</v>
      </c>
      <c r="C142" s="92" t="s">
        <v>12</v>
      </c>
      <c r="D142" s="81" t="s">
        <v>104</v>
      </c>
      <c r="E142" s="81" t="s">
        <v>162</v>
      </c>
      <c r="F142" s="705" t="s">
        <v>148</v>
      </c>
      <c r="G142" s="706" t="s">
        <v>94</v>
      </c>
      <c r="H142" s="706" t="s">
        <v>95</v>
      </c>
      <c r="I142" s="707" t="s">
        <v>96</v>
      </c>
      <c r="J142" s="81"/>
      <c r="K142" s="550">
        <f t="shared" ref="K142:M145" si="31">K143</f>
        <v>986.9</v>
      </c>
      <c r="L142" s="93">
        <f t="shared" si="31"/>
        <v>-57</v>
      </c>
      <c r="M142" s="93">
        <f t="shared" si="31"/>
        <v>929.9</v>
      </c>
    </row>
    <row r="143" spans="1:13" s="95" customFormat="1" ht="37.5">
      <c r="A143" s="82"/>
      <c r="B143" s="91" t="s">
        <v>455</v>
      </c>
      <c r="C143" s="92" t="s">
        <v>12</v>
      </c>
      <c r="D143" s="81" t="s">
        <v>104</v>
      </c>
      <c r="E143" s="81" t="s">
        <v>162</v>
      </c>
      <c r="F143" s="705" t="s">
        <v>148</v>
      </c>
      <c r="G143" s="706" t="s">
        <v>97</v>
      </c>
      <c r="H143" s="706" t="s">
        <v>95</v>
      </c>
      <c r="I143" s="707" t="s">
        <v>96</v>
      </c>
      <c r="J143" s="81"/>
      <c r="K143" s="550">
        <f t="shared" si="31"/>
        <v>986.9</v>
      </c>
      <c r="L143" s="93">
        <f t="shared" si="31"/>
        <v>-57</v>
      </c>
      <c r="M143" s="93">
        <f t="shared" si="31"/>
        <v>929.9</v>
      </c>
    </row>
    <row r="144" spans="1:13" s="78" customFormat="1" ht="75">
      <c r="A144" s="82"/>
      <c r="B144" s="98" t="s">
        <v>403</v>
      </c>
      <c r="C144" s="92" t="s">
        <v>12</v>
      </c>
      <c r="D144" s="81" t="s">
        <v>104</v>
      </c>
      <c r="E144" s="81" t="s">
        <v>162</v>
      </c>
      <c r="F144" s="705" t="s">
        <v>148</v>
      </c>
      <c r="G144" s="706" t="s">
        <v>97</v>
      </c>
      <c r="H144" s="706" t="s">
        <v>89</v>
      </c>
      <c r="I144" s="707" t="s">
        <v>96</v>
      </c>
      <c r="J144" s="81"/>
      <c r="K144" s="550">
        <f t="shared" ref="K144" si="32">K145+K147</f>
        <v>986.9</v>
      </c>
      <c r="L144" s="93">
        <f t="shared" ref="L144:M144" si="33">L145+L147</f>
        <v>-57</v>
      </c>
      <c r="M144" s="93">
        <f t="shared" si="33"/>
        <v>929.9</v>
      </c>
    </row>
    <row r="145" spans="1:13" s="95" customFormat="1" ht="56.25">
      <c r="A145" s="82"/>
      <c r="B145" s="98" t="s">
        <v>179</v>
      </c>
      <c r="C145" s="92" t="s">
        <v>12</v>
      </c>
      <c r="D145" s="81" t="s">
        <v>104</v>
      </c>
      <c r="E145" s="81" t="s">
        <v>162</v>
      </c>
      <c r="F145" s="705" t="s">
        <v>148</v>
      </c>
      <c r="G145" s="706" t="s">
        <v>97</v>
      </c>
      <c r="H145" s="706" t="s">
        <v>89</v>
      </c>
      <c r="I145" s="707" t="s">
        <v>180</v>
      </c>
      <c r="J145" s="81"/>
      <c r="K145" s="550">
        <f t="shared" si="31"/>
        <v>207.89999999999998</v>
      </c>
      <c r="L145" s="93">
        <f t="shared" si="31"/>
        <v>-57</v>
      </c>
      <c r="M145" s="93">
        <f t="shared" si="31"/>
        <v>150.89999999999998</v>
      </c>
    </row>
    <row r="146" spans="1:13" s="78" customFormat="1" ht="53.45" customHeight="1">
      <c r="A146" s="82"/>
      <c r="B146" s="463" t="s">
        <v>107</v>
      </c>
      <c r="C146" s="92" t="s">
        <v>12</v>
      </c>
      <c r="D146" s="81" t="s">
        <v>104</v>
      </c>
      <c r="E146" s="81" t="s">
        <v>162</v>
      </c>
      <c r="F146" s="705" t="s">
        <v>148</v>
      </c>
      <c r="G146" s="706" t="s">
        <v>97</v>
      </c>
      <c r="H146" s="706" t="s">
        <v>89</v>
      </c>
      <c r="I146" s="707" t="s">
        <v>180</v>
      </c>
      <c r="J146" s="81" t="s">
        <v>108</v>
      </c>
      <c r="K146" s="550">
        <f>107.9+400-400+100</f>
        <v>207.89999999999998</v>
      </c>
      <c r="L146" s="93">
        <f>M146-K146</f>
        <v>-57</v>
      </c>
      <c r="M146" s="93">
        <f>107.9+400-400+100-57</f>
        <v>150.89999999999998</v>
      </c>
    </row>
    <row r="147" spans="1:13" s="78" customFormat="1" ht="57.6" customHeight="1">
      <c r="A147" s="82"/>
      <c r="B147" s="463" t="s">
        <v>595</v>
      </c>
      <c r="C147" s="92" t="s">
        <v>12</v>
      </c>
      <c r="D147" s="81" t="s">
        <v>104</v>
      </c>
      <c r="E147" s="81" t="s">
        <v>162</v>
      </c>
      <c r="F147" s="705" t="s">
        <v>148</v>
      </c>
      <c r="G147" s="706" t="s">
        <v>97</v>
      </c>
      <c r="H147" s="706" t="s">
        <v>89</v>
      </c>
      <c r="I147" s="707" t="s">
        <v>594</v>
      </c>
      <c r="J147" s="81"/>
      <c r="K147" s="550">
        <f>K148</f>
        <v>779</v>
      </c>
      <c r="L147" s="93">
        <f>L148</f>
        <v>0</v>
      </c>
      <c r="M147" s="93">
        <f>M148</f>
        <v>779</v>
      </c>
    </row>
    <row r="148" spans="1:13" s="78" customFormat="1" ht="57" customHeight="1">
      <c r="A148" s="82"/>
      <c r="B148" s="463" t="s">
        <v>107</v>
      </c>
      <c r="C148" s="92" t="s">
        <v>12</v>
      </c>
      <c r="D148" s="81" t="s">
        <v>104</v>
      </c>
      <c r="E148" s="81" t="s">
        <v>162</v>
      </c>
      <c r="F148" s="705" t="s">
        <v>148</v>
      </c>
      <c r="G148" s="706" t="s">
        <v>97</v>
      </c>
      <c r="H148" s="706" t="s">
        <v>89</v>
      </c>
      <c r="I148" s="707" t="s">
        <v>594</v>
      </c>
      <c r="J148" s="81" t="s">
        <v>108</v>
      </c>
      <c r="K148" s="550">
        <v>779</v>
      </c>
      <c r="L148" s="93">
        <f>M148-K148</f>
        <v>0</v>
      </c>
      <c r="M148" s="93">
        <v>779</v>
      </c>
    </row>
    <row r="149" spans="1:13" s="78" customFormat="1" ht="56.25">
      <c r="A149" s="82"/>
      <c r="B149" s="91" t="s">
        <v>92</v>
      </c>
      <c r="C149" s="92" t="s">
        <v>12</v>
      </c>
      <c r="D149" s="81" t="s">
        <v>104</v>
      </c>
      <c r="E149" s="81" t="s">
        <v>162</v>
      </c>
      <c r="F149" s="705" t="s">
        <v>93</v>
      </c>
      <c r="G149" s="706" t="s">
        <v>94</v>
      </c>
      <c r="H149" s="706" t="s">
        <v>95</v>
      </c>
      <c r="I149" s="707" t="s">
        <v>96</v>
      </c>
      <c r="J149" s="81"/>
      <c r="K149" s="550">
        <f t="shared" ref="K149:M150" si="34">K150</f>
        <v>6282.7000000000007</v>
      </c>
      <c r="L149" s="93">
        <f t="shared" si="34"/>
        <v>-271.7</v>
      </c>
      <c r="M149" s="93">
        <f t="shared" si="34"/>
        <v>6011</v>
      </c>
    </row>
    <row r="150" spans="1:13" s="78" customFormat="1" ht="37.5">
      <c r="A150" s="82"/>
      <c r="B150" s="91" t="s">
        <v>455</v>
      </c>
      <c r="C150" s="92" t="s">
        <v>12</v>
      </c>
      <c r="D150" s="81" t="s">
        <v>104</v>
      </c>
      <c r="E150" s="81" t="s">
        <v>162</v>
      </c>
      <c r="F150" s="705" t="s">
        <v>93</v>
      </c>
      <c r="G150" s="706" t="s">
        <v>97</v>
      </c>
      <c r="H150" s="706" t="s">
        <v>95</v>
      </c>
      <c r="I150" s="707" t="s">
        <v>96</v>
      </c>
      <c r="J150" s="81"/>
      <c r="K150" s="550">
        <f t="shared" si="34"/>
        <v>6282.7000000000007</v>
      </c>
      <c r="L150" s="93">
        <f t="shared" si="34"/>
        <v>-271.7</v>
      </c>
      <c r="M150" s="93">
        <f t="shared" si="34"/>
        <v>6011</v>
      </c>
    </row>
    <row r="151" spans="1:13" s="78" customFormat="1" ht="56.25">
      <c r="A151" s="82"/>
      <c r="B151" s="91" t="s">
        <v>439</v>
      </c>
      <c r="C151" s="92" t="s">
        <v>12</v>
      </c>
      <c r="D151" s="81" t="s">
        <v>104</v>
      </c>
      <c r="E151" s="81" t="s">
        <v>162</v>
      </c>
      <c r="F151" s="705" t="s">
        <v>93</v>
      </c>
      <c r="G151" s="706" t="s">
        <v>97</v>
      </c>
      <c r="H151" s="706" t="s">
        <v>148</v>
      </c>
      <c r="I151" s="707" t="s">
        <v>96</v>
      </c>
      <c r="J151" s="81"/>
      <c r="K151" s="550">
        <f>K158+K152+K156</f>
        <v>6282.7000000000007</v>
      </c>
      <c r="L151" s="93">
        <f>L158+L152+L156</f>
        <v>-271.7</v>
      </c>
      <c r="M151" s="93">
        <f>M158+M152+M156</f>
        <v>6011</v>
      </c>
    </row>
    <row r="152" spans="1:13" s="78" customFormat="1" ht="78.599999999999994" customHeight="1">
      <c r="A152" s="82"/>
      <c r="B152" s="464" t="s">
        <v>150</v>
      </c>
      <c r="C152" s="92" t="s">
        <v>12</v>
      </c>
      <c r="D152" s="81" t="s">
        <v>104</v>
      </c>
      <c r="E152" s="81" t="s">
        <v>162</v>
      </c>
      <c r="F152" s="705" t="s">
        <v>93</v>
      </c>
      <c r="G152" s="706" t="s">
        <v>97</v>
      </c>
      <c r="H152" s="706" t="s">
        <v>148</v>
      </c>
      <c r="I152" s="707" t="s">
        <v>152</v>
      </c>
      <c r="J152" s="81"/>
      <c r="K152" s="550">
        <f t="shared" ref="K152" si="35">SUM(K153:K155)</f>
        <v>4507.1000000000004</v>
      </c>
      <c r="L152" s="93">
        <f t="shared" ref="L152:M152" si="36">SUM(L153:L155)</f>
        <v>0</v>
      </c>
      <c r="M152" s="93">
        <f t="shared" si="36"/>
        <v>4507.1000000000004</v>
      </c>
    </row>
    <row r="153" spans="1:13" s="78" customFormat="1" ht="94.15" customHeight="1">
      <c r="A153" s="82"/>
      <c r="B153" s="463" t="s">
        <v>101</v>
      </c>
      <c r="C153" s="92" t="s">
        <v>12</v>
      </c>
      <c r="D153" s="81" t="s">
        <v>104</v>
      </c>
      <c r="E153" s="81" t="s">
        <v>162</v>
      </c>
      <c r="F153" s="705" t="s">
        <v>93</v>
      </c>
      <c r="G153" s="706" t="s">
        <v>97</v>
      </c>
      <c r="H153" s="706" t="s">
        <v>148</v>
      </c>
      <c r="I153" s="707" t="s">
        <v>152</v>
      </c>
      <c r="J153" s="81" t="s">
        <v>102</v>
      </c>
      <c r="K153" s="550">
        <v>4158.7</v>
      </c>
      <c r="L153" s="93">
        <f t="shared" ref="L153:L156" si="37">M153-K153</f>
        <v>0</v>
      </c>
      <c r="M153" s="93">
        <v>4158.7</v>
      </c>
    </row>
    <row r="154" spans="1:13" s="78" customFormat="1" ht="53.45" customHeight="1">
      <c r="A154" s="82"/>
      <c r="B154" s="463" t="s">
        <v>107</v>
      </c>
      <c r="C154" s="92" t="s">
        <v>12</v>
      </c>
      <c r="D154" s="81" t="s">
        <v>104</v>
      </c>
      <c r="E154" s="81" t="s">
        <v>162</v>
      </c>
      <c r="F154" s="705" t="s">
        <v>93</v>
      </c>
      <c r="G154" s="706" t="s">
        <v>97</v>
      </c>
      <c r="H154" s="706" t="s">
        <v>148</v>
      </c>
      <c r="I154" s="707" t="s">
        <v>152</v>
      </c>
      <c r="J154" s="81" t="s">
        <v>108</v>
      </c>
      <c r="K154" s="550">
        <v>299.8</v>
      </c>
      <c r="L154" s="93">
        <f t="shared" si="37"/>
        <v>0</v>
      </c>
      <c r="M154" s="93">
        <v>299.8</v>
      </c>
    </row>
    <row r="155" spans="1:13" s="78" customFormat="1" ht="18.75">
      <c r="A155" s="82"/>
      <c r="B155" s="91" t="s">
        <v>109</v>
      </c>
      <c r="C155" s="92" t="s">
        <v>12</v>
      </c>
      <c r="D155" s="81" t="s">
        <v>104</v>
      </c>
      <c r="E155" s="81" t="s">
        <v>162</v>
      </c>
      <c r="F155" s="705" t="s">
        <v>93</v>
      </c>
      <c r="G155" s="706" t="s">
        <v>97</v>
      </c>
      <c r="H155" s="706" t="s">
        <v>148</v>
      </c>
      <c r="I155" s="707" t="s">
        <v>152</v>
      </c>
      <c r="J155" s="81" t="s">
        <v>110</v>
      </c>
      <c r="K155" s="550">
        <v>48.6</v>
      </c>
      <c r="L155" s="93">
        <f t="shared" si="37"/>
        <v>0</v>
      </c>
      <c r="M155" s="93">
        <v>48.6</v>
      </c>
    </row>
    <row r="156" spans="1:13" s="78" customFormat="1" ht="56.25">
      <c r="A156" s="82"/>
      <c r="B156" s="91" t="s">
        <v>743</v>
      </c>
      <c r="C156" s="92" t="s">
        <v>12</v>
      </c>
      <c r="D156" s="81" t="s">
        <v>104</v>
      </c>
      <c r="E156" s="81" t="s">
        <v>162</v>
      </c>
      <c r="F156" s="705" t="s">
        <v>93</v>
      </c>
      <c r="G156" s="706" t="s">
        <v>97</v>
      </c>
      <c r="H156" s="706" t="s">
        <v>148</v>
      </c>
      <c r="I156" s="707" t="s">
        <v>742</v>
      </c>
      <c r="J156" s="81"/>
      <c r="K156" s="550">
        <f>K157</f>
        <v>1300</v>
      </c>
      <c r="L156" s="93">
        <f t="shared" si="37"/>
        <v>0</v>
      </c>
      <c r="M156" s="93">
        <f>M157</f>
        <v>1300</v>
      </c>
    </row>
    <row r="157" spans="1:13" s="78" customFormat="1" ht="54.6" customHeight="1">
      <c r="A157" s="82"/>
      <c r="B157" s="463" t="s">
        <v>107</v>
      </c>
      <c r="C157" s="92" t="s">
        <v>12</v>
      </c>
      <c r="D157" s="81" t="s">
        <v>104</v>
      </c>
      <c r="E157" s="81" t="s">
        <v>162</v>
      </c>
      <c r="F157" s="705" t="s">
        <v>93</v>
      </c>
      <c r="G157" s="706" t="s">
        <v>97</v>
      </c>
      <c r="H157" s="706" t="s">
        <v>148</v>
      </c>
      <c r="I157" s="707" t="s">
        <v>742</v>
      </c>
      <c r="J157" s="81" t="s">
        <v>108</v>
      </c>
      <c r="K157" s="550">
        <v>1300</v>
      </c>
      <c r="L157" s="93">
        <f>M157-K157</f>
        <v>0</v>
      </c>
      <c r="M157" s="93">
        <v>1300</v>
      </c>
    </row>
    <row r="158" spans="1:13" s="78" customFormat="1" ht="75">
      <c r="A158" s="82"/>
      <c r="B158" s="91" t="s">
        <v>568</v>
      </c>
      <c r="C158" s="92" t="s">
        <v>12</v>
      </c>
      <c r="D158" s="81" t="s">
        <v>104</v>
      </c>
      <c r="E158" s="81" t="s">
        <v>162</v>
      </c>
      <c r="F158" s="705" t="s">
        <v>93</v>
      </c>
      <c r="G158" s="706" t="s">
        <v>97</v>
      </c>
      <c r="H158" s="706" t="s">
        <v>148</v>
      </c>
      <c r="I158" s="707" t="s">
        <v>440</v>
      </c>
      <c r="J158" s="81"/>
      <c r="K158" s="550">
        <f>K159</f>
        <v>475.59999999999997</v>
      </c>
      <c r="L158" s="93">
        <f>L159</f>
        <v>-271.7</v>
      </c>
      <c r="M158" s="93">
        <f>M159</f>
        <v>203.89999999999998</v>
      </c>
    </row>
    <row r="159" spans="1:13" s="78" customFormat="1" ht="18.75">
      <c r="A159" s="82"/>
      <c r="B159" s="91" t="s">
        <v>185</v>
      </c>
      <c r="C159" s="92" t="s">
        <v>12</v>
      </c>
      <c r="D159" s="81" t="s">
        <v>104</v>
      </c>
      <c r="E159" s="81" t="s">
        <v>162</v>
      </c>
      <c r="F159" s="705" t="s">
        <v>93</v>
      </c>
      <c r="G159" s="706" t="s">
        <v>97</v>
      </c>
      <c r="H159" s="706" t="s">
        <v>148</v>
      </c>
      <c r="I159" s="707" t="s">
        <v>440</v>
      </c>
      <c r="J159" s="81" t="s">
        <v>186</v>
      </c>
      <c r="K159" s="550">
        <f>419.2+56.4</f>
        <v>475.59999999999997</v>
      </c>
      <c r="L159" s="93">
        <f>M159-K159</f>
        <v>-271.7</v>
      </c>
      <c r="M159" s="93">
        <f>419.2+56.4-271.7</f>
        <v>203.89999999999998</v>
      </c>
    </row>
    <row r="160" spans="1:13" s="78" customFormat="1" ht="18.75">
      <c r="A160" s="82"/>
      <c r="B160" s="91" t="s">
        <v>245</v>
      </c>
      <c r="C160" s="92" t="s">
        <v>12</v>
      </c>
      <c r="D160" s="81" t="s">
        <v>120</v>
      </c>
      <c r="E160" s="81"/>
      <c r="F160" s="705"/>
      <c r="G160" s="706"/>
      <c r="H160" s="706"/>
      <c r="I160" s="707"/>
      <c r="J160" s="81"/>
      <c r="K160" s="550">
        <f>K167+K161</f>
        <v>402.09999999999997</v>
      </c>
      <c r="L160" s="93">
        <f>L167+L161</f>
        <v>0</v>
      </c>
      <c r="M160" s="93">
        <f>M167+M161</f>
        <v>402.09999999999997</v>
      </c>
    </row>
    <row r="161" spans="1:13" s="111" customFormat="1" ht="18.75">
      <c r="A161" s="105"/>
      <c r="B161" s="101" t="s">
        <v>447</v>
      </c>
      <c r="C161" s="92" t="s">
        <v>12</v>
      </c>
      <c r="D161" s="107" t="s">
        <v>120</v>
      </c>
      <c r="E161" s="107" t="s">
        <v>91</v>
      </c>
      <c r="F161" s="116"/>
      <c r="G161" s="109"/>
      <c r="H161" s="109"/>
      <c r="I161" s="123"/>
      <c r="J161" s="108"/>
      <c r="K161" s="551">
        <f t="shared" ref="K161:M165" si="38">K162</f>
        <v>366.4</v>
      </c>
      <c r="L161" s="405">
        <f t="shared" si="38"/>
        <v>0</v>
      </c>
      <c r="M161" s="405">
        <f t="shared" si="38"/>
        <v>366.4</v>
      </c>
    </row>
    <row r="162" spans="1:13" s="111" customFormat="1" ht="75">
      <c r="A162" s="105"/>
      <c r="B162" s="406" t="s">
        <v>446</v>
      </c>
      <c r="C162" s="92" t="s">
        <v>12</v>
      </c>
      <c r="D162" s="107" t="s">
        <v>120</v>
      </c>
      <c r="E162" s="107" t="s">
        <v>91</v>
      </c>
      <c r="F162" s="116" t="s">
        <v>166</v>
      </c>
      <c r="G162" s="109" t="s">
        <v>94</v>
      </c>
      <c r="H162" s="109" t="s">
        <v>95</v>
      </c>
      <c r="I162" s="123" t="s">
        <v>96</v>
      </c>
      <c r="J162" s="108"/>
      <c r="K162" s="551">
        <f t="shared" si="38"/>
        <v>366.4</v>
      </c>
      <c r="L162" s="405">
        <f t="shared" si="38"/>
        <v>0</v>
      </c>
      <c r="M162" s="405">
        <f t="shared" si="38"/>
        <v>366.4</v>
      </c>
    </row>
    <row r="163" spans="1:13" s="111" customFormat="1" ht="56.25">
      <c r="A163" s="105"/>
      <c r="B163" s="91" t="s">
        <v>448</v>
      </c>
      <c r="C163" s="92" t="s">
        <v>12</v>
      </c>
      <c r="D163" s="107" t="s">
        <v>120</v>
      </c>
      <c r="E163" s="107" t="s">
        <v>91</v>
      </c>
      <c r="F163" s="116" t="s">
        <v>166</v>
      </c>
      <c r="G163" s="109" t="s">
        <v>97</v>
      </c>
      <c r="H163" s="109" t="s">
        <v>95</v>
      </c>
      <c r="I163" s="123" t="s">
        <v>96</v>
      </c>
      <c r="J163" s="108"/>
      <c r="K163" s="551">
        <f t="shared" si="38"/>
        <v>366.4</v>
      </c>
      <c r="L163" s="405">
        <f t="shared" si="38"/>
        <v>0</v>
      </c>
      <c r="M163" s="405">
        <f t="shared" si="38"/>
        <v>366.4</v>
      </c>
    </row>
    <row r="164" spans="1:13" s="111" customFormat="1" ht="56.25">
      <c r="A164" s="105"/>
      <c r="B164" s="91" t="s">
        <v>528</v>
      </c>
      <c r="C164" s="92" t="s">
        <v>12</v>
      </c>
      <c r="D164" s="107" t="s">
        <v>120</v>
      </c>
      <c r="E164" s="107" t="s">
        <v>91</v>
      </c>
      <c r="F164" s="116" t="s">
        <v>166</v>
      </c>
      <c r="G164" s="109" t="s">
        <v>97</v>
      </c>
      <c r="H164" s="109" t="s">
        <v>89</v>
      </c>
      <c r="I164" s="123" t="s">
        <v>96</v>
      </c>
      <c r="J164" s="108"/>
      <c r="K164" s="551">
        <f>K165</f>
        <v>366.4</v>
      </c>
      <c r="L164" s="405">
        <f>L165</f>
        <v>0</v>
      </c>
      <c r="M164" s="405">
        <f>M165</f>
        <v>366.4</v>
      </c>
    </row>
    <row r="165" spans="1:13" s="111" customFormat="1" ht="61.15" customHeight="1">
      <c r="A165" s="105"/>
      <c r="B165" s="463" t="s">
        <v>449</v>
      </c>
      <c r="C165" s="92" t="s">
        <v>12</v>
      </c>
      <c r="D165" s="107" t="s">
        <v>120</v>
      </c>
      <c r="E165" s="107" t="s">
        <v>91</v>
      </c>
      <c r="F165" s="116" t="s">
        <v>166</v>
      </c>
      <c r="G165" s="109" t="s">
        <v>97</v>
      </c>
      <c r="H165" s="109" t="s">
        <v>89</v>
      </c>
      <c r="I165" s="123" t="s">
        <v>450</v>
      </c>
      <c r="J165" s="108"/>
      <c r="K165" s="551">
        <f t="shared" si="38"/>
        <v>366.4</v>
      </c>
      <c r="L165" s="405">
        <f t="shared" si="38"/>
        <v>0</v>
      </c>
      <c r="M165" s="405">
        <f t="shared" si="38"/>
        <v>366.4</v>
      </c>
    </row>
    <row r="166" spans="1:13" s="111" customFormat="1" ht="56.25">
      <c r="A166" s="105"/>
      <c r="B166" s="91" t="s">
        <v>275</v>
      </c>
      <c r="C166" s="92" t="s">
        <v>12</v>
      </c>
      <c r="D166" s="107" t="s">
        <v>120</v>
      </c>
      <c r="E166" s="107" t="s">
        <v>91</v>
      </c>
      <c r="F166" s="116" t="s">
        <v>166</v>
      </c>
      <c r="G166" s="109" t="s">
        <v>97</v>
      </c>
      <c r="H166" s="109" t="s">
        <v>89</v>
      </c>
      <c r="I166" s="123" t="s">
        <v>450</v>
      </c>
      <c r="J166" s="108" t="s">
        <v>276</v>
      </c>
      <c r="K166" s="551">
        <f>336+30.4</f>
        <v>366.4</v>
      </c>
      <c r="L166" s="93">
        <f>M166-K166</f>
        <v>0</v>
      </c>
      <c r="M166" s="405">
        <f>336+30.4</f>
        <v>366.4</v>
      </c>
    </row>
    <row r="167" spans="1:13" s="78" customFormat="1" ht="37.5">
      <c r="A167" s="82"/>
      <c r="B167" s="91" t="s">
        <v>441</v>
      </c>
      <c r="C167" s="92" t="s">
        <v>12</v>
      </c>
      <c r="D167" s="81" t="s">
        <v>120</v>
      </c>
      <c r="E167" s="81" t="s">
        <v>120</v>
      </c>
      <c r="F167" s="705"/>
      <c r="G167" s="706"/>
      <c r="H167" s="706"/>
      <c r="I167" s="707"/>
      <c r="J167" s="81"/>
      <c r="K167" s="550">
        <f t="shared" ref="K167:M171" si="39">K168</f>
        <v>35.700000000000003</v>
      </c>
      <c r="L167" s="93">
        <f t="shared" si="39"/>
        <v>0</v>
      </c>
      <c r="M167" s="93">
        <f t="shared" si="39"/>
        <v>35.700000000000003</v>
      </c>
    </row>
    <row r="168" spans="1:13" s="78" customFormat="1" ht="75">
      <c r="A168" s="82"/>
      <c r="B168" s="91" t="s">
        <v>445</v>
      </c>
      <c r="C168" s="92" t="s">
        <v>12</v>
      </c>
      <c r="D168" s="81" t="s">
        <v>120</v>
      </c>
      <c r="E168" s="81" t="s">
        <v>120</v>
      </c>
      <c r="F168" s="705" t="s">
        <v>166</v>
      </c>
      <c r="G168" s="706" t="s">
        <v>94</v>
      </c>
      <c r="H168" s="706" t="s">
        <v>95</v>
      </c>
      <c r="I168" s="707" t="s">
        <v>96</v>
      </c>
      <c r="J168" s="81"/>
      <c r="K168" s="550">
        <f t="shared" si="39"/>
        <v>35.700000000000003</v>
      </c>
      <c r="L168" s="93">
        <f t="shared" si="39"/>
        <v>0</v>
      </c>
      <c r="M168" s="93">
        <f t="shared" si="39"/>
        <v>35.700000000000003</v>
      </c>
    </row>
    <row r="169" spans="1:13" s="78" customFormat="1" ht="37.5">
      <c r="A169" s="82"/>
      <c r="B169" s="91" t="s">
        <v>455</v>
      </c>
      <c r="C169" s="92" t="s">
        <v>12</v>
      </c>
      <c r="D169" s="81" t="s">
        <v>120</v>
      </c>
      <c r="E169" s="81" t="s">
        <v>120</v>
      </c>
      <c r="F169" s="705" t="s">
        <v>166</v>
      </c>
      <c r="G169" s="706" t="s">
        <v>82</v>
      </c>
      <c r="H169" s="706" t="s">
        <v>95</v>
      </c>
      <c r="I169" s="707" t="s">
        <v>96</v>
      </c>
      <c r="J169" s="81"/>
      <c r="K169" s="550">
        <f t="shared" si="39"/>
        <v>35.700000000000003</v>
      </c>
      <c r="L169" s="93">
        <f t="shared" si="39"/>
        <v>0</v>
      </c>
      <c r="M169" s="93">
        <f t="shared" si="39"/>
        <v>35.700000000000003</v>
      </c>
    </row>
    <row r="170" spans="1:13" s="78" customFormat="1" ht="56.25">
      <c r="A170" s="82"/>
      <c r="B170" s="91" t="s">
        <v>442</v>
      </c>
      <c r="C170" s="92" t="s">
        <v>12</v>
      </c>
      <c r="D170" s="81" t="s">
        <v>120</v>
      </c>
      <c r="E170" s="81" t="s">
        <v>120</v>
      </c>
      <c r="F170" s="705" t="s">
        <v>166</v>
      </c>
      <c r="G170" s="706" t="s">
        <v>82</v>
      </c>
      <c r="H170" s="706" t="s">
        <v>138</v>
      </c>
      <c r="I170" s="707" t="s">
        <v>96</v>
      </c>
      <c r="J170" s="81"/>
      <c r="K170" s="550">
        <f t="shared" si="39"/>
        <v>35.700000000000003</v>
      </c>
      <c r="L170" s="93">
        <f t="shared" si="39"/>
        <v>0</v>
      </c>
      <c r="M170" s="93">
        <f t="shared" si="39"/>
        <v>35.700000000000003</v>
      </c>
    </row>
    <row r="171" spans="1:13" s="78" customFormat="1" ht="18.75">
      <c r="A171" s="82"/>
      <c r="B171" s="91" t="s">
        <v>458</v>
      </c>
      <c r="C171" s="92" t="s">
        <v>12</v>
      </c>
      <c r="D171" s="81" t="s">
        <v>120</v>
      </c>
      <c r="E171" s="81" t="s">
        <v>120</v>
      </c>
      <c r="F171" s="705" t="s">
        <v>166</v>
      </c>
      <c r="G171" s="706" t="s">
        <v>82</v>
      </c>
      <c r="H171" s="706" t="s">
        <v>138</v>
      </c>
      <c r="I171" s="707" t="s">
        <v>443</v>
      </c>
      <c r="J171" s="81"/>
      <c r="K171" s="550">
        <f t="shared" si="39"/>
        <v>35.700000000000003</v>
      </c>
      <c r="L171" s="93">
        <f t="shared" si="39"/>
        <v>0</v>
      </c>
      <c r="M171" s="93">
        <f t="shared" si="39"/>
        <v>35.700000000000003</v>
      </c>
    </row>
    <row r="172" spans="1:13" s="78" customFormat="1" ht="18.75">
      <c r="A172" s="82"/>
      <c r="B172" s="91" t="s">
        <v>185</v>
      </c>
      <c r="C172" s="92" t="s">
        <v>12</v>
      </c>
      <c r="D172" s="81" t="s">
        <v>120</v>
      </c>
      <c r="E172" s="81" t="s">
        <v>120</v>
      </c>
      <c r="F172" s="705" t="s">
        <v>166</v>
      </c>
      <c r="G172" s="706" t="s">
        <v>82</v>
      </c>
      <c r="H172" s="706" t="s">
        <v>138</v>
      </c>
      <c r="I172" s="707" t="s">
        <v>443</v>
      </c>
      <c r="J172" s="81" t="s">
        <v>186</v>
      </c>
      <c r="K172" s="550">
        <f>43.1-7.4</f>
        <v>35.700000000000003</v>
      </c>
      <c r="L172" s="93">
        <f>M172-K172</f>
        <v>0</v>
      </c>
      <c r="M172" s="93">
        <f>43.1-7.4</f>
        <v>35.700000000000003</v>
      </c>
    </row>
    <row r="173" spans="1:13" s="95" customFormat="1" ht="18.75">
      <c r="A173" s="82"/>
      <c r="B173" s="91" t="s">
        <v>181</v>
      </c>
      <c r="C173" s="92" t="s">
        <v>12</v>
      </c>
      <c r="D173" s="81" t="s">
        <v>166</v>
      </c>
      <c r="E173" s="81"/>
      <c r="F173" s="705"/>
      <c r="G173" s="706"/>
      <c r="H173" s="706"/>
      <c r="I173" s="707"/>
      <c r="J173" s="81"/>
      <c r="K173" s="550">
        <f t="shared" ref="K173" si="40">K180+K174</f>
        <v>2946.6</v>
      </c>
      <c r="L173" s="93">
        <f t="shared" ref="L173:M173" si="41">L180+L174</f>
        <v>0</v>
      </c>
      <c r="M173" s="93">
        <f t="shared" si="41"/>
        <v>2946.6</v>
      </c>
    </row>
    <row r="174" spans="1:13" s="95" customFormat="1" ht="18.75">
      <c r="A174" s="82"/>
      <c r="B174" s="91" t="s">
        <v>487</v>
      </c>
      <c r="C174" s="92" t="s">
        <v>12</v>
      </c>
      <c r="D174" s="81" t="s">
        <v>166</v>
      </c>
      <c r="E174" s="81" t="s">
        <v>89</v>
      </c>
      <c r="F174" s="705"/>
      <c r="G174" s="706"/>
      <c r="H174" s="706"/>
      <c r="I174" s="707"/>
      <c r="J174" s="81"/>
      <c r="K174" s="550">
        <f t="shared" ref="K174:M178" si="42">K175</f>
        <v>276</v>
      </c>
      <c r="L174" s="93">
        <f t="shared" si="42"/>
        <v>0</v>
      </c>
      <c r="M174" s="93">
        <f t="shared" si="42"/>
        <v>276</v>
      </c>
    </row>
    <row r="175" spans="1:13" s="95" customFormat="1" ht="56.25">
      <c r="A175" s="82"/>
      <c r="B175" s="101" t="s">
        <v>379</v>
      </c>
      <c r="C175" s="92" t="s">
        <v>12</v>
      </c>
      <c r="D175" s="81" t="s">
        <v>166</v>
      </c>
      <c r="E175" s="81" t="s">
        <v>89</v>
      </c>
      <c r="F175" s="705" t="s">
        <v>138</v>
      </c>
      <c r="G175" s="706" t="s">
        <v>94</v>
      </c>
      <c r="H175" s="706" t="s">
        <v>95</v>
      </c>
      <c r="I175" s="707" t="s">
        <v>96</v>
      </c>
      <c r="J175" s="81"/>
      <c r="K175" s="550">
        <f t="shared" si="42"/>
        <v>276</v>
      </c>
      <c r="L175" s="93">
        <f t="shared" si="42"/>
        <v>0</v>
      </c>
      <c r="M175" s="93">
        <f t="shared" si="42"/>
        <v>276</v>
      </c>
    </row>
    <row r="176" spans="1:13" s="95" customFormat="1" ht="37.5">
      <c r="A176" s="82"/>
      <c r="B176" s="91" t="s">
        <v>455</v>
      </c>
      <c r="C176" s="92" t="s">
        <v>12</v>
      </c>
      <c r="D176" s="81" t="s">
        <v>166</v>
      </c>
      <c r="E176" s="81" t="s">
        <v>89</v>
      </c>
      <c r="F176" s="705" t="s">
        <v>138</v>
      </c>
      <c r="G176" s="706" t="s">
        <v>97</v>
      </c>
      <c r="H176" s="706" t="s">
        <v>95</v>
      </c>
      <c r="I176" s="707" t="s">
        <v>96</v>
      </c>
      <c r="J176" s="81"/>
      <c r="K176" s="550">
        <f t="shared" si="42"/>
        <v>276</v>
      </c>
      <c r="L176" s="93">
        <f t="shared" si="42"/>
        <v>0</v>
      </c>
      <c r="M176" s="93">
        <f t="shared" si="42"/>
        <v>276</v>
      </c>
    </row>
    <row r="177" spans="1:13" s="95" customFormat="1" ht="93.75">
      <c r="A177" s="82"/>
      <c r="B177" s="96" t="s">
        <v>504</v>
      </c>
      <c r="C177" s="92" t="s">
        <v>12</v>
      </c>
      <c r="D177" s="81" t="s">
        <v>166</v>
      </c>
      <c r="E177" s="81" t="s">
        <v>89</v>
      </c>
      <c r="F177" s="705" t="s">
        <v>138</v>
      </c>
      <c r="G177" s="706" t="s">
        <v>97</v>
      </c>
      <c r="H177" s="706" t="s">
        <v>104</v>
      </c>
      <c r="I177" s="707" t="s">
        <v>96</v>
      </c>
      <c r="J177" s="81"/>
      <c r="K177" s="550">
        <f t="shared" si="42"/>
        <v>276</v>
      </c>
      <c r="L177" s="93">
        <f t="shared" si="42"/>
        <v>0</v>
      </c>
      <c r="M177" s="93">
        <f t="shared" si="42"/>
        <v>276</v>
      </c>
    </row>
    <row r="178" spans="1:13" s="95" customFormat="1" ht="75">
      <c r="A178" s="82"/>
      <c r="B178" s="96" t="s">
        <v>489</v>
      </c>
      <c r="C178" s="92" t="s">
        <v>12</v>
      </c>
      <c r="D178" s="81" t="s">
        <v>166</v>
      </c>
      <c r="E178" s="81" t="s">
        <v>89</v>
      </c>
      <c r="F178" s="705" t="s">
        <v>138</v>
      </c>
      <c r="G178" s="706" t="s">
        <v>97</v>
      </c>
      <c r="H178" s="706" t="s">
        <v>104</v>
      </c>
      <c r="I178" s="707" t="s">
        <v>488</v>
      </c>
      <c r="J178" s="81"/>
      <c r="K178" s="550">
        <f t="shared" si="42"/>
        <v>276</v>
      </c>
      <c r="L178" s="93">
        <f t="shared" si="42"/>
        <v>0</v>
      </c>
      <c r="M178" s="93">
        <f t="shared" si="42"/>
        <v>276</v>
      </c>
    </row>
    <row r="179" spans="1:13" s="95" customFormat="1" ht="37.5">
      <c r="A179" s="82"/>
      <c r="B179" s="97" t="s">
        <v>182</v>
      </c>
      <c r="C179" s="92" t="s">
        <v>12</v>
      </c>
      <c r="D179" s="81" t="s">
        <v>166</v>
      </c>
      <c r="E179" s="81" t="s">
        <v>89</v>
      </c>
      <c r="F179" s="705" t="s">
        <v>138</v>
      </c>
      <c r="G179" s="706" t="s">
        <v>97</v>
      </c>
      <c r="H179" s="706" t="s">
        <v>104</v>
      </c>
      <c r="I179" s="707" t="s">
        <v>488</v>
      </c>
      <c r="J179" s="81" t="s">
        <v>183</v>
      </c>
      <c r="K179" s="550">
        <v>276</v>
      </c>
      <c r="L179" s="93">
        <f>M179-K179</f>
        <v>0</v>
      </c>
      <c r="M179" s="93">
        <v>276</v>
      </c>
    </row>
    <row r="180" spans="1:13" s="95" customFormat="1" ht="37.5">
      <c r="A180" s="82"/>
      <c r="B180" s="91" t="s">
        <v>184</v>
      </c>
      <c r="C180" s="92" t="s">
        <v>12</v>
      </c>
      <c r="D180" s="81" t="s">
        <v>166</v>
      </c>
      <c r="E180" s="81" t="s">
        <v>140</v>
      </c>
      <c r="F180" s="705"/>
      <c r="G180" s="706"/>
      <c r="H180" s="706"/>
      <c r="I180" s="707"/>
      <c r="J180" s="81"/>
      <c r="K180" s="550">
        <f>K186+K181</f>
        <v>2670.6</v>
      </c>
      <c r="L180" s="93">
        <f>L186+L181</f>
        <v>0</v>
      </c>
      <c r="M180" s="93">
        <f>M186+M181</f>
        <v>2670.6</v>
      </c>
    </row>
    <row r="181" spans="1:13" s="95" customFormat="1" ht="56.25">
      <c r="A181" s="82"/>
      <c r="B181" s="91" t="s">
        <v>379</v>
      </c>
      <c r="C181" s="92" t="s">
        <v>12</v>
      </c>
      <c r="D181" s="81" t="s">
        <v>166</v>
      </c>
      <c r="E181" s="81" t="s">
        <v>140</v>
      </c>
      <c r="F181" s="705" t="s">
        <v>138</v>
      </c>
      <c r="G181" s="706" t="s">
        <v>94</v>
      </c>
      <c r="H181" s="706" t="s">
        <v>95</v>
      </c>
      <c r="I181" s="707" t="s">
        <v>96</v>
      </c>
      <c r="J181" s="81"/>
      <c r="K181" s="550">
        <f t="shared" ref="K181:M184" si="43">K182</f>
        <v>1884</v>
      </c>
      <c r="L181" s="93">
        <f t="shared" si="43"/>
        <v>0</v>
      </c>
      <c r="M181" s="93">
        <f t="shared" si="43"/>
        <v>1884</v>
      </c>
    </row>
    <row r="182" spans="1:13" s="95" customFormat="1" ht="37.5">
      <c r="A182" s="82"/>
      <c r="B182" s="91" t="s">
        <v>455</v>
      </c>
      <c r="C182" s="92" t="s">
        <v>12</v>
      </c>
      <c r="D182" s="81" t="s">
        <v>166</v>
      </c>
      <c r="E182" s="81" t="s">
        <v>140</v>
      </c>
      <c r="F182" s="705" t="s">
        <v>138</v>
      </c>
      <c r="G182" s="706" t="s">
        <v>97</v>
      </c>
      <c r="H182" s="706" t="s">
        <v>95</v>
      </c>
      <c r="I182" s="707" t="s">
        <v>96</v>
      </c>
      <c r="J182" s="81"/>
      <c r="K182" s="550">
        <f t="shared" si="43"/>
        <v>1884</v>
      </c>
      <c r="L182" s="93">
        <f t="shared" si="43"/>
        <v>0</v>
      </c>
      <c r="M182" s="93">
        <f t="shared" si="43"/>
        <v>1884</v>
      </c>
    </row>
    <row r="183" spans="1:13" s="95" customFormat="1" ht="37.5">
      <c r="A183" s="82"/>
      <c r="B183" s="96" t="s">
        <v>698</v>
      </c>
      <c r="C183" s="92" t="s">
        <v>12</v>
      </c>
      <c r="D183" s="81" t="s">
        <v>166</v>
      </c>
      <c r="E183" s="81" t="s">
        <v>140</v>
      </c>
      <c r="F183" s="705" t="s">
        <v>138</v>
      </c>
      <c r="G183" s="706" t="s">
        <v>97</v>
      </c>
      <c r="H183" s="706" t="s">
        <v>120</v>
      </c>
      <c r="I183" s="707" t="s">
        <v>96</v>
      </c>
      <c r="J183" s="81"/>
      <c r="K183" s="550">
        <f t="shared" si="43"/>
        <v>1884</v>
      </c>
      <c r="L183" s="93">
        <f t="shared" si="43"/>
        <v>0</v>
      </c>
      <c r="M183" s="93">
        <f t="shared" si="43"/>
        <v>1884</v>
      </c>
    </row>
    <row r="184" spans="1:13" s="95" customFormat="1" ht="56.45" customHeight="1">
      <c r="A184" s="82"/>
      <c r="B184" s="464" t="s">
        <v>700</v>
      </c>
      <c r="C184" s="92" t="s">
        <v>12</v>
      </c>
      <c r="D184" s="81" t="s">
        <v>166</v>
      </c>
      <c r="E184" s="81" t="s">
        <v>140</v>
      </c>
      <c r="F184" s="705" t="s">
        <v>138</v>
      </c>
      <c r="G184" s="706" t="s">
        <v>97</v>
      </c>
      <c r="H184" s="706" t="s">
        <v>120</v>
      </c>
      <c r="I184" s="707" t="s">
        <v>701</v>
      </c>
      <c r="J184" s="81"/>
      <c r="K184" s="550">
        <f t="shared" si="43"/>
        <v>1884</v>
      </c>
      <c r="L184" s="93">
        <f t="shared" si="43"/>
        <v>0</v>
      </c>
      <c r="M184" s="93">
        <f t="shared" si="43"/>
        <v>1884</v>
      </c>
    </row>
    <row r="185" spans="1:13" s="95" customFormat="1" ht="37.5">
      <c r="A185" s="82"/>
      <c r="B185" s="97" t="s">
        <v>182</v>
      </c>
      <c r="C185" s="92" t="s">
        <v>12</v>
      </c>
      <c r="D185" s="81" t="s">
        <v>166</v>
      </c>
      <c r="E185" s="81" t="s">
        <v>140</v>
      </c>
      <c r="F185" s="705" t="s">
        <v>138</v>
      </c>
      <c r="G185" s="706" t="s">
        <v>97</v>
      </c>
      <c r="H185" s="706" t="s">
        <v>120</v>
      </c>
      <c r="I185" s="707" t="s">
        <v>701</v>
      </c>
      <c r="J185" s="81" t="s">
        <v>183</v>
      </c>
      <c r="K185" s="550">
        <f>1500+384</f>
        <v>1884</v>
      </c>
      <c r="L185" s="93">
        <f>M185-K185</f>
        <v>0</v>
      </c>
      <c r="M185" s="93">
        <f>1500+384</f>
        <v>1884</v>
      </c>
    </row>
    <row r="186" spans="1:13" s="95" customFormat="1" ht="75">
      <c r="A186" s="82"/>
      <c r="B186" s="91" t="s">
        <v>130</v>
      </c>
      <c r="C186" s="92" t="s">
        <v>12</v>
      </c>
      <c r="D186" s="81" t="s">
        <v>166</v>
      </c>
      <c r="E186" s="81" t="s">
        <v>140</v>
      </c>
      <c r="F186" s="705" t="s">
        <v>131</v>
      </c>
      <c r="G186" s="706" t="s">
        <v>94</v>
      </c>
      <c r="H186" s="706" t="s">
        <v>95</v>
      </c>
      <c r="I186" s="707" t="s">
        <v>96</v>
      </c>
      <c r="J186" s="81"/>
      <c r="K186" s="550">
        <f t="shared" ref="K186:M189" si="44">K187</f>
        <v>786.6</v>
      </c>
      <c r="L186" s="93">
        <f t="shared" si="44"/>
        <v>0</v>
      </c>
      <c r="M186" s="93">
        <f t="shared" si="44"/>
        <v>786.6</v>
      </c>
    </row>
    <row r="187" spans="1:13" s="95" customFormat="1" ht="37.5">
      <c r="A187" s="82"/>
      <c r="B187" s="91" t="s">
        <v>455</v>
      </c>
      <c r="C187" s="92" t="s">
        <v>12</v>
      </c>
      <c r="D187" s="81" t="s">
        <v>166</v>
      </c>
      <c r="E187" s="81" t="s">
        <v>140</v>
      </c>
      <c r="F187" s="705" t="s">
        <v>131</v>
      </c>
      <c r="G187" s="706" t="s">
        <v>97</v>
      </c>
      <c r="H187" s="706" t="s">
        <v>95</v>
      </c>
      <c r="I187" s="707" t="s">
        <v>96</v>
      </c>
      <c r="J187" s="81"/>
      <c r="K187" s="550">
        <f t="shared" si="44"/>
        <v>786.6</v>
      </c>
      <c r="L187" s="93">
        <f t="shared" si="44"/>
        <v>0</v>
      </c>
      <c r="M187" s="93">
        <f t="shared" si="44"/>
        <v>786.6</v>
      </c>
    </row>
    <row r="188" spans="1:13" s="95" customFormat="1" ht="56.25">
      <c r="A188" s="82"/>
      <c r="B188" s="96" t="s">
        <v>343</v>
      </c>
      <c r="C188" s="92" t="s">
        <v>12</v>
      </c>
      <c r="D188" s="81" t="s">
        <v>166</v>
      </c>
      <c r="E188" s="81" t="s">
        <v>140</v>
      </c>
      <c r="F188" s="705" t="s">
        <v>131</v>
      </c>
      <c r="G188" s="706" t="s">
        <v>97</v>
      </c>
      <c r="H188" s="706" t="s">
        <v>89</v>
      </c>
      <c r="I188" s="707" t="s">
        <v>96</v>
      </c>
      <c r="J188" s="81"/>
      <c r="K188" s="550">
        <f t="shared" si="44"/>
        <v>786.6</v>
      </c>
      <c r="L188" s="93">
        <f t="shared" si="44"/>
        <v>0</v>
      </c>
      <c r="M188" s="93">
        <f t="shared" si="44"/>
        <v>786.6</v>
      </c>
    </row>
    <row r="189" spans="1:13" s="95" customFormat="1" ht="37.9" customHeight="1">
      <c r="A189" s="82"/>
      <c r="B189" s="464" t="s">
        <v>132</v>
      </c>
      <c r="C189" s="92" t="s">
        <v>12</v>
      </c>
      <c r="D189" s="81" t="s">
        <v>166</v>
      </c>
      <c r="E189" s="81" t="s">
        <v>140</v>
      </c>
      <c r="F189" s="705" t="s">
        <v>131</v>
      </c>
      <c r="G189" s="706" t="s">
        <v>97</v>
      </c>
      <c r="H189" s="706" t="s">
        <v>89</v>
      </c>
      <c r="I189" s="707" t="s">
        <v>133</v>
      </c>
      <c r="J189" s="81"/>
      <c r="K189" s="550">
        <f t="shared" si="44"/>
        <v>786.6</v>
      </c>
      <c r="L189" s="93">
        <f t="shared" si="44"/>
        <v>0</v>
      </c>
      <c r="M189" s="93">
        <f t="shared" si="44"/>
        <v>786.6</v>
      </c>
    </row>
    <row r="190" spans="1:13" s="95" customFormat="1" ht="56.25">
      <c r="A190" s="82"/>
      <c r="B190" s="97" t="s">
        <v>134</v>
      </c>
      <c r="C190" s="92" t="s">
        <v>12</v>
      </c>
      <c r="D190" s="81" t="s">
        <v>166</v>
      </c>
      <c r="E190" s="81" t="s">
        <v>140</v>
      </c>
      <c r="F190" s="705" t="s">
        <v>131</v>
      </c>
      <c r="G190" s="706" t="s">
        <v>97</v>
      </c>
      <c r="H190" s="706" t="s">
        <v>89</v>
      </c>
      <c r="I190" s="707" t="s">
        <v>133</v>
      </c>
      <c r="J190" s="81" t="s">
        <v>135</v>
      </c>
      <c r="K190" s="550">
        <f>699.6+39+48</f>
        <v>786.6</v>
      </c>
      <c r="L190" s="93">
        <f>M190-K190</f>
        <v>0</v>
      </c>
      <c r="M190" s="93">
        <f>699.6+39+48</f>
        <v>786.6</v>
      </c>
    </row>
    <row r="191" spans="1:13" s="95" customFormat="1" ht="37.5">
      <c r="A191" s="82"/>
      <c r="B191" s="97" t="s">
        <v>559</v>
      </c>
      <c r="C191" s="92" t="s">
        <v>12</v>
      </c>
      <c r="D191" s="81" t="s">
        <v>129</v>
      </c>
      <c r="E191" s="81"/>
      <c r="F191" s="705"/>
      <c r="G191" s="706"/>
      <c r="H191" s="706"/>
      <c r="I191" s="707"/>
      <c r="J191" s="81"/>
      <c r="K191" s="550">
        <f t="shared" ref="K191:M203" si="45">K192</f>
        <v>14.3</v>
      </c>
      <c r="L191" s="93">
        <f t="shared" si="45"/>
        <v>0</v>
      </c>
      <c r="M191" s="93">
        <f t="shared" si="45"/>
        <v>14.3</v>
      </c>
    </row>
    <row r="192" spans="1:13" s="95" customFormat="1" ht="37.5">
      <c r="A192" s="82"/>
      <c r="B192" s="97" t="s">
        <v>560</v>
      </c>
      <c r="C192" s="92" t="s">
        <v>12</v>
      </c>
      <c r="D192" s="81" t="s">
        <v>129</v>
      </c>
      <c r="E192" s="81" t="s">
        <v>89</v>
      </c>
      <c r="F192" s="705"/>
      <c r="G192" s="706"/>
      <c r="H192" s="706"/>
      <c r="I192" s="707"/>
      <c r="J192" s="81"/>
      <c r="K192" s="550">
        <f t="shared" si="45"/>
        <v>14.3</v>
      </c>
      <c r="L192" s="93">
        <f t="shared" si="45"/>
        <v>0</v>
      </c>
      <c r="M192" s="93">
        <f t="shared" si="45"/>
        <v>14.3</v>
      </c>
    </row>
    <row r="193" spans="1:13" s="95" customFormat="1" ht="56.25">
      <c r="A193" s="82"/>
      <c r="B193" s="91" t="s">
        <v>92</v>
      </c>
      <c r="C193" s="92" t="s">
        <v>12</v>
      </c>
      <c r="D193" s="81" t="s">
        <v>129</v>
      </c>
      <c r="E193" s="81" t="s">
        <v>89</v>
      </c>
      <c r="F193" s="705" t="s">
        <v>93</v>
      </c>
      <c r="G193" s="706" t="s">
        <v>94</v>
      </c>
      <c r="H193" s="706" t="s">
        <v>95</v>
      </c>
      <c r="I193" s="707" t="s">
        <v>96</v>
      </c>
      <c r="J193" s="81"/>
      <c r="K193" s="550">
        <f t="shared" si="45"/>
        <v>14.3</v>
      </c>
      <c r="L193" s="93">
        <f t="shared" si="45"/>
        <v>0</v>
      </c>
      <c r="M193" s="93">
        <f t="shared" si="45"/>
        <v>14.3</v>
      </c>
    </row>
    <row r="194" spans="1:13" s="95" customFormat="1" ht="37.5">
      <c r="A194" s="82"/>
      <c r="B194" s="91" t="s">
        <v>455</v>
      </c>
      <c r="C194" s="92" t="s">
        <v>12</v>
      </c>
      <c r="D194" s="81" t="s">
        <v>129</v>
      </c>
      <c r="E194" s="81" t="s">
        <v>89</v>
      </c>
      <c r="F194" s="705" t="s">
        <v>93</v>
      </c>
      <c r="G194" s="706" t="s">
        <v>97</v>
      </c>
      <c r="H194" s="706" t="s">
        <v>95</v>
      </c>
      <c r="I194" s="707" t="s">
        <v>96</v>
      </c>
      <c r="J194" s="81"/>
      <c r="K194" s="550">
        <f t="shared" si="45"/>
        <v>14.3</v>
      </c>
      <c r="L194" s="93">
        <f t="shared" si="45"/>
        <v>0</v>
      </c>
      <c r="M194" s="93">
        <f t="shared" si="45"/>
        <v>14.3</v>
      </c>
    </row>
    <row r="195" spans="1:13" s="95" customFormat="1" ht="56.25">
      <c r="A195" s="82"/>
      <c r="B195" s="97" t="s">
        <v>561</v>
      </c>
      <c r="C195" s="92" t="s">
        <v>12</v>
      </c>
      <c r="D195" s="81" t="s">
        <v>129</v>
      </c>
      <c r="E195" s="81" t="s">
        <v>89</v>
      </c>
      <c r="F195" s="705" t="s">
        <v>93</v>
      </c>
      <c r="G195" s="706" t="s">
        <v>97</v>
      </c>
      <c r="H195" s="706" t="s">
        <v>138</v>
      </c>
      <c r="I195" s="707" t="s">
        <v>96</v>
      </c>
      <c r="J195" s="81"/>
      <c r="K195" s="550">
        <f t="shared" si="45"/>
        <v>14.3</v>
      </c>
      <c r="L195" s="93">
        <f t="shared" si="45"/>
        <v>0</v>
      </c>
      <c r="M195" s="93">
        <f t="shared" si="45"/>
        <v>14.3</v>
      </c>
    </row>
    <row r="196" spans="1:13" s="95" customFormat="1" ht="19.899999999999999" customHeight="1">
      <c r="A196" s="82"/>
      <c r="B196" s="467" t="s">
        <v>562</v>
      </c>
      <c r="C196" s="92" t="s">
        <v>12</v>
      </c>
      <c r="D196" s="81" t="s">
        <v>129</v>
      </c>
      <c r="E196" s="81" t="s">
        <v>89</v>
      </c>
      <c r="F196" s="705" t="s">
        <v>93</v>
      </c>
      <c r="G196" s="706" t="s">
        <v>97</v>
      </c>
      <c r="H196" s="706" t="s">
        <v>138</v>
      </c>
      <c r="I196" s="707" t="s">
        <v>563</v>
      </c>
      <c r="J196" s="81"/>
      <c r="K196" s="550">
        <f t="shared" si="45"/>
        <v>14.3</v>
      </c>
      <c r="L196" s="93">
        <f>L197</f>
        <v>0</v>
      </c>
      <c r="M196" s="93">
        <f t="shared" si="45"/>
        <v>14.3</v>
      </c>
    </row>
    <row r="197" spans="1:13" s="95" customFormat="1" ht="37.5">
      <c r="A197" s="82"/>
      <c r="B197" s="97" t="s">
        <v>564</v>
      </c>
      <c r="C197" s="92" t="s">
        <v>12</v>
      </c>
      <c r="D197" s="81" t="s">
        <v>129</v>
      </c>
      <c r="E197" s="81" t="s">
        <v>89</v>
      </c>
      <c r="F197" s="705" t="s">
        <v>93</v>
      </c>
      <c r="G197" s="706" t="s">
        <v>97</v>
      </c>
      <c r="H197" s="706" t="s">
        <v>138</v>
      </c>
      <c r="I197" s="707" t="s">
        <v>563</v>
      </c>
      <c r="J197" s="81" t="s">
        <v>565</v>
      </c>
      <c r="K197" s="550">
        <f>6+8.3</f>
        <v>14.3</v>
      </c>
      <c r="L197" s="93">
        <f>M197-K197</f>
        <v>0</v>
      </c>
      <c r="M197" s="93">
        <f>6+8.3</f>
        <v>14.3</v>
      </c>
    </row>
    <row r="198" spans="1:13" s="95" customFormat="1" ht="56.25">
      <c r="A198" s="82"/>
      <c r="B198" s="97" t="s">
        <v>760</v>
      </c>
      <c r="C198" s="92" t="s">
        <v>12</v>
      </c>
      <c r="D198" s="81" t="s">
        <v>148</v>
      </c>
      <c r="E198" s="81"/>
      <c r="F198" s="705"/>
      <c r="G198" s="706"/>
      <c r="H198" s="706"/>
      <c r="I198" s="707"/>
      <c r="J198" s="81"/>
      <c r="K198" s="550">
        <f t="shared" si="45"/>
        <v>1126.7059999999999</v>
      </c>
      <c r="L198" s="93">
        <f t="shared" si="45"/>
        <v>3449.8630000000003</v>
      </c>
      <c r="M198" s="93">
        <f t="shared" si="45"/>
        <v>4576.5690000000004</v>
      </c>
    </row>
    <row r="199" spans="1:13" s="95" customFormat="1" ht="37.5">
      <c r="A199" s="82"/>
      <c r="B199" s="97" t="s">
        <v>759</v>
      </c>
      <c r="C199" s="92" t="s">
        <v>12</v>
      </c>
      <c r="D199" s="81" t="s">
        <v>148</v>
      </c>
      <c r="E199" s="81" t="s">
        <v>118</v>
      </c>
      <c r="F199" s="705"/>
      <c r="G199" s="706"/>
      <c r="H199" s="706"/>
      <c r="I199" s="707"/>
      <c r="J199" s="81"/>
      <c r="K199" s="550">
        <f t="shared" si="45"/>
        <v>1126.7059999999999</v>
      </c>
      <c r="L199" s="93">
        <f t="shared" si="45"/>
        <v>3449.8630000000003</v>
      </c>
      <c r="M199" s="93">
        <f t="shared" si="45"/>
        <v>4576.5690000000004</v>
      </c>
    </row>
    <row r="200" spans="1:13" s="95" customFormat="1" ht="37.5">
      <c r="A200" s="82"/>
      <c r="B200" s="91" t="s">
        <v>123</v>
      </c>
      <c r="C200" s="92" t="s">
        <v>12</v>
      </c>
      <c r="D200" s="81" t="s">
        <v>148</v>
      </c>
      <c r="E200" s="81" t="s">
        <v>118</v>
      </c>
      <c r="F200" s="705" t="s">
        <v>124</v>
      </c>
      <c r="G200" s="706" t="s">
        <v>94</v>
      </c>
      <c r="H200" s="706" t="s">
        <v>95</v>
      </c>
      <c r="I200" s="707" t="s">
        <v>96</v>
      </c>
      <c r="J200" s="81"/>
      <c r="K200" s="550">
        <f t="shared" si="45"/>
        <v>1126.7059999999999</v>
      </c>
      <c r="L200" s="93">
        <f t="shared" si="45"/>
        <v>3449.8630000000003</v>
      </c>
      <c r="M200" s="93">
        <f t="shared" si="45"/>
        <v>4576.5690000000004</v>
      </c>
    </row>
    <row r="201" spans="1:13" s="95" customFormat="1" ht="37.5">
      <c r="A201" s="82"/>
      <c r="B201" s="91" t="s">
        <v>125</v>
      </c>
      <c r="C201" s="92" t="s">
        <v>12</v>
      </c>
      <c r="D201" s="81" t="s">
        <v>148</v>
      </c>
      <c r="E201" s="81" t="s">
        <v>118</v>
      </c>
      <c r="F201" s="705" t="s">
        <v>124</v>
      </c>
      <c r="G201" s="706" t="s">
        <v>97</v>
      </c>
      <c r="H201" s="706" t="s">
        <v>95</v>
      </c>
      <c r="I201" s="707" t="s">
        <v>96</v>
      </c>
      <c r="J201" s="81"/>
      <c r="K201" s="550">
        <f t="shared" si="45"/>
        <v>1126.7059999999999</v>
      </c>
      <c r="L201" s="93">
        <f t="shared" si="45"/>
        <v>3449.8630000000003</v>
      </c>
      <c r="M201" s="93">
        <f t="shared" si="45"/>
        <v>4576.5690000000004</v>
      </c>
    </row>
    <row r="202" spans="1:13" s="95" customFormat="1" ht="18.75">
      <c r="A202" s="82"/>
      <c r="B202" s="97" t="s">
        <v>121</v>
      </c>
      <c r="C202" s="92" t="s">
        <v>12</v>
      </c>
      <c r="D202" s="81" t="s">
        <v>148</v>
      </c>
      <c r="E202" s="81" t="s">
        <v>118</v>
      </c>
      <c r="F202" s="705" t="s">
        <v>124</v>
      </c>
      <c r="G202" s="706" t="s">
        <v>97</v>
      </c>
      <c r="H202" s="706" t="s">
        <v>89</v>
      </c>
      <c r="I202" s="707" t="s">
        <v>96</v>
      </c>
      <c r="J202" s="81"/>
      <c r="K202" s="550">
        <f t="shared" si="45"/>
        <v>1126.7059999999999</v>
      </c>
      <c r="L202" s="93">
        <f t="shared" si="45"/>
        <v>3449.8630000000003</v>
      </c>
      <c r="M202" s="93">
        <f t="shared" si="45"/>
        <v>4576.5690000000004</v>
      </c>
    </row>
    <row r="203" spans="1:13" s="95" customFormat="1" ht="93.75">
      <c r="A203" s="82"/>
      <c r="B203" s="467" t="s">
        <v>758</v>
      </c>
      <c r="C203" s="92" t="s">
        <v>12</v>
      </c>
      <c r="D203" s="81" t="s">
        <v>148</v>
      </c>
      <c r="E203" s="81" t="s">
        <v>118</v>
      </c>
      <c r="F203" s="705" t="s">
        <v>124</v>
      </c>
      <c r="G203" s="706" t="s">
        <v>97</v>
      </c>
      <c r="H203" s="706" t="s">
        <v>89</v>
      </c>
      <c r="I203" s="707" t="s">
        <v>757</v>
      </c>
      <c r="J203" s="81"/>
      <c r="K203" s="550">
        <f t="shared" si="45"/>
        <v>1126.7059999999999</v>
      </c>
      <c r="L203" s="93">
        <f>L204</f>
        <v>3449.8630000000003</v>
      </c>
      <c r="M203" s="93">
        <f t="shared" si="45"/>
        <v>4576.5690000000004</v>
      </c>
    </row>
    <row r="204" spans="1:13" s="95" customFormat="1" ht="18.75">
      <c r="A204" s="82"/>
      <c r="B204" s="97" t="s">
        <v>185</v>
      </c>
      <c r="C204" s="92" t="s">
        <v>12</v>
      </c>
      <c r="D204" s="81" t="s">
        <v>148</v>
      </c>
      <c r="E204" s="81" t="s">
        <v>118</v>
      </c>
      <c r="F204" s="705" t="s">
        <v>124</v>
      </c>
      <c r="G204" s="706" t="s">
        <v>97</v>
      </c>
      <c r="H204" s="706" t="s">
        <v>89</v>
      </c>
      <c r="I204" s="707" t="s">
        <v>757</v>
      </c>
      <c r="J204" s="81" t="s">
        <v>186</v>
      </c>
      <c r="K204" s="550">
        <v>1126.7059999999999</v>
      </c>
      <c r="L204" s="93">
        <f>M204-K204</f>
        <v>3449.8630000000003</v>
      </c>
      <c r="M204" s="93">
        <f>1126.706+3000+449.863</f>
        <v>4576.5690000000004</v>
      </c>
    </row>
    <row r="205" spans="1:13" ht="18.75">
      <c r="A205" s="82"/>
      <c r="B205" s="91"/>
      <c r="C205" s="92"/>
      <c r="D205" s="81"/>
      <c r="E205" s="81"/>
      <c r="F205" s="705"/>
      <c r="G205" s="706"/>
      <c r="H205" s="706"/>
      <c r="I205" s="707"/>
      <c r="J205" s="81"/>
      <c r="K205" s="550"/>
      <c r="L205" s="93"/>
      <c r="M205" s="93"/>
    </row>
    <row r="206" spans="1:13" ht="56.25">
      <c r="A206" s="83">
        <v>2</v>
      </c>
      <c r="B206" s="84" t="s">
        <v>27</v>
      </c>
      <c r="C206" s="85" t="s">
        <v>397</v>
      </c>
      <c r="D206" s="86"/>
      <c r="E206" s="86"/>
      <c r="F206" s="87"/>
      <c r="G206" s="88"/>
      <c r="H206" s="88"/>
      <c r="I206" s="89"/>
      <c r="J206" s="86"/>
      <c r="K206" s="549">
        <f>K207+K225</f>
        <v>35445.1</v>
      </c>
      <c r="L206" s="156">
        <f>L207+L225</f>
        <v>0</v>
      </c>
      <c r="M206" s="156">
        <f>M207+M225</f>
        <v>35445.1</v>
      </c>
    </row>
    <row r="207" spans="1:13" ht="18.75">
      <c r="A207" s="82"/>
      <c r="B207" s="91" t="s">
        <v>88</v>
      </c>
      <c r="C207" s="92" t="s">
        <v>397</v>
      </c>
      <c r="D207" s="81" t="s">
        <v>89</v>
      </c>
      <c r="E207" s="81"/>
      <c r="F207" s="705"/>
      <c r="G207" s="706"/>
      <c r="H207" s="706"/>
      <c r="I207" s="707"/>
      <c r="J207" s="81"/>
      <c r="K207" s="550">
        <f t="shared" ref="K207" si="46">K208+K219</f>
        <v>25645.1</v>
      </c>
      <c r="L207" s="93">
        <f t="shared" ref="L207:M207" si="47">L208+L219</f>
        <v>0</v>
      </c>
      <c r="M207" s="93">
        <f t="shared" si="47"/>
        <v>25645.1</v>
      </c>
    </row>
    <row r="208" spans="1:13" ht="75">
      <c r="A208" s="82"/>
      <c r="B208" s="91" t="s">
        <v>191</v>
      </c>
      <c r="C208" s="92" t="s">
        <v>397</v>
      </c>
      <c r="D208" s="81" t="s">
        <v>89</v>
      </c>
      <c r="E208" s="81" t="s">
        <v>140</v>
      </c>
      <c r="F208" s="705"/>
      <c r="G208" s="706"/>
      <c r="H208" s="706"/>
      <c r="I208" s="707"/>
      <c r="J208" s="81"/>
      <c r="K208" s="550">
        <f t="shared" ref="K208:M211" si="48">K209</f>
        <v>23665.699999999997</v>
      </c>
      <c r="L208" s="93">
        <f t="shared" si="48"/>
        <v>0</v>
      </c>
      <c r="M208" s="93">
        <f t="shared" si="48"/>
        <v>23665.699999999997</v>
      </c>
    </row>
    <row r="209" spans="1:13" ht="56.25">
      <c r="A209" s="82"/>
      <c r="B209" s="91" t="s">
        <v>296</v>
      </c>
      <c r="C209" s="92" t="s">
        <v>397</v>
      </c>
      <c r="D209" s="81" t="s">
        <v>89</v>
      </c>
      <c r="E209" s="81" t="s">
        <v>140</v>
      </c>
      <c r="F209" s="705" t="s">
        <v>297</v>
      </c>
      <c r="G209" s="706" t="s">
        <v>94</v>
      </c>
      <c r="H209" s="706" t="s">
        <v>95</v>
      </c>
      <c r="I209" s="707" t="s">
        <v>96</v>
      </c>
      <c r="J209" s="81"/>
      <c r="K209" s="550">
        <f t="shared" si="48"/>
        <v>23665.699999999997</v>
      </c>
      <c r="L209" s="93">
        <f t="shared" si="48"/>
        <v>0</v>
      </c>
      <c r="M209" s="93">
        <f t="shared" si="48"/>
        <v>23665.699999999997</v>
      </c>
    </row>
    <row r="210" spans="1:13" ht="37.5">
      <c r="A210" s="82"/>
      <c r="B210" s="91" t="s">
        <v>455</v>
      </c>
      <c r="C210" s="92" t="s">
        <v>397</v>
      </c>
      <c r="D210" s="81" t="s">
        <v>89</v>
      </c>
      <c r="E210" s="81" t="s">
        <v>140</v>
      </c>
      <c r="F210" s="102" t="s">
        <v>297</v>
      </c>
      <c r="G210" s="103" t="s">
        <v>97</v>
      </c>
      <c r="H210" s="706" t="s">
        <v>95</v>
      </c>
      <c r="I210" s="707" t="s">
        <v>96</v>
      </c>
      <c r="J210" s="81"/>
      <c r="K210" s="550">
        <f t="shared" ref="K210" si="49">K211+K216</f>
        <v>23665.699999999997</v>
      </c>
      <c r="L210" s="93">
        <f t="shared" ref="L210:M210" si="50">L211+L216</f>
        <v>0</v>
      </c>
      <c r="M210" s="93">
        <f t="shared" si="50"/>
        <v>23665.699999999997</v>
      </c>
    </row>
    <row r="211" spans="1:13" ht="56.25">
      <c r="A211" s="82"/>
      <c r="B211" s="91" t="s">
        <v>398</v>
      </c>
      <c r="C211" s="92" t="s">
        <v>397</v>
      </c>
      <c r="D211" s="81" t="s">
        <v>89</v>
      </c>
      <c r="E211" s="81" t="s">
        <v>140</v>
      </c>
      <c r="F211" s="102" t="s">
        <v>297</v>
      </c>
      <c r="G211" s="103" t="s">
        <v>97</v>
      </c>
      <c r="H211" s="706" t="s">
        <v>89</v>
      </c>
      <c r="I211" s="707" t="s">
        <v>96</v>
      </c>
      <c r="J211" s="81"/>
      <c r="K211" s="550">
        <f t="shared" si="48"/>
        <v>23472.399999999998</v>
      </c>
      <c r="L211" s="93">
        <f t="shared" si="48"/>
        <v>0</v>
      </c>
      <c r="M211" s="93">
        <f t="shared" si="48"/>
        <v>23472.399999999998</v>
      </c>
    </row>
    <row r="212" spans="1:13" ht="37.5">
      <c r="A212" s="82"/>
      <c r="B212" s="91" t="s">
        <v>99</v>
      </c>
      <c r="C212" s="92" t="s">
        <v>397</v>
      </c>
      <c r="D212" s="81" t="s">
        <v>89</v>
      </c>
      <c r="E212" s="81" t="s">
        <v>140</v>
      </c>
      <c r="F212" s="102" t="s">
        <v>297</v>
      </c>
      <c r="G212" s="103" t="s">
        <v>97</v>
      </c>
      <c r="H212" s="706" t="s">
        <v>89</v>
      </c>
      <c r="I212" s="707" t="s">
        <v>100</v>
      </c>
      <c r="J212" s="81"/>
      <c r="K212" s="550">
        <f t="shared" ref="K212" si="51">SUM(K213:K215)</f>
        <v>23472.399999999998</v>
      </c>
      <c r="L212" s="93">
        <f t="shared" ref="L212:M212" si="52">SUM(L213:L215)</f>
        <v>0</v>
      </c>
      <c r="M212" s="93">
        <f t="shared" si="52"/>
        <v>23472.399999999998</v>
      </c>
    </row>
    <row r="213" spans="1:13" ht="96.6" customHeight="1">
      <c r="A213" s="82"/>
      <c r="B213" s="463" t="s">
        <v>101</v>
      </c>
      <c r="C213" s="92" t="s">
        <v>397</v>
      </c>
      <c r="D213" s="81" t="s">
        <v>89</v>
      </c>
      <c r="E213" s="81" t="s">
        <v>140</v>
      </c>
      <c r="F213" s="102" t="s">
        <v>297</v>
      </c>
      <c r="G213" s="103" t="s">
        <v>97</v>
      </c>
      <c r="H213" s="706" t="s">
        <v>89</v>
      </c>
      <c r="I213" s="707" t="s">
        <v>100</v>
      </c>
      <c r="J213" s="81" t="s">
        <v>102</v>
      </c>
      <c r="K213" s="550">
        <f>21722.4+773.3</f>
        <v>22495.7</v>
      </c>
      <c r="L213" s="93">
        <f t="shared" ref="L213:L215" si="53">M213-K213</f>
        <v>0</v>
      </c>
      <c r="M213" s="93">
        <f>21722.4+773.3</f>
        <v>22495.7</v>
      </c>
    </row>
    <row r="214" spans="1:13" ht="52.15" customHeight="1">
      <c r="A214" s="82"/>
      <c r="B214" s="463" t="s">
        <v>107</v>
      </c>
      <c r="C214" s="92" t="s">
        <v>397</v>
      </c>
      <c r="D214" s="81" t="s">
        <v>89</v>
      </c>
      <c r="E214" s="81" t="s">
        <v>140</v>
      </c>
      <c r="F214" s="102" t="s">
        <v>297</v>
      </c>
      <c r="G214" s="103" t="s">
        <v>97</v>
      </c>
      <c r="H214" s="706" t="s">
        <v>89</v>
      </c>
      <c r="I214" s="707" t="s">
        <v>100</v>
      </c>
      <c r="J214" s="81" t="s">
        <v>108</v>
      </c>
      <c r="K214" s="550">
        <f>921.6+47.4+2.6</f>
        <v>971.6</v>
      </c>
      <c r="L214" s="93">
        <f t="shared" si="53"/>
        <v>0</v>
      </c>
      <c r="M214" s="93">
        <f>921.6+47.4+2.6</f>
        <v>971.6</v>
      </c>
    </row>
    <row r="215" spans="1:13" ht="18.75">
      <c r="A215" s="82"/>
      <c r="B215" s="91" t="s">
        <v>109</v>
      </c>
      <c r="C215" s="92" t="s">
        <v>397</v>
      </c>
      <c r="D215" s="81" t="s">
        <v>89</v>
      </c>
      <c r="E215" s="81" t="s">
        <v>140</v>
      </c>
      <c r="F215" s="102" t="s">
        <v>297</v>
      </c>
      <c r="G215" s="103" t="s">
        <v>97</v>
      </c>
      <c r="H215" s="706" t="s">
        <v>89</v>
      </c>
      <c r="I215" s="707" t="s">
        <v>100</v>
      </c>
      <c r="J215" s="81" t="s">
        <v>110</v>
      </c>
      <c r="K215" s="550">
        <v>5.0999999999999996</v>
      </c>
      <c r="L215" s="93">
        <f t="shared" si="53"/>
        <v>0</v>
      </c>
      <c r="M215" s="93">
        <v>5.0999999999999996</v>
      </c>
    </row>
    <row r="216" spans="1:13" ht="75">
      <c r="A216" s="82"/>
      <c r="B216" s="91" t="s">
        <v>430</v>
      </c>
      <c r="C216" s="92" t="s">
        <v>397</v>
      </c>
      <c r="D216" s="81" t="s">
        <v>89</v>
      </c>
      <c r="E216" s="81" t="s">
        <v>140</v>
      </c>
      <c r="F216" s="102" t="s">
        <v>297</v>
      </c>
      <c r="G216" s="103" t="s">
        <v>97</v>
      </c>
      <c r="H216" s="706" t="s">
        <v>104</v>
      </c>
      <c r="I216" s="707" t="s">
        <v>96</v>
      </c>
      <c r="J216" s="81"/>
      <c r="K216" s="550">
        <f t="shared" ref="K216:M216" si="54">K217</f>
        <v>193.3</v>
      </c>
      <c r="L216" s="93">
        <f t="shared" si="54"/>
        <v>0</v>
      </c>
      <c r="M216" s="93">
        <f t="shared" si="54"/>
        <v>193.3</v>
      </c>
    </row>
    <row r="217" spans="1:13" ht="37.5">
      <c r="A217" s="82"/>
      <c r="B217" s="91" t="s">
        <v>532</v>
      </c>
      <c r="C217" s="92" t="s">
        <v>397</v>
      </c>
      <c r="D217" s="81" t="s">
        <v>89</v>
      </c>
      <c r="E217" s="81" t="s">
        <v>140</v>
      </c>
      <c r="F217" s="102" t="s">
        <v>297</v>
      </c>
      <c r="G217" s="103" t="s">
        <v>97</v>
      </c>
      <c r="H217" s="706" t="s">
        <v>104</v>
      </c>
      <c r="I217" s="707" t="s">
        <v>531</v>
      </c>
      <c r="J217" s="81"/>
      <c r="K217" s="550">
        <f>SUM(K218:K218)</f>
        <v>193.3</v>
      </c>
      <c r="L217" s="93">
        <f>SUM(L218:L218)</f>
        <v>0</v>
      </c>
      <c r="M217" s="93">
        <f>SUM(M218:M218)</f>
        <v>193.3</v>
      </c>
    </row>
    <row r="218" spans="1:13" ht="57" customHeight="1">
      <c r="A218" s="82"/>
      <c r="B218" s="463" t="s">
        <v>107</v>
      </c>
      <c r="C218" s="92" t="s">
        <v>397</v>
      </c>
      <c r="D218" s="81" t="s">
        <v>89</v>
      </c>
      <c r="E218" s="81" t="s">
        <v>140</v>
      </c>
      <c r="F218" s="102" t="s">
        <v>297</v>
      </c>
      <c r="G218" s="103" t="s">
        <v>97</v>
      </c>
      <c r="H218" s="706" t="s">
        <v>104</v>
      </c>
      <c r="I218" s="707" t="s">
        <v>531</v>
      </c>
      <c r="J218" s="81" t="s">
        <v>108</v>
      </c>
      <c r="K218" s="550">
        <v>193.3</v>
      </c>
      <c r="L218" s="93">
        <f>M218-K218</f>
        <v>0</v>
      </c>
      <c r="M218" s="93">
        <v>193.3</v>
      </c>
    </row>
    <row r="219" spans="1:13" ht="18.75">
      <c r="A219" s="82"/>
      <c r="B219" s="91" t="s">
        <v>128</v>
      </c>
      <c r="C219" s="92" t="s">
        <v>397</v>
      </c>
      <c r="D219" s="81" t="s">
        <v>89</v>
      </c>
      <c r="E219" s="81" t="s">
        <v>129</v>
      </c>
      <c r="F219" s="102"/>
      <c r="G219" s="103"/>
      <c r="H219" s="706"/>
      <c r="I219" s="707"/>
      <c r="J219" s="81"/>
      <c r="K219" s="550">
        <f t="shared" ref="K219:M223" si="55">K220</f>
        <v>1979.4</v>
      </c>
      <c r="L219" s="93">
        <f t="shared" si="55"/>
        <v>0</v>
      </c>
      <c r="M219" s="93">
        <f t="shared" si="55"/>
        <v>1979.4</v>
      </c>
    </row>
    <row r="220" spans="1:13" ht="56.25">
      <c r="A220" s="82"/>
      <c r="B220" s="91" t="s">
        <v>296</v>
      </c>
      <c r="C220" s="92" t="s">
        <v>397</v>
      </c>
      <c r="D220" s="81" t="s">
        <v>89</v>
      </c>
      <c r="E220" s="81" t="s">
        <v>129</v>
      </c>
      <c r="F220" s="102" t="s">
        <v>297</v>
      </c>
      <c r="G220" s="103" t="s">
        <v>94</v>
      </c>
      <c r="H220" s="706" t="s">
        <v>95</v>
      </c>
      <c r="I220" s="707" t="s">
        <v>96</v>
      </c>
      <c r="J220" s="81"/>
      <c r="K220" s="550">
        <f t="shared" si="55"/>
        <v>1979.4</v>
      </c>
      <c r="L220" s="93">
        <f t="shared" si="55"/>
        <v>0</v>
      </c>
      <c r="M220" s="93">
        <f t="shared" si="55"/>
        <v>1979.4</v>
      </c>
    </row>
    <row r="221" spans="1:13" ht="37.5">
      <c r="A221" s="82"/>
      <c r="B221" s="91" t="s">
        <v>455</v>
      </c>
      <c r="C221" s="92" t="s">
        <v>397</v>
      </c>
      <c r="D221" s="81" t="s">
        <v>89</v>
      </c>
      <c r="E221" s="81" t="s">
        <v>129</v>
      </c>
      <c r="F221" s="102" t="s">
        <v>297</v>
      </c>
      <c r="G221" s="103" t="s">
        <v>97</v>
      </c>
      <c r="H221" s="706" t="s">
        <v>95</v>
      </c>
      <c r="I221" s="707" t="s">
        <v>96</v>
      </c>
      <c r="J221" s="81"/>
      <c r="K221" s="550">
        <f t="shared" si="55"/>
        <v>1979.4</v>
      </c>
      <c r="L221" s="93">
        <f t="shared" si="55"/>
        <v>0</v>
      </c>
      <c r="M221" s="93">
        <f t="shared" si="55"/>
        <v>1979.4</v>
      </c>
    </row>
    <row r="222" spans="1:13" ht="37.5">
      <c r="A222" s="82"/>
      <c r="B222" s="91" t="s">
        <v>483</v>
      </c>
      <c r="C222" s="92" t="s">
        <v>397</v>
      </c>
      <c r="D222" s="81" t="s">
        <v>89</v>
      </c>
      <c r="E222" s="81" t="s">
        <v>129</v>
      </c>
      <c r="F222" s="102" t="s">
        <v>297</v>
      </c>
      <c r="G222" s="103" t="s">
        <v>97</v>
      </c>
      <c r="H222" s="706" t="s">
        <v>118</v>
      </c>
      <c r="I222" s="707" t="s">
        <v>96</v>
      </c>
      <c r="J222" s="81"/>
      <c r="K222" s="550">
        <f t="shared" si="55"/>
        <v>1979.4</v>
      </c>
      <c r="L222" s="93">
        <f t="shared" si="55"/>
        <v>0</v>
      </c>
      <c r="M222" s="93">
        <f t="shared" si="55"/>
        <v>1979.4</v>
      </c>
    </row>
    <row r="223" spans="1:13" ht="75">
      <c r="A223" s="82"/>
      <c r="B223" s="91" t="s">
        <v>484</v>
      </c>
      <c r="C223" s="92" t="s">
        <v>397</v>
      </c>
      <c r="D223" s="81" t="s">
        <v>89</v>
      </c>
      <c r="E223" s="81" t="s">
        <v>129</v>
      </c>
      <c r="F223" s="102" t="s">
        <v>297</v>
      </c>
      <c r="G223" s="103" t="s">
        <v>97</v>
      </c>
      <c r="H223" s="706" t="s">
        <v>118</v>
      </c>
      <c r="I223" s="707" t="s">
        <v>167</v>
      </c>
      <c r="J223" s="81"/>
      <c r="K223" s="550">
        <f t="shared" si="55"/>
        <v>1979.4</v>
      </c>
      <c r="L223" s="93">
        <f t="shared" si="55"/>
        <v>0</v>
      </c>
      <c r="M223" s="93">
        <f t="shared" si="55"/>
        <v>1979.4</v>
      </c>
    </row>
    <row r="224" spans="1:13" ht="54.6" customHeight="1">
      <c r="A224" s="82"/>
      <c r="B224" s="463" t="s">
        <v>107</v>
      </c>
      <c r="C224" s="92" t="s">
        <v>397</v>
      </c>
      <c r="D224" s="81" t="s">
        <v>89</v>
      </c>
      <c r="E224" s="81" t="s">
        <v>129</v>
      </c>
      <c r="F224" s="102" t="s">
        <v>297</v>
      </c>
      <c r="G224" s="103" t="s">
        <v>97</v>
      </c>
      <c r="H224" s="706" t="s">
        <v>118</v>
      </c>
      <c r="I224" s="707" t="s">
        <v>167</v>
      </c>
      <c r="J224" s="81" t="s">
        <v>108</v>
      </c>
      <c r="K224" s="550">
        <f>1925.9+16.8+36.7</f>
        <v>1979.4</v>
      </c>
      <c r="L224" s="93">
        <f>M224-K224</f>
        <v>0</v>
      </c>
      <c r="M224" s="93">
        <f>1925.9+16.8+36.7</f>
        <v>1979.4</v>
      </c>
    </row>
    <row r="225" spans="1:13" ht="56.25">
      <c r="A225" s="82"/>
      <c r="B225" s="91" t="s">
        <v>272</v>
      </c>
      <c r="C225" s="92" t="s">
        <v>397</v>
      </c>
      <c r="D225" s="81" t="s">
        <v>148</v>
      </c>
      <c r="E225" s="81"/>
      <c r="F225" s="102"/>
      <c r="G225" s="103"/>
      <c r="H225" s="706"/>
      <c r="I225" s="707"/>
      <c r="J225" s="81"/>
      <c r="K225" s="550">
        <f>K226+K232</f>
        <v>9800</v>
      </c>
      <c r="L225" s="93">
        <f>M225-K225</f>
        <v>0</v>
      </c>
      <c r="M225" s="93">
        <f>M226+M232</f>
        <v>9800</v>
      </c>
    </row>
    <row r="226" spans="1:13" ht="56.25">
      <c r="A226" s="82"/>
      <c r="B226" s="99" t="s">
        <v>273</v>
      </c>
      <c r="C226" s="92" t="s">
        <v>397</v>
      </c>
      <c r="D226" s="81" t="s">
        <v>148</v>
      </c>
      <c r="E226" s="81" t="s">
        <v>89</v>
      </c>
      <c r="F226" s="102"/>
      <c r="G226" s="103"/>
      <c r="H226" s="706"/>
      <c r="I226" s="707"/>
      <c r="J226" s="81"/>
      <c r="K226" s="550">
        <f t="shared" ref="K226:M228" si="56">K227</f>
        <v>5000</v>
      </c>
      <c r="L226" s="93">
        <f t="shared" ref="L226:L230" si="57">M226-K226</f>
        <v>0</v>
      </c>
      <c r="M226" s="93">
        <f t="shared" si="56"/>
        <v>5000</v>
      </c>
    </row>
    <row r="227" spans="1:13" ht="56.25">
      <c r="A227" s="82"/>
      <c r="B227" s="91" t="s">
        <v>296</v>
      </c>
      <c r="C227" s="92" t="s">
        <v>397</v>
      </c>
      <c r="D227" s="81" t="s">
        <v>148</v>
      </c>
      <c r="E227" s="81" t="s">
        <v>89</v>
      </c>
      <c r="F227" s="102" t="s">
        <v>297</v>
      </c>
      <c r="G227" s="103" t="s">
        <v>94</v>
      </c>
      <c r="H227" s="706" t="s">
        <v>95</v>
      </c>
      <c r="I227" s="707" t="s">
        <v>96</v>
      </c>
      <c r="J227" s="81"/>
      <c r="K227" s="550">
        <f t="shared" si="56"/>
        <v>5000</v>
      </c>
      <c r="L227" s="93">
        <f t="shared" si="57"/>
        <v>0</v>
      </c>
      <c r="M227" s="93">
        <f t="shared" si="56"/>
        <v>5000</v>
      </c>
    </row>
    <row r="228" spans="1:13" ht="37.5">
      <c r="A228" s="82"/>
      <c r="B228" s="91" t="s">
        <v>455</v>
      </c>
      <c r="C228" s="92" t="s">
        <v>397</v>
      </c>
      <c r="D228" s="81" t="s">
        <v>148</v>
      </c>
      <c r="E228" s="81" t="s">
        <v>89</v>
      </c>
      <c r="F228" s="102" t="s">
        <v>297</v>
      </c>
      <c r="G228" s="103" t="s">
        <v>97</v>
      </c>
      <c r="H228" s="706" t="s">
        <v>95</v>
      </c>
      <c r="I228" s="707" t="s">
        <v>96</v>
      </c>
      <c r="J228" s="81"/>
      <c r="K228" s="550">
        <f t="shared" si="56"/>
        <v>5000</v>
      </c>
      <c r="L228" s="93">
        <f t="shared" si="57"/>
        <v>0</v>
      </c>
      <c r="M228" s="93">
        <f t="shared" si="56"/>
        <v>5000</v>
      </c>
    </row>
    <row r="229" spans="1:13" ht="37.5">
      <c r="A229" s="82"/>
      <c r="B229" s="91" t="s">
        <v>399</v>
      </c>
      <c r="C229" s="92" t="s">
        <v>397</v>
      </c>
      <c r="D229" s="81" t="s">
        <v>148</v>
      </c>
      <c r="E229" s="81" t="s">
        <v>89</v>
      </c>
      <c r="F229" s="102" t="s">
        <v>297</v>
      </c>
      <c r="G229" s="103" t="s">
        <v>97</v>
      </c>
      <c r="H229" s="706" t="s">
        <v>91</v>
      </c>
      <c r="I229" s="707" t="s">
        <v>96</v>
      </c>
      <c r="J229" s="81"/>
      <c r="K229" s="550">
        <f>K230</f>
        <v>5000</v>
      </c>
      <c r="L229" s="93">
        <f t="shared" si="57"/>
        <v>0</v>
      </c>
      <c r="M229" s="93">
        <f>M230</f>
        <v>5000</v>
      </c>
    </row>
    <row r="230" spans="1:13" ht="37.5">
      <c r="A230" s="82"/>
      <c r="B230" s="91" t="s">
        <v>335</v>
      </c>
      <c r="C230" s="92" t="s">
        <v>397</v>
      </c>
      <c r="D230" s="81" t="s">
        <v>148</v>
      </c>
      <c r="E230" s="81" t="s">
        <v>89</v>
      </c>
      <c r="F230" s="102" t="s">
        <v>297</v>
      </c>
      <c r="G230" s="103" t="s">
        <v>97</v>
      </c>
      <c r="H230" s="706" t="s">
        <v>91</v>
      </c>
      <c r="I230" s="707" t="s">
        <v>693</v>
      </c>
      <c r="J230" s="81"/>
      <c r="K230" s="550">
        <f>K231</f>
        <v>5000</v>
      </c>
      <c r="L230" s="93">
        <f t="shared" si="57"/>
        <v>0</v>
      </c>
      <c r="M230" s="93">
        <f>M231</f>
        <v>5000</v>
      </c>
    </row>
    <row r="231" spans="1:13" ht="18.75">
      <c r="A231" s="82"/>
      <c r="B231" s="91" t="s">
        <v>185</v>
      </c>
      <c r="C231" s="92" t="s">
        <v>397</v>
      </c>
      <c r="D231" s="81" t="s">
        <v>148</v>
      </c>
      <c r="E231" s="81" t="s">
        <v>89</v>
      </c>
      <c r="F231" s="102" t="s">
        <v>297</v>
      </c>
      <c r="G231" s="103" t="s">
        <v>97</v>
      </c>
      <c r="H231" s="706" t="s">
        <v>91</v>
      </c>
      <c r="I231" s="707" t="s">
        <v>693</v>
      </c>
      <c r="J231" s="81" t="s">
        <v>186</v>
      </c>
      <c r="K231" s="550">
        <v>5000</v>
      </c>
      <c r="L231" s="93">
        <f>M231-K231</f>
        <v>0</v>
      </c>
      <c r="M231" s="93">
        <v>5000</v>
      </c>
    </row>
    <row r="232" spans="1:13" ht="18.75">
      <c r="A232" s="82"/>
      <c r="B232" s="91" t="s">
        <v>753</v>
      </c>
      <c r="C232" s="92" t="s">
        <v>397</v>
      </c>
      <c r="D232" s="81" t="s">
        <v>148</v>
      </c>
      <c r="E232" s="81" t="s">
        <v>91</v>
      </c>
      <c r="F232" s="102"/>
      <c r="G232" s="103"/>
      <c r="H232" s="706"/>
      <c r="I232" s="707"/>
      <c r="J232" s="81"/>
      <c r="K232" s="550">
        <f t="shared" ref="K232:M235" si="58">K233</f>
        <v>4800</v>
      </c>
      <c r="L232" s="93">
        <f t="shared" si="58"/>
        <v>0</v>
      </c>
      <c r="M232" s="93">
        <f t="shared" si="58"/>
        <v>4800</v>
      </c>
    </row>
    <row r="233" spans="1:13" ht="56.25">
      <c r="A233" s="82"/>
      <c r="B233" s="91" t="s">
        <v>296</v>
      </c>
      <c r="C233" s="92" t="s">
        <v>397</v>
      </c>
      <c r="D233" s="81" t="s">
        <v>148</v>
      </c>
      <c r="E233" s="81" t="s">
        <v>91</v>
      </c>
      <c r="F233" s="102" t="s">
        <v>297</v>
      </c>
      <c r="G233" s="103" t="s">
        <v>94</v>
      </c>
      <c r="H233" s="706" t="s">
        <v>95</v>
      </c>
      <c r="I233" s="707" t="s">
        <v>96</v>
      </c>
      <c r="J233" s="81"/>
      <c r="K233" s="550">
        <f t="shared" si="58"/>
        <v>4800</v>
      </c>
      <c r="L233" s="93">
        <f t="shared" si="58"/>
        <v>0</v>
      </c>
      <c r="M233" s="93">
        <f t="shared" si="58"/>
        <v>4800</v>
      </c>
    </row>
    <row r="234" spans="1:13" ht="37.5">
      <c r="A234" s="82"/>
      <c r="B234" s="91" t="s">
        <v>455</v>
      </c>
      <c r="C234" s="92" t="s">
        <v>397</v>
      </c>
      <c r="D234" s="81" t="s">
        <v>148</v>
      </c>
      <c r="E234" s="81" t="s">
        <v>91</v>
      </c>
      <c r="F234" s="102" t="s">
        <v>297</v>
      </c>
      <c r="G234" s="103" t="s">
        <v>97</v>
      </c>
      <c r="H234" s="706" t="s">
        <v>95</v>
      </c>
      <c r="I234" s="707" t="s">
        <v>96</v>
      </c>
      <c r="J234" s="81"/>
      <c r="K234" s="550">
        <f t="shared" si="58"/>
        <v>4800</v>
      </c>
      <c r="L234" s="93">
        <f t="shared" si="58"/>
        <v>0</v>
      </c>
      <c r="M234" s="93">
        <f t="shared" si="58"/>
        <v>4800</v>
      </c>
    </row>
    <row r="235" spans="1:13" ht="37.5">
      <c r="A235" s="82"/>
      <c r="B235" s="91" t="s">
        <v>399</v>
      </c>
      <c r="C235" s="92" t="s">
        <v>397</v>
      </c>
      <c r="D235" s="81" t="s">
        <v>148</v>
      </c>
      <c r="E235" s="81" t="s">
        <v>91</v>
      </c>
      <c r="F235" s="102" t="s">
        <v>297</v>
      </c>
      <c r="G235" s="103" t="s">
        <v>97</v>
      </c>
      <c r="H235" s="706" t="s">
        <v>91</v>
      </c>
      <c r="I235" s="707" t="s">
        <v>96</v>
      </c>
      <c r="J235" s="81"/>
      <c r="K235" s="550">
        <f t="shared" si="58"/>
        <v>4800</v>
      </c>
      <c r="L235" s="93">
        <f t="shared" si="58"/>
        <v>0</v>
      </c>
      <c r="M235" s="93">
        <f t="shared" si="58"/>
        <v>4800</v>
      </c>
    </row>
    <row r="236" spans="1:13" ht="37.5">
      <c r="A236" s="82"/>
      <c r="B236" s="91" t="s">
        <v>741</v>
      </c>
      <c r="C236" s="92" t="s">
        <v>397</v>
      </c>
      <c r="D236" s="81" t="s">
        <v>148</v>
      </c>
      <c r="E236" s="81" t="s">
        <v>91</v>
      </c>
      <c r="F236" s="102" t="s">
        <v>297</v>
      </c>
      <c r="G236" s="103" t="s">
        <v>97</v>
      </c>
      <c r="H236" s="706" t="s">
        <v>91</v>
      </c>
      <c r="I236" s="707" t="s">
        <v>740</v>
      </c>
      <c r="J236" s="81"/>
      <c r="K236" s="550">
        <f>K237</f>
        <v>4800</v>
      </c>
      <c r="L236" s="93">
        <f>L237</f>
        <v>0</v>
      </c>
      <c r="M236" s="93">
        <f>M237</f>
        <v>4800</v>
      </c>
    </row>
    <row r="237" spans="1:13" ht="18.75">
      <c r="A237" s="82"/>
      <c r="B237" s="91" t="s">
        <v>185</v>
      </c>
      <c r="C237" s="92" t="s">
        <v>397</v>
      </c>
      <c r="D237" s="81" t="s">
        <v>148</v>
      </c>
      <c r="E237" s="81" t="s">
        <v>91</v>
      </c>
      <c r="F237" s="102" t="s">
        <v>297</v>
      </c>
      <c r="G237" s="103" t="s">
        <v>97</v>
      </c>
      <c r="H237" s="706" t="s">
        <v>91</v>
      </c>
      <c r="I237" s="707" t="s">
        <v>740</v>
      </c>
      <c r="J237" s="81" t="s">
        <v>186</v>
      </c>
      <c r="K237" s="550">
        <v>4800</v>
      </c>
      <c r="L237" s="93">
        <f>M237-K237</f>
        <v>0</v>
      </c>
      <c r="M237" s="93">
        <v>4800</v>
      </c>
    </row>
    <row r="238" spans="1:13" ht="18.75">
      <c r="A238" s="82"/>
      <c r="B238" s="91"/>
      <c r="C238" s="92"/>
      <c r="D238" s="81"/>
      <c r="E238" s="81"/>
      <c r="F238" s="102"/>
      <c r="G238" s="103"/>
      <c r="H238" s="706"/>
      <c r="I238" s="707"/>
      <c r="J238" s="81"/>
      <c r="K238" s="550"/>
      <c r="L238" s="93"/>
      <c r="M238" s="93"/>
    </row>
    <row r="239" spans="1:13" ht="56.25">
      <c r="A239" s="83">
        <v>3</v>
      </c>
      <c r="B239" s="84" t="s">
        <v>87</v>
      </c>
      <c r="C239" s="85" t="s">
        <v>190</v>
      </c>
      <c r="D239" s="86"/>
      <c r="E239" s="86"/>
      <c r="F239" s="87"/>
      <c r="G239" s="88"/>
      <c r="H239" s="88"/>
      <c r="I239" s="89"/>
      <c r="J239" s="86"/>
      <c r="K239" s="549">
        <f t="shared" ref="K239:M242" si="59">K240</f>
        <v>3999.2000000000003</v>
      </c>
      <c r="L239" s="156">
        <f t="shared" si="59"/>
        <v>0</v>
      </c>
      <c r="M239" s="156">
        <f t="shared" si="59"/>
        <v>3999.2000000000003</v>
      </c>
    </row>
    <row r="240" spans="1:13" ht="18.75">
      <c r="A240" s="82"/>
      <c r="B240" s="91" t="s">
        <v>88</v>
      </c>
      <c r="C240" s="92" t="s">
        <v>190</v>
      </c>
      <c r="D240" s="81" t="s">
        <v>89</v>
      </c>
      <c r="E240" s="81"/>
      <c r="F240" s="705"/>
      <c r="G240" s="706"/>
      <c r="H240" s="706"/>
      <c r="I240" s="707"/>
      <c r="J240" s="81"/>
      <c r="K240" s="550">
        <f t="shared" si="59"/>
        <v>3999.2000000000003</v>
      </c>
      <c r="L240" s="93">
        <f t="shared" si="59"/>
        <v>0</v>
      </c>
      <c r="M240" s="93">
        <f t="shared" si="59"/>
        <v>3999.2000000000003</v>
      </c>
    </row>
    <row r="241" spans="1:13" ht="75">
      <c r="A241" s="82"/>
      <c r="B241" s="91" t="s">
        <v>191</v>
      </c>
      <c r="C241" s="92" t="s">
        <v>190</v>
      </c>
      <c r="D241" s="81" t="s">
        <v>89</v>
      </c>
      <c r="E241" s="81" t="s">
        <v>140</v>
      </c>
      <c r="F241" s="705"/>
      <c r="G241" s="706"/>
      <c r="H241" s="706"/>
      <c r="I241" s="707"/>
      <c r="J241" s="81"/>
      <c r="K241" s="550">
        <f t="shared" si="59"/>
        <v>3999.2000000000003</v>
      </c>
      <c r="L241" s="93">
        <f t="shared" si="59"/>
        <v>0</v>
      </c>
      <c r="M241" s="93">
        <f t="shared" si="59"/>
        <v>3999.2000000000003</v>
      </c>
    </row>
    <row r="242" spans="1:13" ht="56.25">
      <c r="A242" s="82"/>
      <c r="B242" s="96" t="s">
        <v>192</v>
      </c>
      <c r="C242" s="92" t="s">
        <v>190</v>
      </c>
      <c r="D242" s="81" t="s">
        <v>89</v>
      </c>
      <c r="E242" s="81" t="s">
        <v>140</v>
      </c>
      <c r="F242" s="705" t="s">
        <v>193</v>
      </c>
      <c r="G242" s="706" t="s">
        <v>94</v>
      </c>
      <c r="H242" s="706" t="s">
        <v>95</v>
      </c>
      <c r="I242" s="707" t="s">
        <v>96</v>
      </c>
      <c r="J242" s="81"/>
      <c r="K242" s="550">
        <f t="shared" si="59"/>
        <v>3999.2000000000003</v>
      </c>
      <c r="L242" s="93">
        <f t="shared" si="59"/>
        <v>0</v>
      </c>
      <c r="M242" s="93">
        <f t="shared" si="59"/>
        <v>3999.2000000000003</v>
      </c>
    </row>
    <row r="243" spans="1:13" ht="75">
      <c r="A243" s="82"/>
      <c r="B243" s="96" t="s">
        <v>195</v>
      </c>
      <c r="C243" s="92" t="s">
        <v>190</v>
      </c>
      <c r="D243" s="81" t="s">
        <v>89</v>
      </c>
      <c r="E243" s="81" t="s">
        <v>140</v>
      </c>
      <c r="F243" s="705" t="s">
        <v>193</v>
      </c>
      <c r="G243" s="706" t="s">
        <v>97</v>
      </c>
      <c r="H243" s="706" t="s">
        <v>95</v>
      </c>
      <c r="I243" s="707" t="s">
        <v>96</v>
      </c>
      <c r="J243" s="81"/>
      <c r="K243" s="550">
        <f>K244+K247+K252</f>
        <v>3999.2000000000003</v>
      </c>
      <c r="L243" s="93">
        <f>L244+L247+L252</f>
        <v>0</v>
      </c>
      <c r="M243" s="93">
        <f>M244+M247+M252</f>
        <v>3999.2000000000003</v>
      </c>
    </row>
    <row r="244" spans="1:13" ht="37.5">
      <c r="A244" s="82"/>
      <c r="B244" s="91" t="s">
        <v>194</v>
      </c>
      <c r="C244" s="92" t="s">
        <v>190</v>
      </c>
      <c r="D244" s="81" t="s">
        <v>89</v>
      </c>
      <c r="E244" s="81" t="s">
        <v>140</v>
      </c>
      <c r="F244" s="705" t="s">
        <v>193</v>
      </c>
      <c r="G244" s="706" t="s">
        <v>97</v>
      </c>
      <c r="H244" s="706" t="s">
        <v>89</v>
      </c>
      <c r="I244" s="707" t="s">
        <v>96</v>
      </c>
      <c r="J244" s="81"/>
      <c r="K244" s="550">
        <f t="shared" ref="K244:M245" si="60">K245</f>
        <v>1182.7</v>
      </c>
      <c r="L244" s="93">
        <f t="shared" si="60"/>
        <v>0</v>
      </c>
      <c r="M244" s="93">
        <f t="shared" si="60"/>
        <v>1182.7</v>
      </c>
    </row>
    <row r="245" spans="1:13" ht="37.5">
      <c r="A245" s="82"/>
      <c r="B245" s="91" t="s">
        <v>99</v>
      </c>
      <c r="C245" s="92" t="s">
        <v>190</v>
      </c>
      <c r="D245" s="81" t="s">
        <v>89</v>
      </c>
      <c r="E245" s="81" t="s">
        <v>140</v>
      </c>
      <c r="F245" s="705" t="s">
        <v>193</v>
      </c>
      <c r="G245" s="706" t="s">
        <v>97</v>
      </c>
      <c r="H245" s="706" t="s">
        <v>89</v>
      </c>
      <c r="I245" s="707" t="s">
        <v>100</v>
      </c>
      <c r="J245" s="81"/>
      <c r="K245" s="550">
        <f t="shared" si="60"/>
        <v>1182.7</v>
      </c>
      <c r="L245" s="93">
        <f t="shared" si="60"/>
        <v>0</v>
      </c>
      <c r="M245" s="93">
        <f t="shared" si="60"/>
        <v>1182.7</v>
      </c>
    </row>
    <row r="246" spans="1:13" ht="94.15" customHeight="1">
      <c r="A246" s="82"/>
      <c r="B246" s="464" t="s">
        <v>101</v>
      </c>
      <c r="C246" s="92" t="s">
        <v>190</v>
      </c>
      <c r="D246" s="81" t="s">
        <v>89</v>
      </c>
      <c r="E246" s="81" t="s">
        <v>140</v>
      </c>
      <c r="F246" s="705" t="s">
        <v>193</v>
      </c>
      <c r="G246" s="706" t="s">
        <v>97</v>
      </c>
      <c r="H246" s="706" t="s">
        <v>89</v>
      </c>
      <c r="I246" s="707" t="s">
        <v>100</v>
      </c>
      <c r="J246" s="81" t="s">
        <v>102</v>
      </c>
      <c r="K246" s="550">
        <v>1182.7</v>
      </c>
      <c r="L246" s="93">
        <f>M246-K246</f>
        <v>0</v>
      </c>
      <c r="M246" s="93">
        <v>1182.7</v>
      </c>
    </row>
    <row r="247" spans="1:13" ht="37.5">
      <c r="A247" s="82"/>
      <c r="B247" s="91" t="s">
        <v>196</v>
      </c>
      <c r="C247" s="92" t="s">
        <v>190</v>
      </c>
      <c r="D247" s="81" t="s">
        <v>89</v>
      </c>
      <c r="E247" s="81" t="s">
        <v>140</v>
      </c>
      <c r="F247" s="705" t="s">
        <v>193</v>
      </c>
      <c r="G247" s="706" t="s">
        <v>97</v>
      </c>
      <c r="H247" s="706" t="s">
        <v>91</v>
      </c>
      <c r="I247" s="707" t="s">
        <v>96</v>
      </c>
      <c r="J247" s="81"/>
      <c r="K247" s="550">
        <f>K248</f>
        <v>1952.9</v>
      </c>
      <c r="L247" s="93">
        <f>L248</f>
        <v>0</v>
      </c>
      <c r="M247" s="93">
        <f>M248</f>
        <v>1952.9</v>
      </c>
    </row>
    <row r="248" spans="1:13" ht="37.5">
      <c r="A248" s="82"/>
      <c r="B248" s="91" t="s">
        <v>99</v>
      </c>
      <c r="C248" s="92" t="s">
        <v>190</v>
      </c>
      <c r="D248" s="81" t="s">
        <v>89</v>
      </c>
      <c r="E248" s="81" t="s">
        <v>140</v>
      </c>
      <c r="F248" s="705" t="s">
        <v>193</v>
      </c>
      <c r="G248" s="706" t="s">
        <v>97</v>
      </c>
      <c r="H248" s="706" t="s">
        <v>91</v>
      </c>
      <c r="I248" s="707" t="s">
        <v>100</v>
      </c>
      <c r="J248" s="81"/>
      <c r="K248" s="550">
        <f>K249+K250+K251</f>
        <v>1952.9</v>
      </c>
      <c r="L248" s="93">
        <f>L249+L250+L251</f>
        <v>0</v>
      </c>
      <c r="M248" s="93">
        <f>M249+M250+M251</f>
        <v>1952.9</v>
      </c>
    </row>
    <row r="249" spans="1:13" ht="97.15" customHeight="1">
      <c r="A249" s="82"/>
      <c r="B249" s="463" t="s">
        <v>101</v>
      </c>
      <c r="C249" s="92" t="s">
        <v>190</v>
      </c>
      <c r="D249" s="81" t="s">
        <v>89</v>
      </c>
      <c r="E249" s="81" t="s">
        <v>140</v>
      </c>
      <c r="F249" s="705" t="s">
        <v>193</v>
      </c>
      <c r="G249" s="706" t="s">
        <v>97</v>
      </c>
      <c r="H249" s="706" t="s">
        <v>91</v>
      </c>
      <c r="I249" s="707" t="s">
        <v>100</v>
      </c>
      <c r="J249" s="81" t="s">
        <v>102</v>
      </c>
      <c r="K249" s="550">
        <f>1752.9+6.177</f>
        <v>1759.077</v>
      </c>
      <c r="L249" s="93">
        <f t="shared" ref="L249:L251" si="61">M249-K249</f>
        <v>0</v>
      </c>
      <c r="M249" s="93">
        <f>1752.9+6.177</f>
        <v>1759.077</v>
      </c>
    </row>
    <row r="250" spans="1:13" ht="55.15" customHeight="1">
      <c r="A250" s="82"/>
      <c r="B250" s="463" t="s">
        <v>107</v>
      </c>
      <c r="C250" s="92" t="s">
        <v>190</v>
      </c>
      <c r="D250" s="81" t="s">
        <v>89</v>
      </c>
      <c r="E250" s="81" t="s">
        <v>140</v>
      </c>
      <c r="F250" s="705" t="s">
        <v>193</v>
      </c>
      <c r="G250" s="706" t="s">
        <v>97</v>
      </c>
      <c r="H250" s="706" t="s">
        <v>91</v>
      </c>
      <c r="I250" s="707" t="s">
        <v>100</v>
      </c>
      <c r="J250" s="81" t="s">
        <v>108</v>
      </c>
      <c r="K250" s="550">
        <f>186.7+3.3-6.177</f>
        <v>183.82300000000001</v>
      </c>
      <c r="L250" s="93">
        <f t="shared" si="61"/>
        <v>0</v>
      </c>
      <c r="M250" s="93">
        <f>186.7+3.3-6.177</f>
        <v>183.82300000000001</v>
      </c>
    </row>
    <row r="251" spans="1:13" ht="18.75">
      <c r="A251" s="82"/>
      <c r="B251" s="91" t="s">
        <v>109</v>
      </c>
      <c r="C251" s="92" t="s">
        <v>190</v>
      </c>
      <c r="D251" s="81" t="s">
        <v>89</v>
      </c>
      <c r="E251" s="81" t="s">
        <v>140</v>
      </c>
      <c r="F251" s="705" t="s">
        <v>193</v>
      </c>
      <c r="G251" s="706" t="s">
        <v>97</v>
      </c>
      <c r="H251" s="706" t="s">
        <v>91</v>
      </c>
      <c r="I251" s="707" t="s">
        <v>100</v>
      </c>
      <c r="J251" s="81" t="s">
        <v>110</v>
      </c>
      <c r="K251" s="550">
        <v>10</v>
      </c>
      <c r="L251" s="93">
        <f t="shared" si="61"/>
        <v>0</v>
      </c>
      <c r="M251" s="93">
        <v>10</v>
      </c>
    </row>
    <row r="252" spans="1:13" ht="75">
      <c r="A252" s="82"/>
      <c r="B252" s="91" t="s">
        <v>430</v>
      </c>
      <c r="C252" s="92" t="s">
        <v>190</v>
      </c>
      <c r="D252" s="81" t="s">
        <v>89</v>
      </c>
      <c r="E252" s="81" t="s">
        <v>140</v>
      </c>
      <c r="F252" s="705" t="s">
        <v>193</v>
      </c>
      <c r="G252" s="706" t="s">
        <v>97</v>
      </c>
      <c r="H252" s="706" t="s">
        <v>118</v>
      </c>
      <c r="I252" s="707" t="s">
        <v>96</v>
      </c>
      <c r="J252" s="81"/>
      <c r="K252" s="550">
        <f t="shared" ref="K252:M253" si="62">K253</f>
        <v>863.6</v>
      </c>
      <c r="L252" s="93">
        <f t="shared" si="62"/>
        <v>0</v>
      </c>
      <c r="M252" s="93">
        <f t="shared" si="62"/>
        <v>863.6</v>
      </c>
    </row>
    <row r="253" spans="1:13" ht="37.5">
      <c r="A253" s="82"/>
      <c r="B253" s="91" t="s">
        <v>309</v>
      </c>
      <c r="C253" s="92" t="s">
        <v>190</v>
      </c>
      <c r="D253" s="81" t="s">
        <v>89</v>
      </c>
      <c r="E253" s="81" t="s">
        <v>140</v>
      </c>
      <c r="F253" s="705" t="s">
        <v>193</v>
      </c>
      <c r="G253" s="706" t="s">
        <v>97</v>
      </c>
      <c r="H253" s="706" t="s">
        <v>118</v>
      </c>
      <c r="I253" s="707" t="s">
        <v>197</v>
      </c>
      <c r="J253" s="81"/>
      <c r="K253" s="550">
        <f t="shared" si="62"/>
        <v>863.6</v>
      </c>
      <c r="L253" s="93">
        <f t="shared" si="62"/>
        <v>0</v>
      </c>
      <c r="M253" s="93">
        <f t="shared" si="62"/>
        <v>863.6</v>
      </c>
    </row>
    <row r="254" spans="1:13" ht="94.9" customHeight="1">
      <c r="A254" s="82"/>
      <c r="B254" s="463" t="s">
        <v>101</v>
      </c>
      <c r="C254" s="92" t="s">
        <v>190</v>
      </c>
      <c r="D254" s="81" t="s">
        <v>89</v>
      </c>
      <c r="E254" s="81" t="s">
        <v>140</v>
      </c>
      <c r="F254" s="705" t="s">
        <v>193</v>
      </c>
      <c r="G254" s="706" t="s">
        <v>97</v>
      </c>
      <c r="H254" s="706" t="s">
        <v>118</v>
      </c>
      <c r="I254" s="707" t="s">
        <v>197</v>
      </c>
      <c r="J254" s="81" t="s">
        <v>102</v>
      </c>
      <c r="K254" s="550">
        <v>863.6</v>
      </c>
      <c r="L254" s="93">
        <f>M254-K254</f>
        <v>0</v>
      </c>
      <c r="M254" s="93">
        <v>863.6</v>
      </c>
    </row>
    <row r="255" spans="1:13" ht="18.75">
      <c r="A255" s="82"/>
      <c r="B255" s="91"/>
      <c r="C255" s="92"/>
      <c r="D255" s="81"/>
      <c r="E255" s="81"/>
      <c r="F255" s="705"/>
      <c r="G255" s="706"/>
      <c r="H255" s="706"/>
      <c r="I255" s="707"/>
      <c r="J255" s="81"/>
      <c r="K255" s="550"/>
      <c r="L255" s="93"/>
      <c r="M255" s="93"/>
    </row>
    <row r="256" spans="1:13" s="104" customFormat="1" ht="56.25">
      <c r="A256" s="407">
        <v>4</v>
      </c>
      <c r="B256" s="408" t="s">
        <v>35</v>
      </c>
      <c r="C256" s="409" t="s">
        <v>389</v>
      </c>
      <c r="D256" s="410"/>
      <c r="E256" s="410"/>
      <c r="F256" s="411"/>
      <c r="G256" s="412"/>
      <c r="H256" s="412"/>
      <c r="I256" s="413"/>
      <c r="J256" s="410"/>
      <c r="K256" s="552">
        <f>K257+K309+K336+K302+K343+K323+K352</f>
        <v>145346.20500000002</v>
      </c>
      <c r="L256" s="414">
        <f>L257+L309+L336+L302+L343+L323+L352</f>
        <v>5318.5000000000055</v>
      </c>
      <c r="M256" s="414">
        <f>M257+M309+M336+M302+M343+M323+M352</f>
        <v>150664.70500000002</v>
      </c>
    </row>
    <row r="257" spans="1:13" s="111" customFormat="1" ht="18.75">
      <c r="A257" s="105"/>
      <c r="B257" s="101" t="s">
        <v>88</v>
      </c>
      <c r="C257" s="106" t="s">
        <v>389</v>
      </c>
      <c r="D257" s="107" t="s">
        <v>89</v>
      </c>
      <c r="E257" s="108"/>
      <c r="F257" s="415"/>
      <c r="G257" s="109"/>
      <c r="H257" s="109"/>
      <c r="I257" s="110"/>
      <c r="J257" s="108"/>
      <c r="K257" s="551">
        <f t="shared" ref="K257:M257" si="63">K258</f>
        <v>41537.833999999995</v>
      </c>
      <c r="L257" s="405">
        <f t="shared" si="63"/>
        <v>-1973.2940000000001</v>
      </c>
      <c r="M257" s="405">
        <f t="shared" si="63"/>
        <v>39564.539999999994</v>
      </c>
    </row>
    <row r="258" spans="1:13" s="112" customFormat="1" ht="18.75">
      <c r="A258" s="105"/>
      <c r="B258" s="101" t="s">
        <v>128</v>
      </c>
      <c r="C258" s="106" t="s">
        <v>389</v>
      </c>
      <c r="D258" s="107" t="s">
        <v>89</v>
      </c>
      <c r="E258" s="107" t="s">
        <v>129</v>
      </c>
      <c r="F258" s="415"/>
      <c r="G258" s="109"/>
      <c r="H258" s="109"/>
      <c r="I258" s="110"/>
      <c r="J258" s="108"/>
      <c r="K258" s="551">
        <f>K259+K295</f>
        <v>41537.833999999995</v>
      </c>
      <c r="L258" s="405">
        <f>L259+L295</f>
        <v>-1973.2940000000001</v>
      </c>
      <c r="M258" s="405">
        <f>M259+M295</f>
        <v>39564.539999999994</v>
      </c>
    </row>
    <row r="259" spans="1:13" s="111" customFormat="1" ht="56.25">
      <c r="A259" s="105"/>
      <c r="B259" s="101" t="s">
        <v>298</v>
      </c>
      <c r="C259" s="106" t="s">
        <v>389</v>
      </c>
      <c r="D259" s="107" t="s">
        <v>89</v>
      </c>
      <c r="E259" s="107" t="s">
        <v>129</v>
      </c>
      <c r="F259" s="117" t="s">
        <v>299</v>
      </c>
      <c r="G259" s="109" t="s">
        <v>94</v>
      </c>
      <c r="H259" s="109" t="s">
        <v>95</v>
      </c>
      <c r="I259" s="110" t="s">
        <v>96</v>
      </c>
      <c r="J259" s="108"/>
      <c r="K259" s="551">
        <f>K260+K270+K291</f>
        <v>36394.633999999998</v>
      </c>
      <c r="L259" s="405">
        <f>L260+L270+L291</f>
        <v>-1973.2940000000001</v>
      </c>
      <c r="M259" s="405">
        <f>M260+M270+M291</f>
        <v>34421.339999999997</v>
      </c>
    </row>
    <row r="260" spans="1:13" s="111" customFormat="1" ht="56.25">
      <c r="A260" s="105"/>
      <c r="B260" s="101" t="s">
        <v>300</v>
      </c>
      <c r="C260" s="106" t="s">
        <v>389</v>
      </c>
      <c r="D260" s="107" t="s">
        <v>89</v>
      </c>
      <c r="E260" s="107" t="s">
        <v>129</v>
      </c>
      <c r="F260" s="416" t="s">
        <v>299</v>
      </c>
      <c r="G260" s="114" t="s">
        <v>97</v>
      </c>
      <c r="H260" s="114" t="s">
        <v>95</v>
      </c>
      <c r="I260" s="115" t="s">
        <v>96</v>
      </c>
      <c r="J260" s="108"/>
      <c r="K260" s="551">
        <f t="shared" ref="K260" si="64">K261+K264</f>
        <v>13384.856999999998</v>
      </c>
      <c r="L260" s="405">
        <f t="shared" ref="L260:M260" si="65">L261+L264</f>
        <v>-30.993999999999858</v>
      </c>
      <c r="M260" s="405">
        <f t="shared" si="65"/>
        <v>13353.862999999999</v>
      </c>
    </row>
    <row r="261" spans="1:13" s="118" customFormat="1" ht="112.5">
      <c r="A261" s="105"/>
      <c r="B261" s="101" t="s">
        <v>390</v>
      </c>
      <c r="C261" s="106" t="s">
        <v>389</v>
      </c>
      <c r="D261" s="107" t="s">
        <v>89</v>
      </c>
      <c r="E261" s="107" t="s">
        <v>129</v>
      </c>
      <c r="F261" s="116" t="s">
        <v>299</v>
      </c>
      <c r="G261" s="109" t="s">
        <v>97</v>
      </c>
      <c r="H261" s="109" t="s">
        <v>89</v>
      </c>
      <c r="I261" s="110" t="s">
        <v>96</v>
      </c>
      <c r="J261" s="108"/>
      <c r="K261" s="551">
        <f t="shared" ref="K261:M262" si="66">K262</f>
        <v>320.85699999999997</v>
      </c>
      <c r="L261" s="405">
        <f t="shared" si="66"/>
        <v>-32.199999999999989</v>
      </c>
      <c r="M261" s="405">
        <f t="shared" si="66"/>
        <v>288.65699999999998</v>
      </c>
    </row>
    <row r="262" spans="1:13" s="118" customFormat="1" ht="56.25">
      <c r="A262" s="105"/>
      <c r="B262" s="101" t="s">
        <v>301</v>
      </c>
      <c r="C262" s="106" t="s">
        <v>389</v>
      </c>
      <c r="D262" s="107" t="s">
        <v>89</v>
      </c>
      <c r="E262" s="107" t="s">
        <v>129</v>
      </c>
      <c r="F262" s="116" t="s">
        <v>299</v>
      </c>
      <c r="G262" s="109" t="s">
        <v>97</v>
      </c>
      <c r="H262" s="109" t="s">
        <v>89</v>
      </c>
      <c r="I262" s="110" t="s">
        <v>391</v>
      </c>
      <c r="J262" s="108"/>
      <c r="K262" s="551">
        <f t="shared" si="66"/>
        <v>320.85699999999997</v>
      </c>
      <c r="L262" s="405">
        <f t="shared" si="66"/>
        <v>-32.199999999999989</v>
      </c>
      <c r="M262" s="405">
        <f t="shared" si="66"/>
        <v>288.65699999999998</v>
      </c>
    </row>
    <row r="263" spans="1:13" s="112" customFormat="1" ht="56.25">
      <c r="A263" s="105"/>
      <c r="B263" s="91" t="s">
        <v>107</v>
      </c>
      <c r="C263" s="106" t="s">
        <v>389</v>
      </c>
      <c r="D263" s="107" t="s">
        <v>89</v>
      </c>
      <c r="E263" s="107" t="s">
        <v>129</v>
      </c>
      <c r="F263" s="116" t="s">
        <v>299</v>
      </c>
      <c r="G263" s="109" t="s">
        <v>97</v>
      </c>
      <c r="H263" s="109" t="s">
        <v>89</v>
      </c>
      <c r="I263" s="110" t="s">
        <v>391</v>
      </c>
      <c r="J263" s="108" t="s">
        <v>108</v>
      </c>
      <c r="K263" s="551">
        <f>334.2-13.343</f>
        <v>320.85699999999997</v>
      </c>
      <c r="L263" s="93">
        <f>M263-K263</f>
        <v>-32.199999999999989</v>
      </c>
      <c r="M263" s="405">
        <f>334.2-13.343-32.2</f>
        <v>288.65699999999998</v>
      </c>
    </row>
    <row r="264" spans="1:13" s="112" customFormat="1" ht="37.5">
      <c r="A264" s="105"/>
      <c r="B264" s="91" t="s">
        <v>454</v>
      </c>
      <c r="C264" s="106" t="s">
        <v>389</v>
      </c>
      <c r="D264" s="107" t="s">
        <v>89</v>
      </c>
      <c r="E264" s="107" t="s">
        <v>129</v>
      </c>
      <c r="F264" s="116" t="s">
        <v>299</v>
      </c>
      <c r="G264" s="109" t="s">
        <v>97</v>
      </c>
      <c r="H264" s="109" t="s">
        <v>91</v>
      </c>
      <c r="I264" s="110" t="s">
        <v>96</v>
      </c>
      <c r="J264" s="108"/>
      <c r="K264" s="551">
        <f>K265+K268</f>
        <v>13063.999999999998</v>
      </c>
      <c r="L264" s="405">
        <f>L265+L268</f>
        <v>1.206000000000131</v>
      </c>
      <c r="M264" s="405">
        <f>M265+M268</f>
        <v>13065.206</v>
      </c>
    </row>
    <row r="265" spans="1:13" s="112" customFormat="1" ht="37.5">
      <c r="A265" s="105"/>
      <c r="B265" s="91" t="s">
        <v>453</v>
      </c>
      <c r="C265" s="106" t="s">
        <v>389</v>
      </c>
      <c r="D265" s="107" t="s">
        <v>89</v>
      </c>
      <c r="E265" s="107" t="s">
        <v>129</v>
      </c>
      <c r="F265" s="116" t="s">
        <v>299</v>
      </c>
      <c r="G265" s="109" t="s">
        <v>97</v>
      </c>
      <c r="H265" s="109" t="s">
        <v>91</v>
      </c>
      <c r="I265" s="110" t="s">
        <v>452</v>
      </c>
      <c r="J265" s="108"/>
      <c r="K265" s="551">
        <f>SUM(K266:K267)</f>
        <v>12859.899999999998</v>
      </c>
      <c r="L265" s="405">
        <f>SUM(L266:L267)</f>
        <v>1.206000000000131</v>
      </c>
      <c r="M265" s="405">
        <f>SUM(M266:M267)</f>
        <v>12861.106</v>
      </c>
    </row>
    <row r="266" spans="1:13" s="112" customFormat="1" ht="51.6" customHeight="1">
      <c r="A266" s="105"/>
      <c r="B266" s="463" t="s">
        <v>107</v>
      </c>
      <c r="C266" s="106" t="s">
        <v>389</v>
      </c>
      <c r="D266" s="107" t="s">
        <v>89</v>
      </c>
      <c r="E266" s="107" t="s">
        <v>129</v>
      </c>
      <c r="F266" s="116" t="s">
        <v>299</v>
      </c>
      <c r="G266" s="109" t="s">
        <v>97</v>
      </c>
      <c r="H266" s="109" t="s">
        <v>91</v>
      </c>
      <c r="I266" s="110" t="s">
        <v>452</v>
      </c>
      <c r="J266" s="108" t="s">
        <v>108</v>
      </c>
      <c r="K266" s="551">
        <f>1202.1-911.4+2151+184.2+6.5+14.8+1539.062-71.1</f>
        <v>4115.1619999999994</v>
      </c>
      <c r="L266" s="93">
        <f>M266-K266</f>
        <v>1.206000000000131</v>
      </c>
      <c r="M266" s="405">
        <f>1202.1-911.4+2151+184.2+6.5+14.8+1539.062-71.1+1.206</f>
        <v>4116.3679999999995</v>
      </c>
    </row>
    <row r="267" spans="1:13" s="112" customFormat="1" ht="56.25">
      <c r="A267" s="105"/>
      <c r="B267" s="91" t="s">
        <v>275</v>
      </c>
      <c r="C267" s="106" t="s">
        <v>389</v>
      </c>
      <c r="D267" s="107" t="s">
        <v>89</v>
      </c>
      <c r="E267" s="107" t="s">
        <v>129</v>
      </c>
      <c r="F267" s="116" t="s">
        <v>299</v>
      </c>
      <c r="G267" s="109" t="s">
        <v>97</v>
      </c>
      <c r="H267" s="109" t="s">
        <v>91</v>
      </c>
      <c r="I267" s="110" t="s">
        <v>452</v>
      </c>
      <c r="J267" s="108" t="s">
        <v>276</v>
      </c>
      <c r="K267" s="551">
        <f>1483.2+944.738+6000+316.8</f>
        <v>8744.7379999999994</v>
      </c>
      <c r="L267" s="93">
        <f>M267-K267</f>
        <v>0</v>
      </c>
      <c r="M267" s="405">
        <f>1483.2+944.738+6000+316.8</f>
        <v>8744.7379999999994</v>
      </c>
    </row>
    <row r="268" spans="1:13" s="112" customFormat="1" ht="18.75">
      <c r="A268" s="105"/>
      <c r="B268" s="91" t="s">
        <v>126</v>
      </c>
      <c r="C268" s="106" t="s">
        <v>389</v>
      </c>
      <c r="D268" s="107" t="s">
        <v>89</v>
      </c>
      <c r="E268" s="107" t="s">
        <v>129</v>
      </c>
      <c r="F268" s="116" t="s">
        <v>299</v>
      </c>
      <c r="G268" s="109" t="s">
        <v>97</v>
      </c>
      <c r="H268" s="109" t="s">
        <v>91</v>
      </c>
      <c r="I268" s="110" t="s">
        <v>127</v>
      </c>
      <c r="J268" s="108"/>
      <c r="K268" s="551">
        <f>K269</f>
        <v>204.1</v>
      </c>
      <c r="L268" s="93">
        <f>L269</f>
        <v>0</v>
      </c>
      <c r="M268" s="405">
        <f>M269</f>
        <v>204.1</v>
      </c>
    </row>
    <row r="269" spans="1:13" s="112" customFormat="1" ht="59.45" customHeight="1">
      <c r="A269" s="105"/>
      <c r="B269" s="91" t="s">
        <v>107</v>
      </c>
      <c r="C269" s="106" t="s">
        <v>389</v>
      </c>
      <c r="D269" s="107" t="s">
        <v>89</v>
      </c>
      <c r="E269" s="107" t="s">
        <v>129</v>
      </c>
      <c r="F269" s="116" t="s">
        <v>299</v>
      </c>
      <c r="G269" s="109" t="s">
        <v>97</v>
      </c>
      <c r="H269" s="109" t="s">
        <v>91</v>
      </c>
      <c r="I269" s="110" t="s">
        <v>127</v>
      </c>
      <c r="J269" s="108" t="s">
        <v>108</v>
      </c>
      <c r="K269" s="551">
        <v>204.1</v>
      </c>
      <c r="L269" s="93">
        <f>M269-K269</f>
        <v>0</v>
      </c>
      <c r="M269" s="405">
        <v>204.1</v>
      </c>
    </row>
    <row r="270" spans="1:13" s="112" customFormat="1" ht="37.5">
      <c r="A270" s="105"/>
      <c r="B270" s="101" t="s">
        <v>302</v>
      </c>
      <c r="C270" s="106" t="s">
        <v>389</v>
      </c>
      <c r="D270" s="107" t="s">
        <v>89</v>
      </c>
      <c r="E270" s="107" t="s">
        <v>129</v>
      </c>
      <c r="F270" s="117" t="s">
        <v>299</v>
      </c>
      <c r="G270" s="109" t="s">
        <v>149</v>
      </c>
      <c r="H270" s="109" t="s">
        <v>95</v>
      </c>
      <c r="I270" s="110" t="s">
        <v>96</v>
      </c>
      <c r="J270" s="108"/>
      <c r="K270" s="551">
        <f t="shared" ref="K270" si="67">K271+K282+K285</f>
        <v>19458.371999999999</v>
      </c>
      <c r="L270" s="405">
        <f t="shared" ref="L270:M270" si="68">L271+L282+L285</f>
        <v>-1942.3000000000002</v>
      </c>
      <c r="M270" s="405">
        <f t="shared" si="68"/>
        <v>17516.072</v>
      </c>
    </row>
    <row r="271" spans="1:13" s="118" customFormat="1" ht="93.75">
      <c r="A271" s="105"/>
      <c r="B271" s="101" t="s">
        <v>396</v>
      </c>
      <c r="C271" s="106" t="s">
        <v>389</v>
      </c>
      <c r="D271" s="107" t="s">
        <v>89</v>
      </c>
      <c r="E271" s="107" t="s">
        <v>129</v>
      </c>
      <c r="F271" s="117" t="s">
        <v>299</v>
      </c>
      <c r="G271" s="109" t="s">
        <v>149</v>
      </c>
      <c r="H271" s="109" t="s">
        <v>89</v>
      </c>
      <c r="I271" s="110" t="s">
        <v>96</v>
      </c>
      <c r="J271" s="108"/>
      <c r="K271" s="551">
        <f t="shared" ref="K271" si="69">K272+K276+K280</f>
        <v>17054.899999999998</v>
      </c>
      <c r="L271" s="405">
        <f t="shared" ref="L271:M271" si="70">L272+L276+L280</f>
        <v>18.399999999999977</v>
      </c>
      <c r="M271" s="405">
        <f t="shared" si="70"/>
        <v>17073.3</v>
      </c>
    </row>
    <row r="272" spans="1:13" s="112" customFormat="1" ht="37.5">
      <c r="A272" s="105"/>
      <c r="B272" s="101" t="s">
        <v>99</v>
      </c>
      <c r="C272" s="106" t="s">
        <v>389</v>
      </c>
      <c r="D272" s="107" t="s">
        <v>89</v>
      </c>
      <c r="E272" s="107" t="s">
        <v>129</v>
      </c>
      <c r="F272" s="113" t="s">
        <v>299</v>
      </c>
      <c r="G272" s="114" t="s">
        <v>149</v>
      </c>
      <c r="H272" s="114" t="s">
        <v>89</v>
      </c>
      <c r="I272" s="115" t="s">
        <v>100</v>
      </c>
      <c r="J272" s="108"/>
      <c r="K272" s="551">
        <f t="shared" ref="K272:M272" si="71">K273+K274+K275</f>
        <v>12476.2</v>
      </c>
      <c r="L272" s="405">
        <f>L273+L274+L275</f>
        <v>18.399999999999977</v>
      </c>
      <c r="M272" s="405">
        <f t="shared" si="71"/>
        <v>12494.6</v>
      </c>
    </row>
    <row r="273" spans="1:13" s="111" customFormat="1" ht="95.45" customHeight="1">
      <c r="A273" s="105"/>
      <c r="B273" s="465" t="s">
        <v>101</v>
      </c>
      <c r="C273" s="106" t="s">
        <v>389</v>
      </c>
      <c r="D273" s="107" t="s">
        <v>89</v>
      </c>
      <c r="E273" s="107" t="s">
        <v>129</v>
      </c>
      <c r="F273" s="117" t="s">
        <v>299</v>
      </c>
      <c r="G273" s="109" t="s">
        <v>149</v>
      </c>
      <c r="H273" s="109" t="s">
        <v>89</v>
      </c>
      <c r="I273" s="110" t="s">
        <v>100</v>
      </c>
      <c r="J273" s="108" t="s">
        <v>102</v>
      </c>
      <c r="K273" s="551">
        <v>11789.1</v>
      </c>
      <c r="L273" s="93">
        <f>M273-K273</f>
        <v>0</v>
      </c>
      <c r="M273" s="405">
        <v>11789.1</v>
      </c>
    </row>
    <row r="274" spans="1:13" s="111" customFormat="1" ht="54" customHeight="1">
      <c r="A274" s="105"/>
      <c r="B274" s="91" t="s">
        <v>107</v>
      </c>
      <c r="C274" s="106" t="s">
        <v>389</v>
      </c>
      <c r="D274" s="107" t="s">
        <v>89</v>
      </c>
      <c r="E274" s="107" t="s">
        <v>129</v>
      </c>
      <c r="F274" s="117" t="s">
        <v>299</v>
      </c>
      <c r="G274" s="109" t="s">
        <v>149</v>
      </c>
      <c r="H274" s="109" t="s">
        <v>89</v>
      </c>
      <c r="I274" s="110" t="s">
        <v>100</v>
      </c>
      <c r="J274" s="108" t="s">
        <v>108</v>
      </c>
      <c r="K274" s="551">
        <f>491+67.7+14.8+60.8+2.7+30+18.9</f>
        <v>685.9</v>
      </c>
      <c r="L274" s="93">
        <f>M274-K274</f>
        <v>18.399999999999977</v>
      </c>
      <c r="M274" s="405">
        <f>491+67.7+14.8+60.8+2.7+30+18.9+18.4</f>
        <v>704.3</v>
      </c>
    </row>
    <row r="275" spans="1:13" s="111" customFormat="1" ht="18.75">
      <c r="A275" s="105"/>
      <c r="B275" s="101" t="s">
        <v>109</v>
      </c>
      <c r="C275" s="106" t="s">
        <v>389</v>
      </c>
      <c r="D275" s="107" t="s">
        <v>89</v>
      </c>
      <c r="E275" s="107" t="s">
        <v>129</v>
      </c>
      <c r="F275" s="117" t="s">
        <v>299</v>
      </c>
      <c r="G275" s="109" t="s">
        <v>149</v>
      </c>
      <c r="H275" s="109" t="s">
        <v>89</v>
      </c>
      <c r="I275" s="110" t="s">
        <v>100</v>
      </c>
      <c r="J275" s="108" t="s">
        <v>110</v>
      </c>
      <c r="K275" s="551">
        <v>1.2</v>
      </c>
      <c r="L275" s="93">
        <f>M275-K275</f>
        <v>0</v>
      </c>
      <c r="M275" s="405">
        <v>1.2</v>
      </c>
    </row>
    <row r="276" spans="1:13" s="111" customFormat="1" ht="76.150000000000006" customHeight="1">
      <c r="A276" s="105"/>
      <c r="B276" s="465" t="s">
        <v>150</v>
      </c>
      <c r="C276" s="106" t="s">
        <v>389</v>
      </c>
      <c r="D276" s="107" t="s">
        <v>89</v>
      </c>
      <c r="E276" s="107" t="s">
        <v>129</v>
      </c>
      <c r="F276" s="117" t="s">
        <v>299</v>
      </c>
      <c r="G276" s="109" t="s">
        <v>149</v>
      </c>
      <c r="H276" s="109" t="s">
        <v>89</v>
      </c>
      <c r="I276" s="110" t="s">
        <v>152</v>
      </c>
      <c r="J276" s="108"/>
      <c r="K276" s="551">
        <f t="shared" ref="K276" si="72">K277+K278+K279</f>
        <v>4544.8999999999996</v>
      </c>
      <c r="L276" s="405">
        <f t="shared" ref="L276:M276" si="73">L277+L278+L279</f>
        <v>0</v>
      </c>
      <c r="M276" s="405">
        <f t="shared" si="73"/>
        <v>4544.8999999999996</v>
      </c>
    </row>
    <row r="277" spans="1:13" s="111" customFormat="1" ht="56.45" customHeight="1">
      <c r="A277" s="105"/>
      <c r="B277" s="465" t="s">
        <v>101</v>
      </c>
      <c r="C277" s="106" t="s">
        <v>389</v>
      </c>
      <c r="D277" s="107" t="s">
        <v>89</v>
      </c>
      <c r="E277" s="107" t="s">
        <v>129</v>
      </c>
      <c r="F277" s="117" t="s">
        <v>299</v>
      </c>
      <c r="G277" s="109" t="s">
        <v>149</v>
      </c>
      <c r="H277" s="109" t="s">
        <v>89</v>
      </c>
      <c r="I277" s="110" t="s">
        <v>152</v>
      </c>
      <c r="J277" s="108" t="s">
        <v>102</v>
      </c>
      <c r="K277" s="551">
        <f>4014.3+256.5</f>
        <v>4270.8</v>
      </c>
      <c r="L277" s="93">
        <f t="shared" ref="L277:L279" si="74">M277-K277</f>
        <v>0</v>
      </c>
      <c r="M277" s="405">
        <f>4014.3+256.5</f>
        <v>4270.8</v>
      </c>
    </row>
    <row r="278" spans="1:13" s="111" customFormat="1" ht="57.6" customHeight="1">
      <c r="A278" s="105"/>
      <c r="B278" s="463" t="s">
        <v>107</v>
      </c>
      <c r="C278" s="106" t="s">
        <v>389</v>
      </c>
      <c r="D278" s="107" t="s">
        <v>89</v>
      </c>
      <c r="E278" s="107" t="s">
        <v>129</v>
      </c>
      <c r="F278" s="113" t="s">
        <v>299</v>
      </c>
      <c r="G278" s="114" t="s">
        <v>149</v>
      </c>
      <c r="H278" s="114" t="s">
        <v>89</v>
      </c>
      <c r="I278" s="115" t="s">
        <v>152</v>
      </c>
      <c r="J278" s="108" t="s">
        <v>108</v>
      </c>
      <c r="K278" s="551">
        <v>246.7</v>
      </c>
      <c r="L278" s="93">
        <f t="shared" si="74"/>
        <v>0</v>
      </c>
      <c r="M278" s="405">
        <v>246.7</v>
      </c>
    </row>
    <row r="279" spans="1:13" s="111" customFormat="1" ht="18.75">
      <c r="A279" s="105"/>
      <c r="B279" s="101" t="s">
        <v>109</v>
      </c>
      <c r="C279" s="106" t="s">
        <v>389</v>
      </c>
      <c r="D279" s="107" t="s">
        <v>89</v>
      </c>
      <c r="E279" s="107" t="s">
        <v>129</v>
      </c>
      <c r="F279" s="117" t="s">
        <v>299</v>
      </c>
      <c r="G279" s="109" t="s">
        <v>149</v>
      </c>
      <c r="H279" s="109" t="s">
        <v>89</v>
      </c>
      <c r="I279" s="110" t="s">
        <v>152</v>
      </c>
      <c r="J279" s="108" t="s">
        <v>110</v>
      </c>
      <c r="K279" s="551">
        <v>27.4</v>
      </c>
      <c r="L279" s="93">
        <f t="shared" si="74"/>
        <v>0</v>
      </c>
      <c r="M279" s="405">
        <v>27.4</v>
      </c>
    </row>
    <row r="280" spans="1:13" s="111" customFormat="1" ht="56.25">
      <c r="A280" s="105"/>
      <c r="B280" s="91" t="s">
        <v>486</v>
      </c>
      <c r="C280" s="106" t="s">
        <v>389</v>
      </c>
      <c r="D280" s="107" t="s">
        <v>89</v>
      </c>
      <c r="E280" s="107" t="s">
        <v>129</v>
      </c>
      <c r="F280" s="117" t="s">
        <v>299</v>
      </c>
      <c r="G280" s="109" t="s">
        <v>149</v>
      </c>
      <c r="H280" s="109" t="s">
        <v>89</v>
      </c>
      <c r="I280" s="110" t="s">
        <v>485</v>
      </c>
      <c r="J280" s="108"/>
      <c r="K280" s="551">
        <f>K281</f>
        <v>33.799999999999997</v>
      </c>
      <c r="L280" s="405">
        <f>L281</f>
        <v>0</v>
      </c>
      <c r="M280" s="405">
        <f>M281</f>
        <v>33.799999999999997</v>
      </c>
    </row>
    <row r="281" spans="1:13" s="111" customFormat="1" ht="54" customHeight="1">
      <c r="A281" s="105"/>
      <c r="B281" s="463" t="s">
        <v>107</v>
      </c>
      <c r="C281" s="106" t="s">
        <v>389</v>
      </c>
      <c r="D281" s="107" t="s">
        <v>89</v>
      </c>
      <c r="E281" s="107" t="s">
        <v>129</v>
      </c>
      <c r="F281" s="117" t="s">
        <v>299</v>
      </c>
      <c r="G281" s="109" t="s">
        <v>149</v>
      </c>
      <c r="H281" s="109" t="s">
        <v>89</v>
      </c>
      <c r="I281" s="417" t="s">
        <v>485</v>
      </c>
      <c r="J281" s="108" t="s">
        <v>108</v>
      </c>
      <c r="K281" s="551">
        <f>32.9+0.9</f>
        <v>33.799999999999997</v>
      </c>
      <c r="L281" s="93">
        <f>M281-K281</f>
        <v>0</v>
      </c>
      <c r="M281" s="405">
        <f>32.9+0.9</f>
        <v>33.799999999999997</v>
      </c>
    </row>
    <row r="282" spans="1:13" s="119" customFormat="1" ht="37.5">
      <c r="A282" s="418"/>
      <c r="B282" s="419" t="s">
        <v>483</v>
      </c>
      <c r="C282" s="420" t="s">
        <v>389</v>
      </c>
      <c r="D282" s="421" t="s">
        <v>89</v>
      </c>
      <c r="E282" s="421" t="s">
        <v>129</v>
      </c>
      <c r="F282" s="422" t="s">
        <v>299</v>
      </c>
      <c r="G282" s="423" t="s">
        <v>149</v>
      </c>
      <c r="H282" s="423" t="s">
        <v>91</v>
      </c>
      <c r="I282" s="424" t="s">
        <v>96</v>
      </c>
      <c r="J282" s="425"/>
      <c r="K282" s="553">
        <f t="shared" ref="K282:M283" si="75">K283</f>
        <v>207</v>
      </c>
      <c r="L282" s="426">
        <f t="shared" si="75"/>
        <v>0</v>
      </c>
      <c r="M282" s="426">
        <f t="shared" si="75"/>
        <v>207</v>
      </c>
    </row>
    <row r="283" spans="1:13" s="119" customFormat="1" ht="75">
      <c r="A283" s="120"/>
      <c r="B283" s="427" t="s">
        <v>484</v>
      </c>
      <c r="C283" s="106" t="s">
        <v>389</v>
      </c>
      <c r="D283" s="107" t="s">
        <v>89</v>
      </c>
      <c r="E283" s="107" t="s">
        <v>129</v>
      </c>
      <c r="F283" s="428" t="s">
        <v>299</v>
      </c>
      <c r="G283" s="423" t="s">
        <v>149</v>
      </c>
      <c r="H283" s="423" t="s">
        <v>91</v>
      </c>
      <c r="I283" s="424" t="s">
        <v>167</v>
      </c>
      <c r="J283" s="429"/>
      <c r="K283" s="554">
        <f t="shared" si="75"/>
        <v>207</v>
      </c>
      <c r="L283" s="430">
        <f t="shared" si="75"/>
        <v>0</v>
      </c>
      <c r="M283" s="430">
        <f t="shared" si="75"/>
        <v>207</v>
      </c>
    </row>
    <row r="284" spans="1:13" s="119" customFormat="1" ht="55.15" customHeight="1">
      <c r="A284" s="431"/>
      <c r="B284" s="466" t="s">
        <v>107</v>
      </c>
      <c r="C284" s="432" t="s">
        <v>389</v>
      </c>
      <c r="D284" s="107" t="s">
        <v>89</v>
      </c>
      <c r="E284" s="107" t="s">
        <v>129</v>
      </c>
      <c r="F284" s="433" t="s">
        <v>299</v>
      </c>
      <c r="G284" s="434" t="s">
        <v>149</v>
      </c>
      <c r="H284" s="434" t="s">
        <v>91</v>
      </c>
      <c r="I284" s="435" t="s">
        <v>167</v>
      </c>
      <c r="J284" s="436" t="s">
        <v>108</v>
      </c>
      <c r="K284" s="555">
        <v>207</v>
      </c>
      <c r="L284" s="93">
        <f>M284-K284</f>
        <v>0</v>
      </c>
      <c r="M284" s="437">
        <v>207</v>
      </c>
    </row>
    <row r="285" spans="1:13" s="119" customFormat="1" ht="37.5">
      <c r="A285" s="431"/>
      <c r="B285" s="438" t="s">
        <v>537</v>
      </c>
      <c r="C285" s="432" t="s">
        <v>389</v>
      </c>
      <c r="D285" s="107" t="s">
        <v>89</v>
      </c>
      <c r="E285" s="107" t="s">
        <v>129</v>
      </c>
      <c r="F285" s="433" t="s">
        <v>299</v>
      </c>
      <c r="G285" s="434" t="s">
        <v>149</v>
      </c>
      <c r="H285" s="121" t="s">
        <v>118</v>
      </c>
      <c r="I285" s="439" t="s">
        <v>96</v>
      </c>
      <c r="J285" s="440"/>
      <c r="K285" s="556">
        <f>K286+K289</f>
        <v>2196.4720000000002</v>
      </c>
      <c r="L285" s="441">
        <f>L286+L289</f>
        <v>-1960.7</v>
      </c>
      <c r="M285" s="441">
        <f>M286+M289</f>
        <v>235.77199999999999</v>
      </c>
    </row>
    <row r="286" spans="1:13" s="119" customFormat="1" ht="37.5">
      <c r="A286" s="431"/>
      <c r="B286" s="438" t="s">
        <v>453</v>
      </c>
      <c r="C286" s="432" t="s">
        <v>389</v>
      </c>
      <c r="D286" s="107" t="s">
        <v>89</v>
      </c>
      <c r="E286" s="107" t="s">
        <v>129</v>
      </c>
      <c r="F286" s="433" t="s">
        <v>299</v>
      </c>
      <c r="G286" s="434" t="s">
        <v>149</v>
      </c>
      <c r="H286" s="442" t="s">
        <v>118</v>
      </c>
      <c r="I286" s="443" t="s">
        <v>452</v>
      </c>
      <c r="J286" s="440"/>
      <c r="K286" s="556">
        <f t="shared" ref="K286" si="76">K288</f>
        <v>196.47200000000001</v>
      </c>
      <c r="L286" s="441">
        <f>L287+L288</f>
        <v>39.299999999999997</v>
      </c>
      <c r="M286" s="441">
        <f>M287+M288</f>
        <v>235.77199999999999</v>
      </c>
    </row>
    <row r="287" spans="1:13" s="119" customFormat="1" ht="56.25">
      <c r="A287" s="431"/>
      <c r="B287" s="463" t="s">
        <v>107</v>
      </c>
      <c r="C287" s="432" t="s">
        <v>389</v>
      </c>
      <c r="D287" s="107" t="s">
        <v>89</v>
      </c>
      <c r="E287" s="107" t="s">
        <v>129</v>
      </c>
      <c r="F287" s="433" t="s">
        <v>299</v>
      </c>
      <c r="G287" s="434" t="s">
        <v>149</v>
      </c>
      <c r="H287" s="442" t="s">
        <v>118</v>
      </c>
      <c r="I287" s="443" t="s">
        <v>452</v>
      </c>
      <c r="J287" s="440" t="s">
        <v>108</v>
      </c>
      <c r="K287" s="556"/>
      <c r="L287" s="93">
        <f>M287-K287</f>
        <v>32.200000000000003</v>
      </c>
      <c r="M287" s="441">
        <f>32.2</f>
        <v>32.200000000000003</v>
      </c>
    </row>
    <row r="288" spans="1:13" s="119" customFormat="1" ht="18.75">
      <c r="A288" s="120"/>
      <c r="B288" s="101" t="s">
        <v>109</v>
      </c>
      <c r="C288" s="106" t="s">
        <v>389</v>
      </c>
      <c r="D288" s="107" t="s">
        <v>89</v>
      </c>
      <c r="E288" s="107" t="s">
        <v>129</v>
      </c>
      <c r="F288" s="117" t="s">
        <v>299</v>
      </c>
      <c r="G288" s="121" t="s">
        <v>149</v>
      </c>
      <c r="H288" s="121" t="s">
        <v>118</v>
      </c>
      <c r="I288" s="439" t="s">
        <v>452</v>
      </c>
      <c r="J288" s="440" t="s">
        <v>110</v>
      </c>
      <c r="K288" s="556">
        <f>68.5+2.242+13.2+0.03+112.5</f>
        <v>196.47200000000001</v>
      </c>
      <c r="L288" s="93">
        <f>M288-K288</f>
        <v>7.0999999999999943</v>
      </c>
      <c r="M288" s="441">
        <f>68.5+2.242+13.2+0.03+112.5+7.1</f>
        <v>203.572</v>
      </c>
    </row>
    <row r="289" spans="1:13" s="119" customFormat="1" ht="56.25">
      <c r="A289" s="120"/>
      <c r="B289" s="444" t="s">
        <v>769</v>
      </c>
      <c r="C289" s="106" t="s">
        <v>389</v>
      </c>
      <c r="D289" s="107" t="s">
        <v>89</v>
      </c>
      <c r="E289" s="107" t="s">
        <v>129</v>
      </c>
      <c r="F289" s="117" t="s">
        <v>299</v>
      </c>
      <c r="G289" s="121" t="s">
        <v>149</v>
      </c>
      <c r="H289" s="121" t="s">
        <v>118</v>
      </c>
      <c r="I289" s="439" t="s">
        <v>768</v>
      </c>
      <c r="J289" s="440"/>
      <c r="K289" s="556">
        <f>K290</f>
        <v>2000</v>
      </c>
      <c r="L289" s="93">
        <f>L290</f>
        <v>-2000</v>
      </c>
      <c r="M289" s="441">
        <f>M290</f>
        <v>0</v>
      </c>
    </row>
    <row r="290" spans="1:13" s="119" customFormat="1" ht="56.25">
      <c r="A290" s="120"/>
      <c r="B290" s="444" t="s">
        <v>107</v>
      </c>
      <c r="C290" s="106" t="s">
        <v>389</v>
      </c>
      <c r="D290" s="107" t="s">
        <v>89</v>
      </c>
      <c r="E290" s="107" t="s">
        <v>129</v>
      </c>
      <c r="F290" s="117" t="s">
        <v>299</v>
      </c>
      <c r="G290" s="121" t="s">
        <v>149</v>
      </c>
      <c r="H290" s="121" t="s">
        <v>118</v>
      </c>
      <c r="I290" s="439" t="s">
        <v>768</v>
      </c>
      <c r="J290" s="440" t="s">
        <v>108</v>
      </c>
      <c r="K290" s="556">
        <v>2000</v>
      </c>
      <c r="L290" s="93">
        <f>M290-K290</f>
        <v>-2000</v>
      </c>
      <c r="M290" s="441">
        <f>2000-2000</f>
        <v>0</v>
      </c>
    </row>
    <row r="291" spans="1:13" s="529" customFormat="1" ht="37.5">
      <c r="A291" s="120"/>
      <c r="B291" s="444" t="s">
        <v>455</v>
      </c>
      <c r="C291" s="106" t="s">
        <v>389</v>
      </c>
      <c r="D291" s="107" t="s">
        <v>89</v>
      </c>
      <c r="E291" s="107" t="s">
        <v>129</v>
      </c>
      <c r="F291" s="122" t="s">
        <v>299</v>
      </c>
      <c r="G291" s="121" t="s">
        <v>82</v>
      </c>
      <c r="H291" s="121" t="s">
        <v>95</v>
      </c>
      <c r="I291" s="439" t="s">
        <v>96</v>
      </c>
      <c r="J291" s="440"/>
      <c r="K291" s="550">
        <f t="shared" ref="K291:M293" si="77">K292</f>
        <v>3551.4050000000002</v>
      </c>
      <c r="L291" s="93">
        <f t="shared" si="77"/>
        <v>0</v>
      </c>
      <c r="M291" s="93">
        <f t="shared" si="77"/>
        <v>3551.4050000000002</v>
      </c>
    </row>
    <row r="292" spans="1:13" s="529" customFormat="1" ht="18.75">
      <c r="A292" s="120"/>
      <c r="B292" s="444" t="s">
        <v>766</v>
      </c>
      <c r="C292" s="106" t="s">
        <v>389</v>
      </c>
      <c r="D292" s="107" t="s">
        <v>89</v>
      </c>
      <c r="E292" s="107" t="s">
        <v>129</v>
      </c>
      <c r="F292" s="122" t="s">
        <v>299</v>
      </c>
      <c r="G292" s="121" t="s">
        <v>82</v>
      </c>
      <c r="H292" s="121" t="s">
        <v>104</v>
      </c>
      <c r="I292" s="439" t="s">
        <v>96</v>
      </c>
      <c r="J292" s="440"/>
      <c r="K292" s="550">
        <f t="shared" si="77"/>
        <v>3551.4050000000002</v>
      </c>
      <c r="L292" s="93">
        <f t="shared" si="77"/>
        <v>0</v>
      </c>
      <c r="M292" s="93">
        <f t="shared" si="77"/>
        <v>3551.4050000000002</v>
      </c>
    </row>
    <row r="293" spans="1:13" s="529" customFormat="1" ht="37.5">
      <c r="A293" s="120"/>
      <c r="B293" s="444" t="s">
        <v>767</v>
      </c>
      <c r="C293" s="106" t="s">
        <v>389</v>
      </c>
      <c r="D293" s="107" t="s">
        <v>89</v>
      </c>
      <c r="E293" s="107" t="s">
        <v>129</v>
      </c>
      <c r="F293" s="122" t="s">
        <v>299</v>
      </c>
      <c r="G293" s="121" t="s">
        <v>82</v>
      </c>
      <c r="H293" s="121" t="s">
        <v>104</v>
      </c>
      <c r="I293" s="439" t="s">
        <v>765</v>
      </c>
      <c r="J293" s="440"/>
      <c r="K293" s="550">
        <f t="shared" si="77"/>
        <v>3551.4050000000002</v>
      </c>
      <c r="L293" s="93">
        <f t="shared" si="77"/>
        <v>0</v>
      </c>
      <c r="M293" s="93">
        <f t="shared" si="77"/>
        <v>3551.4050000000002</v>
      </c>
    </row>
    <row r="294" spans="1:13" s="529" customFormat="1" ht="18.75">
      <c r="A294" s="120"/>
      <c r="B294" s="101" t="s">
        <v>109</v>
      </c>
      <c r="C294" s="106" t="s">
        <v>389</v>
      </c>
      <c r="D294" s="107" t="s">
        <v>89</v>
      </c>
      <c r="E294" s="107" t="s">
        <v>129</v>
      </c>
      <c r="F294" s="122" t="s">
        <v>299</v>
      </c>
      <c r="G294" s="121" t="s">
        <v>82</v>
      </c>
      <c r="H294" s="121" t="s">
        <v>104</v>
      </c>
      <c r="I294" s="439" t="s">
        <v>765</v>
      </c>
      <c r="J294" s="440" t="s">
        <v>110</v>
      </c>
      <c r="K294" s="556">
        <v>3551.4050000000002</v>
      </c>
      <c r="L294" s="93">
        <f>M294-K294</f>
        <v>0</v>
      </c>
      <c r="M294" s="441">
        <v>3551.4050000000002</v>
      </c>
    </row>
    <row r="295" spans="1:13" s="111" customFormat="1" ht="56.25">
      <c r="A295" s="105"/>
      <c r="B295" s="444" t="s">
        <v>92</v>
      </c>
      <c r="C295" s="106" t="s">
        <v>389</v>
      </c>
      <c r="D295" s="107" t="s">
        <v>89</v>
      </c>
      <c r="E295" s="107" t="s">
        <v>129</v>
      </c>
      <c r="F295" s="122" t="s">
        <v>93</v>
      </c>
      <c r="G295" s="109" t="s">
        <v>94</v>
      </c>
      <c r="H295" s="109" t="s">
        <v>95</v>
      </c>
      <c r="I295" s="110" t="s">
        <v>96</v>
      </c>
      <c r="J295" s="108"/>
      <c r="K295" s="551">
        <f t="shared" ref="K295:M296" si="78">K296</f>
        <v>5143.2</v>
      </c>
      <c r="L295" s="405">
        <f t="shared" si="78"/>
        <v>0</v>
      </c>
      <c r="M295" s="405">
        <f t="shared" si="78"/>
        <v>5143.2</v>
      </c>
    </row>
    <row r="296" spans="1:13" s="111" customFormat="1" ht="37.5">
      <c r="A296" s="105"/>
      <c r="B296" s="91" t="s">
        <v>455</v>
      </c>
      <c r="C296" s="106" t="s">
        <v>389</v>
      </c>
      <c r="D296" s="107" t="s">
        <v>89</v>
      </c>
      <c r="E296" s="107" t="s">
        <v>129</v>
      </c>
      <c r="F296" s="117" t="s">
        <v>93</v>
      </c>
      <c r="G296" s="109" t="s">
        <v>97</v>
      </c>
      <c r="H296" s="109" t="s">
        <v>95</v>
      </c>
      <c r="I296" s="110" t="s">
        <v>96</v>
      </c>
      <c r="J296" s="108"/>
      <c r="K296" s="551">
        <f t="shared" si="78"/>
        <v>5143.2</v>
      </c>
      <c r="L296" s="405">
        <f t="shared" si="78"/>
        <v>0</v>
      </c>
      <c r="M296" s="405">
        <f t="shared" si="78"/>
        <v>5143.2</v>
      </c>
    </row>
    <row r="297" spans="1:13" s="111" customFormat="1" ht="75">
      <c r="A297" s="105"/>
      <c r="B297" s="101" t="s">
        <v>392</v>
      </c>
      <c r="C297" s="106" t="s">
        <v>389</v>
      </c>
      <c r="D297" s="107" t="s">
        <v>89</v>
      </c>
      <c r="E297" s="107" t="s">
        <v>129</v>
      </c>
      <c r="F297" s="117" t="s">
        <v>93</v>
      </c>
      <c r="G297" s="109" t="s">
        <v>97</v>
      </c>
      <c r="H297" s="109" t="s">
        <v>140</v>
      </c>
      <c r="I297" s="110" t="s">
        <v>96</v>
      </c>
      <c r="J297" s="108"/>
      <c r="K297" s="551">
        <f t="shared" ref="K297:M297" si="79">K298</f>
        <v>5143.2</v>
      </c>
      <c r="L297" s="405">
        <f t="shared" si="79"/>
        <v>0</v>
      </c>
      <c r="M297" s="405">
        <f t="shared" si="79"/>
        <v>5143.2</v>
      </c>
    </row>
    <row r="298" spans="1:13" s="111" customFormat="1" ht="71.45" customHeight="1">
      <c r="A298" s="105"/>
      <c r="B298" s="465" t="s">
        <v>150</v>
      </c>
      <c r="C298" s="106" t="s">
        <v>389</v>
      </c>
      <c r="D298" s="107" t="s">
        <v>89</v>
      </c>
      <c r="E298" s="107" t="s">
        <v>129</v>
      </c>
      <c r="F298" s="117" t="s">
        <v>93</v>
      </c>
      <c r="G298" s="109" t="s">
        <v>97</v>
      </c>
      <c r="H298" s="109" t="s">
        <v>140</v>
      </c>
      <c r="I298" s="110" t="s">
        <v>152</v>
      </c>
      <c r="J298" s="108"/>
      <c r="K298" s="551">
        <f t="shared" ref="K298" si="80">SUM(K299:K301)</f>
        <v>5143.2</v>
      </c>
      <c r="L298" s="405">
        <f t="shared" ref="L298" si="81">SUM(L299:L301)</f>
        <v>0</v>
      </c>
      <c r="M298" s="405">
        <f t="shared" ref="M298" si="82">SUM(M299:M301)</f>
        <v>5143.2</v>
      </c>
    </row>
    <row r="299" spans="1:13" s="111" customFormat="1" ht="91.15" customHeight="1">
      <c r="A299" s="105"/>
      <c r="B299" s="465" t="s">
        <v>101</v>
      </c>
      <c r="C299" s="106" t="s">
        <v>389</v>
      </c>
      <c r="D299" s="107" t="s">
        <v>89</v>
      </c>
      <c r="E299" s="107" t="s">
        <v>129</v>
      </c>
      <c r="F299" s="117" t="s">
        <v>93</v>
      </c>
      <c r="G299" s="109" t="s">
        <v>97</v>
      </c>
      <c r="H299" s="109" t="s">
        <v>140</v>
      </c>
      <c r="I299" s="110" t="s">
        <v>152</v>
      </c>
      <c r="J299" s="108" t="s">
        <v>102</v>
      </c>
      <c r="K299" s="551">
        <f>5038.7+2.081-493.3</f>
        <v>4547.4809999999998</v>
      </c>
      <c r="L299" s="93">
        <f t="shared" ref="L299:L301" si="83">M299-K299</f>
        <v>0</v>
      </c>
      <c r="M299" s="405">
        <f>5038.7+2.081-493.3</f>
        <v>4547.4809999999998</v>
      </c>
    </row>
    <row r="300" spans="1:13" s="111" customFormat="1" ht="53.45" customHeight="1">
      <c r="A300" s="105"/>
      <c r="B300" s="463" t="s">
        <v>107</v>
      </c>
      <c r="C300" s="106" t="s">
        <v>389</v>
      </c>
      <c r="D300" s="107" t="s">
        <v>89</v>
      </c>
      <c r="E300" s="107" t="s">
        <v>129</v>
      </c>
      <c r="F300" s="117" t="s">
        <v>93</v>
      </c>
      <c r="G300" s="109" t="s">
        <v>97</v>
      </c>
      <c r="H300" s="109" t="s">
        <v>140</v>
      </c>
      <c r="I300" s="110" t="s">
        <v>152</v>
      </c>
      <c r="J300" s="108" t="s">
        <v>108</v>
      </c>
      <c r="K300" s="551">
        <f>514.3+83.4-2.081</f>
        <v>595.61899999999991</v>
      </c>
      <c r="L300" s="93">
        <f t="shared" si="83"/>
        <v>0</v>
      </c>
      <c r="M300" s="405">
        <f>514.3+83.4-2.081</f>
        <v>595.61899999999991</v>
      </c>
    </row>
    <row r="301" spans="1:13" s="111" customFormat="1" ht="18.75">
      <c r="A301" s="105"/>
      <c r="B301" s="101" t="s">
        <v>109</v>
      </c>
      <c r="C301" s="106" t="s">
        <v>389</v>
      </c>
      <c r="D301" s="107" t="s">
        <v>89</v>
      </c>
      <c r="E301" s="107" t="s">
        <v>129</v>
      </c>
      <c r="F301" s="117" t="s">
        <v>93</v>
      </c>
      <c r="G301" s="109" t="s">
        <v>97</v>
      </c>
      <c r="H301" s="109" t="s">
        <v>140</v>
      </c>
      <c r="I301" s="110" t="s">
        <v>152</v>
      </c>
      <c r="J301" s="108" t="s">
        <v>110</v>
      </c>
      <c r="K301" s="551">
        <v>0.1</v>
      </c>
      <c r="L301" s="93">
        <f t="shared" si="83"/>
        <v>0</v>
      </c>
      <c r="M301" s="405">
        <v>0.1</v>
      </c>
    </row>
    <row r="302" spans="1:13" s="111" customFormat="1" ht="18.75">
      <c r="A302" s="105"/>
      <c r="B302" s="91" t="s">
        <v>153</v>
      </c>
      <c r="C302" s="106" t="s">
        <v>389</v>
      </c>
      <c r="D302" s="107" t="s">
        <v>104</v>
      </c>
      <c r="E302" s="107"/>
      <c r="F302" s="117"/>
      <c r="G302" s="109"/>
      <c r="H302" s="109"/>
      <c r="I302" s="110"/>
      <c r="J302" s="108"/>
      <c r="K302" s="551">
        <f t="shared" ref="K302:M307" si="84">K303</f>
        <v>2437.27</v>
      </c>
      <c r="L302" s="405">
        <f t="shared" si="84"/>
        <v>31.69399999999996</v>
      </c>
      <c r="M302" s="405">
        <f t="shared" si="84"/>
        <v>2468.9639999999999</v>
      </c>
    </row>
    <row r="303" spans="1:13" s="111" customFormat="1" ht="37.5">
      <c r="A303" s="105"/>
      <c r="B303" s="98" t="s">
        <v>168</v>
      </c>
      <c r="C303" s="106" t="s">
        <v>389</v>
      </c>
      <c r="D303" s="107" t="s">
        <v>104</v>
      </c>
      <c r="E303" s="107" t="s">
        <v>162</v>
      </c>
      <c r="F303" s="117"/>
      <c r="G303" s="109"/>
      <c r="H303" s="109"/>
      <c r="I303" s="110"/>
      <c r="J303" s="108"/>
      <c r="K303" s="551">
        <f t="shared" si="84"/>
        <v>2437.27</v>
      </c>
      <c r="L303" s="405">
        <f t="shared" si="84"/>
        <v>31.69399999999996</v>
      </c>
      <c r="M303" s="405">
        <f t="shared" si="84"/>
        <v>2468.9639999999999</v>
      </c>
    </row>
    <row r="304" spans="1:13" s="111" customFormat="1" ht="56.25">
      <c r="A304" s="105"/>
      <c r="B304" s="101" t="s">
        <v>298</v>
      </c>
      <c r="C304" s="106" t="s">
        <v>389</v>
      </c>
      <c r="D304" s="107" t="s">
        <v>104</v>
      </c>
      <c r="E304" s="107" t="s">
        <v>162</v>
      </c>
      <c r="F304" s="117" t="s">
        <v>299</v>
      </c>
      <c r="G304" s="109" t="s">
        <v>94</v>
      </c>
      <c r="H304" s="109" t="s">
        <v>95</v>
      </c>
      <c r="I304" s="110" t="s">
        <v>96</v>
      </c>
      <c r="J304" s="108"/>
      <c r="K304" s="551">
        <f t="shared" si="84"/>
        <v>2437.27</v>
      </c>
      <c r="L304" s="405">
        <f t="shared" si="84"/>
        <v>31.69399999999996</v>
      </c>
      <c r="M304" s="405">
        <f t="shared" si="84"/>
        <v>2468.9639999999999</v>
      </c>
    </row>
    <row r="305" spans="1:13" s="111" customFormat="1" ht="56.25">
      <c r="A305" s="105"/>
      <c r="B305" s="101" t="s">
        <v>300</v>
      </c>
      <c r="C305" s="106" t="s">
        <v>389</v>
      </c>
      <c r="D305" s="107" t="s">
        <v>104</v>
      </c>
      <c r="E305" s="107" t="s">
        <v>162</v>
      </c>
      <c r="F305" s="117" t="s">
        <v>299</v>
      </c>
      <c r="G305" s="109" t="s">
        <v>97</v>
      </c>
      <c r="H305" s="109" t="s">
        <v>95</v>
      </c>
      <c r="I305" s="110" t="s">
        <v>96</v>
      </c>
      <c r="J305" s="108"/>
      <c r="K305" s="551">
        <f t="shared" si="84"/>
        <v>2437.27</v>
      </c>
      <c r="L305" s="405">
        <f t="shared" si="84"/>
        <v>31.69399999999996</v>
      </c>
      <c r="M305" s="405">
        <f t="shared" si="84"/>
        <v>2468.9639999999999</v>
      </c>
    </row>
    <row r="306" spans="1:13" s="111" customFormat="1" ht="112.5">
      <c r="A306" s="105"/>
      <c r="B306" s="101" t="s">
        <v>390</v>
      </c>
      <c r="C306" s="106" t="s">
        <v>389</v>
      </c>
      <c r="D306" s="107" t="s">
        <v>104</v>
      </c>
      <c r="E306" s="107" t="s">
        <v>162</v>
      </c>
      <c r="F306" s="117" t="s">
        <v>299</v>
      </c>
      <c r="G306" s="109" t="s">
        <v>97</v>
      </c>
      <c r="H306" s="109" t="s">
        <v>89</v>
      </c>
      <c r="I306" s="110" t="s">
        <v>96</v>
      </c>
      <c r="J306" s="108"/>
      <c r="K306" s="551">
        <f t="shared" si="84"/>
        <v>2437.27</v>
      </c>
      <c r="L306" s="405">
        <f t="shared" si="84"/>
        <v>31.69399999999996</v>
      </c>
      <c r="M306" s="405">
        <f t="shared" si="84"/>
        <v>2468.9639999999999</v>
      </c>
    </row>
    <row r="307" spans="1:13" s="111" customFormat="1" ht="37.5">
      <c r="A307" s="105"/>
      <c r="B307" s="101" t="s">
        <v>527</v>
      </c>
      <c r="C307" s="106" t="s">
        <v>389</v>
      </c>
      <c r="D307" s="107" t="s">
        <v>104</v>
      </c>
      <c r="E307" s="107" t="s">
        <v>162</v>
      </c>
      <c r="F307" s="117" t="s">
        <v>299</v>
      </c>
      <c r="G307" s="109" t="s">
        <v>97</v>
      </c>
      <c r="H307" s="109" t="s">
        <v>89</v>
      </c>
      <c r="I307" s="110" t="s">
        <v>526</v>
      </c>
      <c r="J307" s="108"/>
      <c r="K307" s="551">
        <f t="shared" si="84"/>
        <v>2437.27</v>
      </c>
      <c r="L307" s="405">
        <f t="shared" si="84"/>
        <v>31.69399999999996</v>
      </c>
      <c r="M307" s="405">
        <f t="shared" si="84"/>
        <v>2468.9639999999999</v>
      </c>
    </row>
    <row r="308" spans="1:13" s="111" customFormat="1" ht="55.15" customHeight="1">
      <c r="A308" s="105"/>
      <c r="B308" s="463" t="s">
        <v>107</v>
      </c>
      <c r="C308" s="106" t="s">
        <v>389</v>
      </c>
      <c r="D308" s="107" t="s">
        <v>104</v>
      </c>
      <c r="E308" s="107" t="s">
        <v>162</v>
      </c>
      <c r="F308" s="117" t="s">
        <v>299</v>
      </c>
      <c r="G308" s="109" t="s">
        <v>97</v>
      </c>
      <c r="H308" s="109" t="s">
        <v>89</v>
      </c>
      <c r="I308" s="110" t="s">
        <v>526</v>
      </c>
      <c r="J308" s="108" t="s">
        <v>108</v>
      </c>
      <c r="K308" s="551">
        <f>2437.3-0.03</f>
        <v>2437.27</v>
      </c>
      <c r="L308" s="93">
        <f>M308-K308</f>
        <v>31.69399999999996</v>
      </c>
      <c r="M308" s="405">
        <f>2437.3-0.03-8.306+40</f>
        <v>2468.9639999999999</v>
      </c>
    </row>
    <row r="309" spans="1:13" s="111" customFormat="1" ht="18.75">
      <c r="A309" s="105"/>
      <c r="B309" s="101" t="s">
        <v>245</v>
      </c>
      <c r="C309" s="106" t="s">
        <v>389</v>
      </c>
      <c r="D309" s="107" t="s">
        <v>120</v>
      </c>
      <c r="E309" s="107"/>
      <c r="F309" s="116"/>
      <c r="G309" s="109"/>
      <c r="H309" s="109"/>
      <c r="I309" s="123"/>
      <c r="J309" s="108"/>
      <c r="K309" s="551">
        <f t="shared" ref="K309:M309" si="85">K310</f>
        <v>17857.501</v>
      </c>
      <c r="L309" s="93">
        <f t="shared" ref="L309:L315" si="86">M309-K309</f>
        <v>0</v>
      </c>
      <c r="M309" s="405">
        <f t="shared" si="85"/>
        <v>17857.501</v>
      </c>
    </row>
    <row r="310" spans="1:13" s="111" customFormat="1" ht="18.75">
      <c r="A310" s="105"/>
      <c r="B310" s="101" t="s">
        <v>447</v>
      </c>
      <c r="C310" s="106" t="s">
        <v>389</v>
      </c>
      <c r="D310" s="107" t="s">
        <v>120</v>
      </c>
      <c r="E310" s="107" t="s">
        <v>91</v>
      </c>
      <c r="F310" s="116"/>
      <c r="G310" s="109"/>
      <c r="H310" s="109"/>
      <c r="I310" s="123"/>
      <c r="J310" s="108"/>
      <c r="K310" s="551">
        <f t="shared" ref="K310" si="87">K316+K311</f>
        <v>17857.501</v>
      </c>
      <c r="L310" s="93">
        <f t="shared" si="86"/>
        <v>0</v>
      </c>
      <c r="M310" s="405">
        <f t="shared" ref="M310" si="88">M316+M311</f>
        <v>17857.501</v>
      </c>
    </row>
    <row r="311" spans="1:13" s="111" customFormat="1" ht="56.25">
      <c r="A311" s="105"/>
      <c r="B311" s="101" t="s">
        <v>298</v>
      </c>
      <c r="C311" s="106" t="s">
        <v>389</v>
      </c>
      <c r="D311" s="107" t="s">
        <v>120</v>
      </c>
      <c r="E311" s="107" t="s">
        <v>91</v>
      </c>
      <c r="F311" s="117" t="s">
        <v>299</v>
      </c>
      <c r="G311" s="109" t="s">
        <v>94</v>
      </c>
      <c r="H311" s="109" t="s">
        <v>95</v>
      </c>
      <c r="I311" s="110" t="s">
        <v>96</v>
      </c>
      <c r="J311" s="108"/>
      <c r="K311" s="551">
        <f>K312</f>
        <v>11.101000000000001</v>
      </c>
      <c r="L311" s="93">
        <f t="shared" si="86"/>
        <v>0</v>
      </c>
      <c r="M311" s="405">
        <f>M312</f>
        <v>11.101000000000001</v>
      </c>
    </row>
    <row r="312" spans="1:13" s="111" customFormat="1" ht="56.25">
      <c r="A312" s="105"/>
      <c r="B312" s="101" t="s">
        <v>300</v>
      </c>
      <c r="C312" s="106" t="s">
        <v>389</v>
      </c>
      <c r="D312" s="107" t="s">
        <v>120</v>
      </c>
      <c r="E312" s="107" t="s">
        <v>91</v>
      </c>
      <c r="F312" s="117" t="s">
        <v>299</v>
      </c>
      <c r="G312" s="109" t="s">
        <v>97</v>
      </c>
      <c r="H312" s="109" t="s">
        <v>95</v>
      </c>
      <c r="I312" s="110" t="s">
        <v>96</v>
      </c>
      <c r="J312" s="108"/>
      <c r="K312" s="551">
        <f>K313</f>
        <v>11.101000000000001</v>
      </c>
      <c r="L312" s="93">
        <f t="shared" si="86"/>
        <v>0</v>
      </c>
      <c r="M312" s="405">
        <f>M313</f>
        <v>11.101000000000001</v>
      </c>
    </row>
    <row r="313" spans="1:13" s="111" customFormat="1" ht="40.15" customHeight="1">
      <c r="A313" s="105"/>
      <c r="B313" s="101" t="s">
        <v>454</v>
      </c>
      <c r="C313" s="106" t="s">
        <v>389</v>
      </c>
      <c r="D313" s="107" t="s">
        <v>120</v>
      </c>
      <c r="E313" s="107" t="s">
        <v>91</v>
      </c>
      <c r="F313" s="116" t="s">
        <v>299</v>
      </c>
      <c r="G313" s="109" t="s">
        <v>97</v>
      </c>
      <c r="H313" s="109" t="s">
        <v>91</v>
      </c>
      <c r="I313" s="123" t="s">
        <v>96</v>
      </c>
      <c r="J313" s="108"/>
      <c r="K313" s="551">
        <f>K314</f>
        <v>11.101000000000001</v>
      </c>
      <c r="L313" s="93">
        <f t="shared" si="86"/>
        <v>0</v>
      </c>
      <c r="M313" s="405">
        <f>M314</f>
        <v>11.101000000000001</v>
      </c>
    </row>
    <row r="314" spans="1:13" s="111" customFormat="1" ht="37.5">
      <c r="A314" s="105"/>
      <c r="B314" s="101" t="s">
        <v>453</v>
      </c>
      <c r="C314" s="106" t="s">
        <v>389</v>
      </c>
      <c r="D314" s="107" t="s">
        <v>120</v>
      </c>
      <c r="E314" s="107" t="s">
        <v>91</v>
      </c>
      <c r="F314" s="116" t="s">
        <v>299</v>
      </c>
      <c r="G314" s="109" t="s">
        <v>97</v>
      </c>
      <c r="H314" s="109" t="s">
        <v>91</v>
      </c>
      <c r="I314" s="123" t="s">
        <v>452</v>
      </c>
      <c r="J314" s="108"/>
      <c r="K314" s="551">
        <f>K315</f>
        <v>11.101000000000001</v>
      </c>
      <c r="L314" s="93">
        <f t="shared" si="86"/>
        <v>0</v>
      </c>
      <c r="M314" s="405">
        <f>M315</f>
        <v>11.101000000000001</v>
      </c>
    </row>
    <row r="315" spans="1:13" s="111" customFormat="1" ht="57" customHeight="1">
      <c r="A315" s="105"/>
      <c r="B315" s="465" t="s">
        <v>107</v>
      </c>
      <c r="C315" s="106" t="s">
        <v>389</v>
      </c>
      <c r="D315" s="107" t="s">
        <v>120</v>
      </c>
      <c r="E315" s="107" t="s">
        <v>91</v>
      </c>
      <c r="F315" s="116" t="s">
        <v>299</v>
      </c>
      <c r="G315" s="109" t="s">
        <v>97</v>
      </c>
      <c r="H315" s="109" t="s">
        <v>91</v>
      </c>
      <c r="I315" s="123" t="s">
        <v>452</v>
      </c>
      <c r="J315" s="108" t="s">
        <v>108</v>
      </c>
      <c r="K315" s="551">
        <v>11.101000000000001</v>
      </c>
      <c r="L315" s="93">
        <f t="shared" si="86"/>
        <v>0</v>
      </c>
      <c r="M315" s="405">
        <v>11.101000000000001</v>
      </c>
    </row>
    <row r="316" spans="1:13" s="111" customFormat="1" ht="75">
      <c r="A316" s="105"/>
      <c r="B316" s="406" t="s">
        <v>446</v>
      </c>
      <c r="C316" s="106" t="s">
        <v>389</v>
      </c>
      <c r="D316" s="107" t="s">
        <v>120</v>
      </c>
      <c r="E316" s="107" t="s">
        <v>91</v>
      </c>
      <c r="F316" s="116" t="s">
        <v>166</v>
      </c>
      <c r="G316" s="109" t="s">
        <v>94</v>
      </c>
      <c r="H316" s="109" t="s">
        <v>95</v>
      </c>
      <c r="I316" s="123" t="s">
        <v>96</v>
      </c>
      <c r="J316" s="108"/>
      <c r="K316" s="551">
        <f t="shared" ref="K316:M319" si="89">K317</f>
        <v>17846.400000000001</v>
      </c>
      <c r="L316" s="405">
        <f t="shared" si="89"/>
        <v>0</v>
      </c>
      <c r="M316" s="405">
        <f t="shared" si="89"/>
        <v>17846.400000000001</v>
      </c>
    </row>
    <row r="317" spans="1:13" s="111" customFormat="1" ht="56.25">
      <c r="A317" s="105"/>
      <c r="B317" s="91" t="s">
        <v>448</v>
      </c>
      <c r="C317" s="106" t="s">
        <v>389</v>
      </c>
      <c r="D317" s="107" t="s">
        <v>120</v>
      </c>
      <c r="E317" s="107" t="s">
        <v>91</v>
      </c>
      <c r="F317" s="116" t="s">
        <v>166</v>
      </c>
      <c r="G317" s="109" t="s">
        <v>97</v>
      </c>
      <c r="H317" s="109" t="s">
        <v>95</v>
      </c>
      <c r="I317" s="123" t="s">
        <v>96</v>
      </c>
      <c r="J317" s="108"/>
      <c r="K317" s="551">
        <f t="shared" si="89"/>
        <v>17846.400000000001</v>
      </c>
      <c r="L317" s="405">
        <f t="shared" si="89"/>
        <v>0</v>
      </c>
      <c r="M317" s="405">
        <f t="shared" si="89"/>
        <v>17846.400000000001</v>
      </c>
    </row>
    <row r="318" spans="1:13" s="111" customFormat="1" ht="56.25">
      <c r="A318" s="105"/>
      <c r="B318" s="91" t="s">
        <v>528</v>
      </c>
      <c r="C318" s="106" t="s">
        <v>389</v>
      </c>
      <c r="D318" s="107" t="s">
        <v>120</v>
      </c>
      <c r="E318" s="107" t="s">
        <v>91</v>
      </c>
      <c r="F318" s="116" t="s">
        <v>166</v>
      </c>
      <c r="G318" s="109" t="s">
        <v>97</v>
      </c>
      <c r="H318" s="109" t="s">
        <v>89</v>
      </c>
      <c r="I318" s="123" t="s">
        <v>96</v>
      </c>
      <c r="J318" s="108"/>
      <c r="K318" s="551">
        <f>K319+K321</f>
        <v>17846.400000000001</v>
      </c>
      <c r="L318" s="405">
        <f>L319+L321</f>
        <v>0</v>
      </c>
      <c r="M318" s="405">
        <f>M319+M321</f>
        <v>17846.400000000001</v>
      </c>
    </row>
    <row r="319" spans="1:13" s="111" customFormat="1" ht="52.9" customHeight="1">
      <c r="A319" s="105"/>
      <c r="B319" s="91" t="s">
        <v>449</v>
      </c>
      <c r="C319" s="106" t="s">
        <v>389</v>
      </c>
      <c r="D319" s="107" t="s">
        <v>120</v>
      </c>
      <c r="E319" s="107" t="s">
        <v>91</v>
      </c>
      <c r="F319" s="116" t="s">
        <v>166</v>
      </c>
      <c r="G319" s="109" t="s">
        <v>97</v>
      </c>
      <c r="H319" s="109" t="s">
        <v>89</v>
      </c>
      <c r="I319" s="123" t="s">
        <v>450</v>
      </c>
      <c r="J319" s="108"/>
      <c r="K319" s="551">
        <f t="shared" si="89"/>
        <v>1448.8820000000001</v>
      </c>
      <c r="L319" s="405">
        <f t="shared" si="89"/>
        <v>0</v>
      </c>
      <c r="M319" s="405">
        <f t="shared" si="89"/>
        <v>1448.8820000000001</v>
      </c>
    </row>
    <row r="320" spans="1:13" s="111" customFormat="1" ht="56.25">
      <c r="A320" s="105"/>
      <c r="B320" s="91" t="s">
        <v>275</v>
      </c>
      <c r="C320" s="106" t="s">
        <v>389</v>
      </c>
      <c r="D320" s="107" t="s">
        <v>120</v>
      </c>
      <c r="E320" s="107" t="s">
        <v>91</v>
      </c>
      <c r="F320" s="116" t="s">
        <v>166</v>
      </c>
      <c r="G320" s="109" t="s">
        <v>97</v>
      </c>
      <c r="H320" s="109" t="s">
        <v>89</v>
      </c>
      <c r="I320" s="123" t="s">
        <v>450</v>
      </c>
      <c r="J320" s="108" t="s">
        <v>276</v>
      </c>
      <c r="K320" s="551">
        <f>817.8-336+1818-820.518-30.4</f>
        <v>1448.8820000000001</v>
      </c>
      <c r="L320" s="93">
        <f>M320-K320</f>
        <v>0</v>
      </c>
      <c r="M320" s="405">
        <f>817.8-336+1818-820.518-30.4</f>
        <v>1448.8820000000001</v>
      </c>
    </row>
    <row r="321" spans="1:13" s="111" customFormat="1" ht="37.5">
      <c r="A321" s="105"/>
      <c r="B321" s="91" t="s">
        <v>752</v>
      </c>
      <c r="C321" s="106" t="s">
        <v>389</v>
      </c>
      <c r="D321" s="107" t="s">
        <v>120</v>
      </c>
      <c r="E321" s="107" t="s">
        <v>91</v>
      </c>
      <c r="F321" s="116" t="s">
        <v>166</v>
      </c>
      <c r="G321" s="109" t="s">
        <v>97</v>
      </c>
      <c r="H321" s="109" t="s">
        <v>89</v>
      </c>
      <c r="I321" s="123" t="s">
        <v>749</v>
      </c>
      <c r="J321" s="108"/>
      <c r="K321" s="551">
        <f>K322</f>
        <v>16397.518</v>
      </c>
      <c r="L321" s="93">
        <f>L322</f>
        <v>0</v>
      </c>
      <c r="M321" s="405">
        <f>M322</f>
        <v>16397.518</v>
      </c>
    </row>
    <row r="322" spans="1:13" s="111" customFormat="1" ht="56.25">
      <c r="A322" s="105"/>
      <c r="B322" s="91" t="s">
        <v>275</v>
      </c>
      <c r="C322" s="106" t="s">
        <v>389</v>
      </c>
      <c r="D322" s="107" t="s">
        <v>120</v>
      </c>
      <c r="E322" s="107" t="s">
        <v>91</v>
      </c>
      <c r="F322" s="116" t="s">
        <v>166</v>
      </c>
      <c r="G322" s="109" t="s">
        <v>97</v>
      </c>
      <c r="H322" s="109" t="s">
        <v>89</v>
      </c>
      <c r="I322" s="123" t="s">
        <v>749</v>
      </c>
      <c r="J322" s="108" t="s">
        <v>276</v>
      </c>
      <c r="K322" s="551">
        <f>15577+820.518</f>
        <v>16397.518</v>
      </c>
      <c r="L322" s="93">
        <f>M322-K322</f>
        <v>0</v>
      </c>
      <c r="M322" s="405">
        <f>15577+820.518</f>
        <v>16397.518</v>
      </c>
    </row>
    <row r="323" spans="1:13" s="111" customFormat="1" ht="18.75">
      <c r="A323" s="105"/>
      <c r="B323" s="91" t="s">
        <v>247</v>
      </c>
      <c r="C323" s="106" t="s">
        <v>389</v>
      </c>
      <c r="D323" s="107" t="s">
        <v>297</v>
      </c>
      <c r="E323" s="107"/>
      <c r="F323" s="116"/>
      <c r="G323" s="109"/>
      <c r="H323" s="109"/>
      <c r="I323" s="123"/>
      <c r="J323" s="108"/>
      <c r="K323" s="550">
        <f>K324+K330</f>
        <v>6985.1</v>
      </c>
      <c r="L323" s="93">
        <f>L324+L330</f>
        <v>0</v>
      </c>
      <c r="M323" s="93">
        <f>M324+M330</f>
        <v>6985.1</v>
      </c>
    </row>
    <row r="324" spans="1:13" s="111" customFormat="1" ht="18.75">
      <c r="A324" s="105"/>
      <c r="B324" s="91" t="s">
        <v>249</v>
      </c>
      <c r="C324" s="106" t="s">
        <v>389</v>
      </c>
      <c r="D324" s="107" t="s">
        <v>297</v>
      </c>
      <c r="E324" s="107" t="s">
        <v>89</v>
      </c>
      <c r="F324" s="116"/>
      <c r="G324" s="109"/>
      <c r="H324" s="109"/>
      <c r="I324" s="123"/>
      <c r="J324" s="108"/>
      <c r="K324" s="550">
        <f>K325</f>
        <v>6985.1</v>
      </c>
      <c r="L324" s="93">
        <f t="shared" ref="L324:L329" si="90">M324-K324</f>
        <v>0</v>
      </c>
      <c r="M324" s="93">
        <f>M325</f>
        <v>6985.1</v>
      </c>
    </row>
    <row r="325" spans="1:13" s="111" customFormat="1" ht="56.25">
      <c r="A325" s="105"/>
      <c r="B325" s="91" t="s">
        <v>277</v>
      </c>
      <c r="C325" s="106" t="s">
        <v>389</v>
      </c>
      <c r="D325" s="107" t="s">
        <v>297</v>
      </c>
      <c r="E325" s="107" t="s">
        <v>89</v>
      </c>
      <c r="F325" s="116" t="s">
        <v>91</v>
      </c>
      <c r="G325" s="109" t="s">
        <v>94</v>
      </c>
      <c r="H325" s="109" t="s">
        <v>95</v>
      </c>
      <c r="I325" s="123" t="s">
        <v>96</v>
      </c>
      <c r="J325" s="108"/>
      <c r="K325" s="550">
        <f>K326</f>
        <v>6985.1</v>
      </c>
      <c r="L325" s="93">
        <f t="shared" si="90"/>
        <v>0</v>
      </c>
      <c r="M325" s="93">
        <f>M326</f>
        <v>6985.1</v>
      </c>
    </row>
    <row r="326" spans="1:13" s="111" customFormat="1" ht="37.5">
      <c r="A326" s="105"/>
      <c r="B326" s="91" t="s">
        <v>278</v>
      </c>
      <c r="C326" s="106" t="s">
        <v>389</v>
      </c>
      <c r="D326" s="107" t="s">
        <v>297</v>
      </c>
      <c r="E326" s="107" t="s">
        <v>89</v>
      </c>
      <c r="F326" s="116" t="s">
        <v>91</v>
      </c>
      <c r="G326" s="109" t="s">
        <v>97</v>
      </c>
      <c r="H326" s="109" t="s">
        <v>95</v>
      </c>
      <c r="I326" s="123" t="s">
        <v>96</v>
      </c>
      <c r="J326" s="108"/>
      <c r="K326" s="550">
        <f>K327</f>
        <v>6985.1</v>
      </c>
      <c r="L326" s="93">
        <f t="shared" si="90"/>
        <v>0</v>
      </c>
      <c r="M326" s="93">
        <f>M327</f>
        <v>6985.1</v>
      </c>
    </row>
    <row r="327" spans="1:13" s="111" customFormat="1" ht="37.5">
      <c r="A327" s="105"/>
      <c r="B327" s="91" t="s">
        <v>345</v>
      </c>
      <c r="C327" s="106" t="s">
        <v>389</v>
      </c>
      <c r="D327" s="107" t="s">
        <v>297</v>
      </c>
      <c r="E327" s="107" t="s">
        <v>89</v>
      </c>
      <c r="F327" s="116" t="s">
        <v>91</v>
      </c>
      <c r="G327" s="109" t="s">
        <v>97</v>
      </c>
      <c r="H327" s="109" t="s">
        <v>89</v>
      </c>
      <c r="I327" s="123" t="s">
        <v>96</v>
      </c>
      <c r="J327" s="108"/>
      <c r="K327" s="550">
        <f>K328</f>
        <v>6985.1</v>
      </c>
      <c r="L327" s="93">
        <f t="shared" si="90"/>
        <v>0</v>
      </c>
      <c r="M327" s="93">
        <f>M328</f>
        <v>6985.1</v>
      </c>
    </row>
    <row r="328" spans="1:13" s="111" customFormat="1" ht="37.5">
      <c r="A328" s="105"/>
      <c r="B328" s="91" t="s">
        <v>280</v>
      </c>
      <c r="C328" s="106" t="s">
        <v>389</v>
      </c>
      <c r="D328" s="107" t="s">
        <v>297</v>
      </c>
      <c r="E328" s="107" t="s">
        <v>89</v>
      </c>
      <c r="F328" s="116" t="s">
        <v>91</v>
      </c>
      <c r="G328" s="109" t="s">
        <v>97</v>
      </c>
      <c r="H328" s="109" t="s">
        <v>89</v>
      </c>
      <c r="I328" s="123" t="s">
        <v>352</v>
      </c>
      <c r="J328" s="108"/>
      <c r="K328" s="550">
        <f>K329</f>
        <v>6985.1</v>
      </c>
      <c r="L328" s="93">
        <f t="shared" si="90"/>
        <v>0</v>
      </c>
      <c r="M328" s="93">
        <f>M329</f>
        <v>6985.1</v>
      </c>
    </row>
    <row r="329" spans="1:13" s="111" customFormat="1" ht="56.25">
      <c r="A329" s="105"/>
      <c r="B329" s="91" t="s">
        <v>275</v>
      </c>
      <c r="C329" s="106" t="s">
        <v>389</v>
      </c>
      <c r="D329" s="107" t="s">
        <v>297</v>
      </c>
      <c r="E329" s="107" t="s">
        <v>89</v>
      </c>
      <c r="F329" s="116" t="s">
        <v>91</v>
      </c>
      <c r="G329" s="109" t="s">
        <v>97</v>
      </c>
      <c r="H329" s="109" t="s">
        <v>89</v>
      </c>
      <c r="I329" s="123" t="s">
        <v>352</v>
      </c>
      <c r="J329" s="108" t="s">
        <v>276</v>
      </c>
      <c r="K329" s="550">
        <f>6985.1</f>
        <v>6985.1</v>
      </c>
      <c r="L329" s="93">
        <f t="shared" si="90"/>
        <v>0</v>
      </c>
      <c r="M329" s="93">
        <f>6985.1</f>
        <v>6985.1</v>
      </c>
    </row>
    <row r="330" spans="1:13" s="111" customFormat="1" ht="18.75">
      <c r="A330" s="105"/>
      <c r="B330" s="91" t="s">
        <v>251</v>
      </c>
      <c r="C330" s="106" t="s">
        <v>389</v>
      </c>
      <c r="D330" s="107" t="s">
        <v>297</v>
      </c>
      <c r="E330" s="107" t="s">
        <v>91</v>
      </c>
      <c r="F330" s="116"/>
      <c r="G330" s="109"/>
      <c r="H330" s="109"/>
      <c r="I330" s="123"/>
      <c r="J330" s="108"/>
      <c r="K330" s="550">
        <f t="shared" ref="K330:M334" si="91">K331</f>
        <v>0</v>
      </c>
      <c r="L330" s="93">
        <f t="shared" si="91"/>
        <v>0</v>
      </c>
      <c r="M330" s="93">
        <f t="shared" si="91"/>
        <v>0</v>
      </c>
    </row>
    <row r="331" spans="1:13" s="111" customFormat="1" ht="56.25">
      <c r="A331" s="105"/>
      <c r="B331" s="91" t="s">
        <v>277</v>
      </c>
      <c r="C331" s="106" t="s">
        <v>389</v>
      </c>
      <c r="D331" s="107" t="s">
        <v>297</v>
      </c>
      <c r="E331" s="107" t="s">
        <v>91</v>
      </c>
      <c r="F331" s="116" t="s">
        <v>91</v>
      </c>
      <c r="G331" s="109" t="s">
        <v>94</v>
      </c>
      <c r="H331" s="109" t="s">
        <v>95</v>
      </c>
      <c r="I331" s="123" t="s">
        <v>96</v>
      </c>
      <c r="J331" s="108"/>
      <c r="K331" s="550">
        <f t="shared" si="91"/>
        <v>0</v>
      </c>
      <c r="L331" s="93">
        <f t="shared" si="91"/>
        <v>0</v>
      </c>
      <c r="M331" s="93">
        <f t="shared" si="91"/>
        <v>0</v>
      </c>
    </row>
    <row r="332" spans="1:13" s="111" customFormat="1" ht="37.5">
      <c r="A332" s="105"/>
      <c r="B332" s="91" t="s">
        <v>278</v>
      </c>
      <c r="C332" s="106" t="s">
        <v>389</v>
      </c>
      <c r="D332" s="107" t="s">
        <v>297</v>
      </c>
      <c r="E332" s="107" t="s">
        <v>91</v>
      </c>
      <c r="F332" s="116" t="s">
        <v>91</v>
      </c>
      <c r="G332" s="109" t="s">
        <v>97</v>
      </c>
      <c r="H332" s="109" t="s">
        <v>95</v>
      </c>
      <c r="I332" s="123" t="s">
        <v>96</v>
      </c>
      <c r="J332" s="108"/>
      <c r="K332" s="550">
        <f t="shared" si="91"/>
        <v>0</v>
      </c>
      <c r="L332" s="93">
        <f t="shared" si="91"/>
        <v>0</v>
      </c>
      <c r="M332" s="93">
        <f t="shared" si="91"/>
        <v>0</v>
      </c>
    </row>
    <row r="333" spans="1:13" s="111" customFormat="1" ht="18.75">
      <c r="A333" s="105"/>
      <c r="B333" s="91" t="s">
        <v>350</v>
      </c>
      <c r="C333" s="106" t="s">
        <v>389</v>
      </c>
      <c r="D333" s="107" t="s">
        <v>297</v>
      </c>
      <c r="E333" s="107" t="s">
        <v>91</v>
      </c>
      <c r="F333" s="116" t="s">
        <v>91</v>
      </c>
      <c r="G333" s="109" t="s">
        <v>97</v>
      </c>
      <c r="H333" s="109" t="s">
        <v>91</v>
      </c>
      <c r="I333" s="123" t="s">
        <v>96</v>
      </c>
      <c r="J333" s="108"/>
      <c r="K333" s="550">
        <f t="shared" si="91"/>
        <v>0</v>
      </c>
      <c r="L333" s="93">
        <f t="shared" si="91"/>
        <v>0</v>
      </c>
      <c r="M333" s="93">
        <f t="shared" si="91"/>
        <v>0</v>
      </c>
    </row>
    <row r="334" spans="1:13" s="111" customFormat="1" ht="37.5">
      <c r="A334" s="105"/>
      <c r="B334" s="91" t="s">
        <v>280</v>
      </c>
      <c r="C334" s="106" t="s">
        <v>389</v>
      </c>
      <c r="D334" s="107" t="s">
        <v>297</v>
      </c>
      <c r="E334" s="107" t="s">
        <v>91</v>
      </c>
      <c r="F334" s="116" t="s">
        <v>91</v>
      </c>
      <c r="G334" s="109" t="s">
        <v>97</v>
      </c>
      <c r="H334" s="109" t="s">
        <v>91</v>
      </c>
      <c r="I334" s="123" t="s">
        <v>352</v>
      </c>
      <c r="J334" s="108"/>
      <c r="K334" s="550">
        <f t="shared" si="91"/>
        <v>0</v>
      </c>
      <c r="L334" s="93">
        <f t="shared" si="91"/>
        <v>0</v>
      </c>
      <c r="M334" s="93">
        <f t="shared" si="91"/>
        <v>0</v>
      </c>
    </row>
    <row r="335" spans="1:13" s="111" customFormat="1" ht="56.25">
      <c r="A335" s="105"/>
      <c r="B335" s="91" t="s">
        <v>275</v>
      </c>
      <c r="C335" s="106" t="s">
        <v>389</v>
      </c>
      <c r="D335" s="107" t="s">
        <v>297</v>
      </c>
      <c r="E335" s="107" t="s">
        <v>91</v>
      </c>
      <c r="F335" s="116" t="s">
        <v>91</v>
      </c>
      <c r="G335" s="109" t="s">
        <v>97</v>
      </c>
      <c r="H335" s="109" t="s">
        <v>91</v>
      </c>
      <c r="I335" s="123" t="s">
        <v>352</v>
      </c>
      <c r="J335" s="108" t="s">
        <v>276</v>
      </c>
      <c r="K335" s="551">
        <f>1500-1500</f>
        <v>0</v>
      </c>
      <c r="L335" s="93">
        <f>M335-K335</f>
        <v>0</v>
      </c>
      <c r="M335" s="405">
        <f>1500-1500</f>
        <v>0</v>
      </c>
    </row>
    <row r="336" spans="1:13" s="111" customFormat="1" ht="18.75">
      <c r="A336" s="105"/>
      <c r="B336" s="101" t="s">
        <v>262</v>
      </c>
      <c r="C336" s="106" t="s">
        <v>389</v>
      </c>
      <c r="D336" s="107" t="s">
        <v>138</v>
      </c>
      <c r="E336" s="107"/>
      <c r="F336" s="116"/>
      <c r="G336" s="109"/>
      <c r="H336" s="109"/>
      <c r="I336" s="123"/>
      <c r="J336" s="108"/>
      <c r="K336" s="551">
        <f>K337</f>
        <v>8508.1</v>
      </c>
      <c r="L336" s="405">
        <f>L337</f>
        <v>0</v>
      </c>
      <c r="M336" s="405">
        <f>M337</f>
        <v>8508.1</v>
      </c>
    </row>
    <row r="337" spans="1:13" s="111" customFormat="1" ht="18.75">
      <c r="A337" s="105"/>
      <c r="B337" s="438" t="s">
        <v>264</v>
      </c>
      <c r="C337" s="106" t="s">
        <v>389</v>
      </c>
      <c r="D337" s="107" t="s">
        <v>138</v>
      </c>
      <c r="E337" s="107" t="s">
        <v>91</v>
      </c>
      <c r="F337" s="117"/>
      <c r="G337" s="109"/>
      <c r="H337" s="109"/>
      <c r="I337" s="110"/>
      <c r="J337" s="108"/>
      <c r="K337" s="551">
        <f t="shared" ref="K337:M337" si="92">K338</f>
        <v>8508.1</v>
      </c>
      <c r="L337" s="405">
        <f t="shared" si="92"/>
        <v>0</v>
      </c>
      <c r="M337" s="405">
        <f t="shared" si="92"/>
        <v>8508.1</v>
      </c>
    </row>
    <row r="338" spans="1:13" s="111" customFormat="1" ht="56.25">
      <c r="A338" s="105"/>
      <c r="B338" s="101" t="s">
        <v>298</v>
      </c>
      <c r="C338" s="106" t="s">
        <v>389</v>
      </c>
      <c r="D338" s="107" t="s">
        <v>138</v>
      </c>
      <c r="E338" s="107" t="s">
        <v>91</v>
      </c>
      <c r="F338" s="116" t="s">
        <v>299</v>
      </c>
      <c r="G338" s="109" t="s">
        <v>94</v>
      </c>
      <c r="H338" s="109" t="s">
        <v>95</v>
      </c>
      <c r="I338" s="110" t="s">
        <v>96</v>
      </c>
      <c r="J338" s="108"/>
      <c r="K338" s="551">
        <f>K339</f>
        <v>8508.1</v>
      </c>
      <c r="L338" s="405">
        <f>L339</f>
        <v>0</v>
      </c>
      <c r="M338" s="405">
        <f>M339</f>
        <v>8508.1</v>
      </c>
    </row>
    <row r="339" spans="1:13" s="111" customFormat="1" ht="37.5">
      <c r="A339" s="105"/>
      <c r="B339" s="444" t="s">
        <v>455</v>
      </c>
      <c r="C339" s="106" t="s">
        <v>389</v>
      </c>
      <c r="D339" s="107" t="s">
        <v>138</v>
      </c>
      <c r="E339" s="107" t="s">
        <v>91</v>
      </c>
      <c r="F339" s="116" t="s">
        <v>299</v>
      </c>
      <c r="G339" s="109" t="s">
        <v>82</v>
      </c>
      <c r="H339" s="109" t="s">
        <v>95</v>
      </c>
      <c r="I339" s="110" t="s">
        <v>96</v>
      </c>
      <c r="J339" s="108"/>
      <c r="K339" s="551">
        <f t="shared" ref="K339:M339" si="93">K340</f>
        <v>8508.1</v>
      </c>
      <c r="L339" s="405">
        <f t="shared" si="93"/>
        <v>0</v>
      </c>
      <c r="M339" s="405">
        <f t="shared" si="93"/>
        <v>8508.1</v>
      </c>
    </row>
    <row r="340" spans="1:13" s="111" customFormat="1" ht="75">
      <c r="A340" s="105"/>
      <c r="B340" s="101" t="s">
        <v>694</v>
      </c>
      <c r="C340" s="106" t="s">
        <v>389</v>
      </c>
      <c r="D340" s="107" t="s">
        <v>138</v>
      </c>
      <c r="E340" s="107" t="s">
        <v>91</v>
      </c>
      <c r="F340" s="116" t="s">
        <v>299</v>
      </c>
      <c r="G340" s="109" t="s">
        <v>82</v>
      </c>
      <c r="H340" s="109" t="s">
        <v>120</v>
      </c>
      <c r="I340" s="110" t="s">
        <v>96</v>
      </c>
      <c r="J340" s="108"/>
      <c r="K340" s="551">
        <f>K341</f>
        <v>8508.1</v>
      </c>
      <c r="L340" s="405">
        <f>L341</f>
        <v>0</v>
      </c>
      <c r="M340" s="405">
        <f>M341</f>
        <v>8508.1</v>
      </c>
    </row>
    <row r="341" spans="1:13" s="119" customFormat="1" ht="187.5">
      <c r="A341" s="418"/>
      <c r="B341" s="445" t="s">
        <v>501</v>
      </c>
      <c r="C341" s="446" t="s">
        <v>389</v>
      </c>
      <c r="D341" s="447" t="s">
        <v>138</v>
      </c>
      <c r="E341" s="447" t="s">
        <v>91</v>
      </c>
      <c r="F341" s="116" t="s">
        <v>299</v>
      </c>
      <c r="G341" s="109" t="s">
        <v>82</v>
      </c>
      <c r="H341" s="109" t="s">
        <v>120</v>
      </c>
      <c r="I341" s="448" t="s">
        <v>502</v>
      </c>
      <c r="J341" s="425"/>
      <c r="K341" s="553">
        <f t="shared" ref="K341:M341" si="94">K342</f>
        <v>8508.1</v>
      </c>
      <c r="L341" s="426">
        <f t="shared" si="94"/>
        <v>0</v>
      </c>
      <c r="M341" s="426">
        <f t="shared" si="94"/>
        <v>8508.1</v>
      </c>
    </row>
    <row r="342" spans="1:13" s="119" customFormat="1" ht="56.25">
      <c r="A342" s="120"/>
      <c r="B342" s="449" t="s">
        <v>275</v>
      </c>
      <c r="C342" s="450" t="s">
        <v>389</v>
      </c>
      <c r="D342" s="451" t="s">
        <v>138</v>
      </c>
      <c r="E342" s="451" t="s">
        <v>91</v>
      </c>
      <c r="F342" s="116" t="s">
        <v>299</v>
      </c>
      <c r="G342" s="109" t="s">
        <v>82</v>
      </c>
      <c r="H342" s="109" t="s">
        <v>120</v>
      </c>
      <c r="I342" s="424" t="s">
        <v>502</v>
      </c>
      <c r="J342" s="429" t="s">
        <v>276</v>
      </c>
      <c r="K342" s="554">
        <v>8508.1</v>
      </c>
      <c r="L342" s="93">
        <f>M342-K342</f>
        <v>0</v>
      </c>
      <c r="M342" s="430">
        <v>8508.1</v>
      </c>
    </row>
    <row r="343" spans="1:13" s="119" customFormat="1" ht="18.75">
      <c r="A343" s="120"/>
      <c r="B343" s="98" t="s">
        <v>181</v>
      </c>
      <c r="C343" s="106" t="s">
        <v>389</v>
      </c>
      <c r="D343" s="107" t="s">
        <v>166</v>
      </c>
      <c r="E343" s="107"/>
      <c r="F343" s="116"/>
      <c r="G343" s="121"/>
      <c r="H343" s="121"/>
      <c r="I343" s="439"/>
      <c r="J343" s="440"/>
      <c r="K343" s="556">
        <f t="shared" ref="K343:M346" si="95">K344</f>
        <v>42373.700000000004</v>
      </c>
      <c r="L343" s="441">
        <f t="shared" si="95"/>
        <v>0</v>
      </c>
      <c r="M343" s="441">
        <f t="shared" si="95"/>
        <v>42373.700000000004</v>
      </c>
    </row>
    <row r="344" spans="1:13" s="119" customFormat="1" ht="18.75">
      <c r="A344" s="120"/>
      <c r="B344" s="98" t="s">
        <v>265</v>
      </c>
      <c r="C344" s="106" t="s">
        <v>389</v>
      </c>
      <c r="D344" s="107" t="s">
        <v>166</v>
      </c>
      <c r="E344" s="107" t="s">
        <v>104</v>
      </c>
      <c r="F344" s="116"/>
      <c r="G344" s="121"/>
      <c r="H344" s="121"/>
      <c r="I344" s="439"/>
      <c r="J344" s="440"/>
      <c r="K344" s="556">
        <f t="shared" si="95"/>
        <v>42373.700000000004</v>
      </c>
      <c r="L344" s="441">
        <f t="shared" si="95"/>
        <v>0</v>
      </c>
      <c r="M344" s="441">
        <f t="shared" si="95"/>
        <v>42373.700000000004</v>
      </c>
    </row>
    <row r="345" spans="1:13" s="119" customFormat="1" ht="56.25">
      <c r="A345" s="120"/>
      <c r="B345" s="101" t="s">
        <v>379</v>
      </c>
      <c r="C345" s="106" t="s">
        <v>389</v>
      </c>
      <c r="D345" s="107" t="s">
        <v>166</v>
      </c>
      <c r="E345" s="107" t="s">
        <v>104</v>
      </c>
      <c r="F345" s="705" t="s">
        <v>138</v>
      </c>
      <c r="G345" s="706" t="s">
        <v>94</v>
      </c>
      <c r="H345" s="706" t="s">
        <v>95</v>
      </c>
      <c r="I345" s="707" t="s">
        <v>96</v>
      </c>
      <c r="J345" s="440"/>
      <c r="K345" s="556">
        <f t="shared" si="95"/>
        <v>42373.700000000004</v>
      </c>
      <c r="L345" s="441">
        <f t="shared" si="95"/>
        <v>0</v>
      </c>
      <c r="M345" s="441">
        <f t="shared" si="95"/>
        <v>42373.700000000004</v>
      </c>
    </row>
    <row r="346" spans="1:13" s="119" customFormat="1" ht="37.5">
      <c r="A346" s="120"/>
      <c r="B346" s="91" t="s">
        <v>455</v>
      </c>
      <c r="C346" s="106" t="s">
        <v>389</v>
      </c>
      <c r="D346" s="107" t="s">
        <v>166</v>
      </c>
      <c r="E346" s="107" t="s">
        <v>104</v>
      </c>
      <c r="F346" s="116" t="s">
        <v>138</v>
      </c>
      <c r="G346" s="121" t="s">
        <v>97</v>
      </c>
      <c r="H346" s="706" t="s">
        <v>95</v>
      </c>
      <c r="I346" s="707" t="s">
        <v>96</v>
      </c>
      <c r="J346" s="440"/>
      <c r="K346" s="556">
        <f t="shared" si="95"/>
        <v>42373.700000000004</v>
      </c>
      <c r="L346" s="441">
        <f t="shared" si="95"/>
        <v>0</v>
      </c>
      <c r="M346" s="441">
        <f t="shared" si="95"/>
        <v>42373.700000000004</v>
      </c>
    </row>
    <row r="347" spans="1:13" s="119" customFormat="1" ht="73.900000000000006" customHeight="1">
      <c r="A347" s="120"/>
      <c r="B347" s="101" t="s">
        <v>393</v>
      </c>
      <c r="C347" s="106" t="s">
        <v>389</v>
      </c>
      <c r="D347" s="107" t="s">
        <v>166</v>
      </c>
      <c r="E347" s="107" t="s">
        <v>104</v>
      </c>
      <c r="F347" s="116" t="s">
        <v>138</v>
      </c>
      <c r="G347" s="121" t="s">
        <v>97</v>
      </c>
      <c r="H347" s="121" t="s">
        <v>91</v>
      </c>
      <c r="I347" s="707" t="s">
        <v>96</v>
      </c>
      <c r="J347" s="452"/>
      <c r="K347" s="556">
        <f>K350+K348</f>
        <v>42373.700000000004</v>
      </c>
      <c r="L347" s="441">
        <f>L350+L348</f>
        <v>0</v>
      </c>
      <c r="M347" s="441">
        <f>M350+M348</f>
        <v>42373.700000000004</v>
      </c>
    </row>
    <row r="348" spans="1:13" s="119" customFormat="1" ht="87.6" customHeight="1">
      <c r="A348" s="120"/>
      <c r="B348" s="101" t="s">
        <v>394</v>
      </c>
      <c r="C348" s="106" t="s">
        <v>389</v>
      </c>
      <c r="D348" s="107" t="s">
        <v>166</v>
      </c>
      <c r="E348" s="107" t="s">
        <v>104</v>
      </c>
      <c r="F348" s="116" t="s">
        <v>138</v>
      </c>
      <c r="G348" s="121" t="s">
        <v>97</v>
      </c>
      <c r="H348" s="121" t="s">
        <v>91</v>
      </c>
      <c r="I348" s="123" t="s">
        <v>706</v>
      </c>
      <c r="J348" s="124"/>
      <c r="K348" s="550">
        <f>K349</f>
        <v>34180.200000000004</v>
      </c>
      <c r="L348" s="93">
        <f>L349</f>
        <v>0</v>
      </c>
      <c r="M348" s="93">
        <f>M349</f>
        <v>34180.200000000004</v>
      </c>
    </row>
    <row r="349" spans="1:13" s="119" customFormat="1" ht="59.45" customHeight="1">
      <c r="A349" s="120"/>
      <c r="B349" s="101" t="s">
        <v>275</v>
      </c>
      <c r="C349" s="106" t="s">
        <v>389</v>
      </c>
      <c r="D349" s="107" t="s">
        <v>166</v>
      </c>
      <c r="E349" s="107" t="s">
        <v>104</v>
      </c>
      <c r="F349" s="116" t="s">
        <v>138</v>
      </c>
      <c r="G349" s="121" t="s">
        <v>97</v>
      </c>
      <c r="H349" s="121" t="s">
        <v>91</v>
      </c>
      <c r="I349" s="123" t="s">
        <v>706</v>
      </c>
      <c r="J349" s="124" t="s">
        <v>276</v>
      </c>
      <c r="K349" s="556">
        <f>34956.9-776.7</f>
        <v>34180.200000000004</v>
      </c>
      <c r="L349" s="93">
        <f>M349-K349</f>
        <v>0</v>
      </c>
      <c r="M349" s="441">
        <f>34956.9-776.7</f>
        <v>34180.200000000004</v>
      </c>
    </row>
    <row r="350" spans="1:13" s="119" customFormat="1" ht="112.5">
      <c r="A350" s="120"/>
      <c r="B350" s="101" t="s">
        <v>394</v>
      </c>
      <c r="C350" s="106" t="s">
        <v>389</v>
      </c>
      <c r="D350" s="107" t="s">
        <v>166</v>
      </c>
      <c r="E350" s="107" t="s">
        <v>104</v>
      </c>
      <c r="F350" s="116" t="s">
        <v>138</v>
      </c>
      <c r="G350" s="121" t="s">
        <v>97</v>
      </c>
      <c r="H350" s="121" t="s">
        <v>91</v>
      </c>
      <c r="I350" s="123" t="s">
        <v>395</v>
      </c>
      <c r="J350" s="124"/>
      <c r="K350" s="550">
        <f>K351</f>
        <v>8193.5</v>
      </c>
      <c r="L350" s="93">
        <f>L351</f>
        <v>0</v>
      </c>
      <c r="M350" s="93">
        <f>M351</f>
        <v>8193.5</v>
      </c>
    </row>
    <row r="351" spans="1:13" s="119" customFormat="1" ht="56.25">
      <c r="A351" s="120"/>
      <c r="B351" s="101" t="s">
        <v>275</v>
      </c>
      <c r="C351" s="106" t="s">
        <v>389</v>
      </c>
      <c r="D351" s="107" t="s">
        <v>166</v>
      </c>
      <c r="E351" s="107" t="s">
        <v>104</v>
      </c>
      <c r="F351" s="116" t="s">
        <v>138</v>
      </c>
      <c r="G351" s="121" t="s">
        <v>97</v>
      </c>
      <c r="H351" s="121" t="s">
        <v>91</v>
      </c>
      <c r="I351" s="123" t="s">
        <v>395</v>
      </c>
      <c r="J351" s="124" t="s">
        <v>276</v>
      </c>
      <c r="K351" s="556">
        <f>7759.1+434.4</f>
        <v>8193.5</v>
      </c>
      <c r="L351" s="93">
        <f>M351-K351</f>
        <v>0</v>
      </c>
      <c r="M351" s="441">
        <f>7759.1+434.4</f>
        <v>8193.5</v>
      </c>
    </row>
    <row r="352" spans="1:13" s="119" customFormat="1" ht="18.75">
      <c r="A352" s="120"/>
      <c r="B352" s="99" t="s">
        <v>428</v>
      </c>
      <c r="C352" s="106" t="s">
        <v>389</v>
      </c>
      <c r="D352" s="107" t="s">
        <v>122</v>
      </c>
      <c r="E352" s="107"/>
      <c r="F352" s="116"/>
      <c r="G352" s="121"/>
      <c r="H352" s="121"/>
      <c r="I352" s="123"/>
      <c r="J352" s="124"/>
      <c r="K352" s="557">
        <f t="shared" ref="K352:M357" si="96">K353</f>
        <v>25646.699999999997</v>
      </c>
      <c r="L352" s="93">
        <f t="shared" ref="L352:L353" si="97">M352-K352</f>
        <v>7260.1000000000058</v>
      </c>
      <c r="M352" s="453">
        <f t="shared" si="96"/>
        <v>32906.800000000003</v>
      </c>
    </row>
    <row r="353" spans="1:13" s="119" customFormat="1" ht="18.75">
      <c r="A353" s="120"/>
      <c r="B353" s="99" t="s">
        <v>500</v>
      </c>
      <c r="C353" s="106" t="s">
        <v>389</v>
      </c>
      <c r="D353" s="107" t="s">
        <v>122</v>
      </c>
      <c r="E353" s="107" t="s">
        <v>89</v>
      </c>
      <c r="F353" s="116"/>
      <c r="G353" s="121"/>
      <c r="H353" s="121"/>
      <c r="I353" s="123"/>
      <c r="J353" s="124"/>
      <c r="K353" s="557">
        <f t="shared" si="96"/>
        <v>25646.699999999997</v>
      </c>
      <c r="L353" s="93">
        <f t="shared" si="97"/>
        <v>7260.1000000000058</v>
      </c>
      <c r="M353" s="453">
        <f t="shared" si="96"/>
        <v>32906.800000000003</v>
      </c>
    </row>
    <row r="354" spans="1:13" s="119" customFormat="1" ht="56.25">
      <c r="A354" s="120"/>
      <c r="B354" s="101" t="s">
        <v>290</v>
      </c>
      <c r="C354" s="106" t="s">
        <v>389</v>
      </c>
      <c r="D354" s="107" t="s">
        <v>122</v>
      </c>
      <c r="E354" s="107" t="s">
        <v>89</v>
      </c>
      <c r="F354" s="116" t="s">
        <v>104</v>
      </c>
      <c r="G354" s="121" t="s">
        <v>94</v>
      </c>
      <c r="H354" s="121" t="s">
        <v>95</v>
      </c>
      <c r="I354" s="123" t="s">
        <v>96</v>
      </c>
      <c r="J354" s="124"/>
      <c r="K354" s="557">
        <f t="shared" si="96"/>
        <v>25646.699999999997</v>
      </c>
      <c r="L354" s="93">
        <f t="shared" ref="L354:L360" si="98">M354-K354</f>
        <v>7260.1000000000058</v>
      </c>
      <c r="M354" s="453">
        <f t="shared" si="96"/>
        <v>32906.800000000003</v>
      </c>
    </row>
    <row r="355" spans="1:13" s="119" customFormat="1" ht="37.5">
      <c r="A355" s="120"/>
      <c r="B355" s="101" t="s">
        <v>455</v>
      </c>
      <c r="C355" s="106" t="s">
        <v>389</v>
      </c>
      <c r="D355" s="107" t="s">
        <v>122</v>
      </c>
      <c r="E355" s="107" t="s">
        <v>89</v>
      </c>
      <c r="F355" s="116" t="s">
        <v>104</v>
      </c>
      <c r="G355" s="121" t="s">
        <v>83</v>
      </c>
      <c r="H355" s="121" t="s">
        <v>95</v>
      </c>
      <c r="I355" s="123" t="s">
        <v>96</v>
      </c>
      <c r="J355" s="124"/>
      <c r="K355" s="557">
        <f t="shared" si="96"/>
        <v>25646.699999999997</v>
      </c>
      <c r="L355" s="453">
        <f t="shared" ref="L355" si="99">L356</f>
        <v>7260.1</v>
      </c>
      <c r="M355" s="453">
        <f t="shared" si="96"/>
        <v>32906.800000000003</v>
      </c>
    </row>
    <row r="356" spans="1:13" s="119" customFormat="1" ht="75">
      <c r="A356" s="120"/>
      <c r="B356" s="101" t="s">
        <v>720</v>
      </c>
      <c r="C356" s="106" t="s">
        <v>389</v>
      </c>
      <c r="D356" s="107" t="s">
        <v>122</v>
      </c>
      <c r="E356" s="107" t="s">
        <v>89</v>
      </c>
      <c r="F356" s="116" t="s">
        <v>104</v>
      </c>
      <c r="G356" s="121" t="s">
        <v>83</v>
      </c>
      <c r="H356" s="121" t="s">
        <v>118</v>
      </c>
      <c r="I356" s="123" t="s">
        <v>96</v>
      </c>
      <c r="J356" s="124"/>
      <c r="K356" s="557">
        <f t="shared" ref="K356" si="100">K357+K359</f>
        <v>25646.699999999997</v>
      </c>
      <c r="L356" s="453">
        <f t="shared" ref="L356:M356" si="101">L357+L359</f>
        <v>7260.1</v>
      </c>
      <c r="M356" s="453">
        <f t="shared" si="101"/>
        <v>32906.800000000003</v>
      </c>
    </row>
    <row r="357" spans="1:13" s="119" customFormat="1" ht="56.25">
      <c r="A357" s="120"/>
      <c r="B357" s="101" t="s">
        <v>292</v>
      </c>
      <c r="C357" s="106" t="s">
        <v>389</v>
      </c>
      <c r="D357" s="107" t="s">
        <v>122</v>
      </c>
      <c r="E357" s="107" t="s">
        <v>89</v>
      </c>
      <c r="F357" s="116" t="s">
        <v>104</v>
      </c>
      <c r="G357" s="121" t="s">
        <v>83</v>
      </c>
      <c r="H357" s="121" t="s">
        <v>118</v>
      </c>
      <c r="I357" s="123" t="s">
        <v>372</v>
      </c>
      <c r="J357" s="124"/>
      <c r="K357" s="557">
        <f t="shared" si="96"/>
        <v>555.10000000000014</v>
      </c>
      <c r="L357" s="93">
        <f t="shared" si="98"/>
        <v>7260.1</v>
      </c>
      <c r="M357" s="453">
        <f t="shared" si="96"/>
        <v>7815.2000000000007</v>
      </c>
    </row>
    <row r="358" spans="1:13" s="119" customFormat="1" ht="56.25">
      <c r="A358" s="120"/>
      <c r="B358" s="91" t="s">
        <v>275</v>
      </c>
      <c r="C358" s="106" t="s">
        <v>389</v>
      </c>
      <c r="D358" s="107" t="s">
        <v>122</v>
      </c>
      <c r="E358" s="107" t="s">
        <v>89</v>
      </c>
      <c r="F358" s="116" t="s">
        <v>104</v>
      </c>
      <c r="G358" s="121" t="s">
        <v>83</v>
      </c>
      <c r="H358" s="121" t="s">
        <v>118</v>
      </c>
      <c r="I358" s="123" t="s">
        <v>372</v>
      </c>
      <c r="J358" s="124" t="s">
        <v>276</v>
      </c>
      <c r="K358" s="557">
        <f>1809.7-1254.6</f>
        <v>555.10000000000014</v>
      </c>
      <c r="L358" s="93">
        <f t="shared" si="98"/>
        <v>7260.1</v>
      </c>
      <c r="M358" s="453">
        <f>1809.7-1254.6+7260.1</f>
        <v>7815.2000000000007</v>
      </c>
    </row>
    <row r="359" spans="1:13" s="119" customFormat="1" ht="37.5">
      <c r="A359" s="120"/>
      <c r="B359" s="91" t="s">
        <v>735</v>
      </c>
      <c r="C359" s="106" t="s">
        <v>389</v>
      </c>
      <c r="D359" s="107" t="s">
        <v>122</v>
      </c>
      <c r="E359" s="107" t="s">
        <v>89</v>
      </c>
      <c r="F359" s="116" t="s">
        <v>104</v>
      </c>
      <c r="G359" s="121" t="s">
        <v>83</v>
      </c>
      <c r="H359" s="121" t="s">
        <v>118</v>
      </c>
      <c r="I359" s="123" t="s">
        <v>729</v>
      </c>
      <c r="J359" s="124"/>
      <c r="K359" s="557">
        <f>K360</f>
        <v>25091.599999999999</v>
      </c>
      <c r="L359" s="93">
        <f>L360</f>
        <v>0</v>
      </c>
      <c r="M359" s="453">
        <f>M360</f>
        <v>25091.599999999999</v>
      </c>
    </row>
    <row r="360" spans="1:13" s="119" customFormat="1" ht="56.25">
      <c r="A360" s="120"/>
      <c r="B360" s="91" t="s">
        <v>275</v>
      </c>
      <c r="C360" s="106" t="s">
        <v>389</v>
      </c>
      <c r="D360" s="107" t="s">
        <v>122</v>
      </c>
      <c r="E360" s="107" t="s">
        <v>89</v>
      </c>
      <c r="F360" s="116" t="s">
        <v>104</v>
      </c>
      <c r="G360" s="121" t="s">
        <v>83</v>
      </c>
      <c r="H360" s="121" t="s">
        <v>118</v>
      </c>
      <c r="I360" s="123" t="s">
        <v>729</v>
      </c>
      <c r="J360" s="124" t="s">
        <v>276</v>
      </c>
      <c r="K360" s="557">
        <f>23837+1254.6</f>
        <v>25091.599999999999</v>
      </c>
      <c r="L360" s="93">
        <f t="shared" si="98"/>
        <v>0</v>
      </c>
      <c r="M360" s="453">
        <f>23837+1254.6</f>
        <v>25091.599999999999</v>
      </c>
    </row>
    <row r="361" spans="1:13" s="119" customFormat="1" ht="18.75">
      <c r="A361" s="120"/>
      <c r="B361" s="91"/>
      <c r="C361" s="106"/>
      <c r="D361" s="107"/>
      <c r="E361" s="107"/>
      <c r="F361" s="116"/>
      <c r="G361" s="121"/>
      <c r="H361" s="121"/>
      <c r="I361" s="123"/>
      <c r="J361" s="124"/>
      <c r="K361" s="558"/>
      <c r="L361" s="157"/>
      <c r="M361" s="157"/>
    </row>
    <row r="362" spans="1:13" s="90" customFormat="1" ht="56.25">
      <c r="A362" s="83">
        <v>5</v>
      </c>
      <c r="B362" s="84" t="s">
        <v>53</v>
      </c>
      <c r="C362" s="85" t="s">
        <v>344</v>
      </c>
      <c r="D362" s="86"/>
      <c r="E362" s="86"/>
      <c r="F362" s="87"/>
      <c r="G362" s="88"/>
      <c r="H362" s="88"/>
      <c r="I362" s="89"/>
      <c r="J362" s="86"/>
      <c r="K362" s="549">
        <f>K363+K498</f>
        <v>935026.75176999986</v>
      </c>
      <c r="L362" s="156">
        <f>L363+L498</f>
        <v>-1122.3999999999996</v>
      </c>
      <c r="M362" s="156">
        <f>M363+M498</f>
        <v>933904.35176999995</v>
      </c>
    </row>
    <row r="363" spans="1:13" s="94" customFormat="1" ht="18.75">
      <c r="A363" s="82"/>
      <c r="B363" s="91" t="s">
        <v>247</v>
      </c>
      <c r="C363" s="92" t="s">
        <v>344</v>
      </c>
      <c r="D363" s="81" t="s">
        <v>297</v>
      </c>
      <c r="E363" s="81"/>
      <c r="F363" s="705"/>
      <c r="G363" s="706"/>
      <c r="H363" s="706"/>
      <c r="I363" s="707"/>
      <c r="J363" s="81"/>
      <c r="K363" s="550">
        <f>K364+K389+K469+K478+K439</f>
        <v>925957.5517699999</v>
      </c>
      <c r="L363" s="93">
        <f>L364+L389+L469+L478+L439</f>
        <v>-1122.3999999999996</v>
      </c>
      <c r="M363" s="93">
        <f>M364+M389+M469+M478+M439</f>
        <v>924835.15177</v>
      </c>
    </row>
    <row r="364" spans="1:13" s="90" customFormat="1" ht="18.75">
      <c r="A364" s="82"/>
      <c r="B364" s="91" t="s">
        <v>249</v>
      </c>
      <c r="C364" s="92" t="s">
        <v>344</v>
      </c>
      <c r="D364" s="81" t="s">
        <v>297</v>
      </c>
      <c r="E364" s="81" t="s">
        <v>89</v>
      </c>
      <c r="F364" s="705"/>
      <c r="G364" s="706"/>
      <c r="H364" s="706"/>
      <c r="I364" s="707"/>
      <c r="J364" s="81"/>
      <c r="K364" s="550">
        <f>K365+K384</f>
        <v>304056.17599999998</v>
      </c>
      <c r="L364" s="93">
        <f>L365+L384</f>
        <v>0</v>
      </c>
      <c r="M364" s="93">
        <f>M365+M384</f>
        <v>304056.17599999998</v>
      </c>
    </row>
    <row r="365" spans="1:13" s="90" customFormat="1" ht="56.25">
      <c r="A365" s="82"/>
      <c r="B365" s="91" t="s">
        <v>277</v>
      </c>
      <c r="C365" s="92" t="s">
        <v>344</v>
      </c>
      <c r="D365" s="81" t="s">
        <v>297</v>
      </c>
      <c r="E365" s="81" t="s">
        <v>89</v>
      </c>
      <c r="F365" s="705" t="s">
        <v>91</v>
      </c>
      <c r="G365" s="706" t="s">
        <v>94</v>
      </c>
      <c r="H365" s="706" t="s">
        <v>95</v>
      </c>
      <c r="I365" s="707" t="s">
        <v>96</v>
      </c>
      <c r="J365" s="81"/>
      <c r="K365" s="550">
        <f t="shared" ref="K365:M366" si="102">K366</f>
        <v>303965.576</v>
      </c>
      <c r="L365" s="93">
        <f t="shared" si="102"/>
        <v>0</v>
      </c>
      <c r="M365" s="93">
        <f t="shared" si="102"/>
        <v>303965.576</v>
      </c>
    </row>
    <row r="366" spans="1:13" s="90" customFormat="1" ht="37.5">
      <c r="A366" s="82"/>
      <c r="B366" s="91" t="s">
        <v>278</v>
      </c>
      <c r="C366" s="92" t="s">
        <v>344</v>
      </c>
      <c r="D366" s="81" t="s">
        <v>297</v>
      </c>
      <c r="E366" s="81" t="s">
        <v>89</v>
      </c>
      <c r="F366" s="705" t="s">
        <v>91</v>
      </c>
      <c r="G366" s="706" t="s">
        <v>97</v>
      </c>
      <c r="H366" s="706" t="s">
        <v>95</v>
      </c>
      <c r="I366" s="707" t="s">
        <v>96</v>
      </c>
      <c r="J366" s="81"/>
      <c r="K366" s="550">
        <f t="shared" si="102"/>
        <v>303965.576</v>
      </c>
      <c r="L366" s="93">
        <f t="shared" si="102"/>
        <v>0</v>
      </c>
      <c r="M366" s="93">
        <f t="shared" si="102"/>
        <v>303965.576</v>
      </c>
    </row>
    <row r="367" spans="1:13" s="90" customFormat="1" ht="37.5">
      <c r="A367" s="82"/>
      <c r="B367" s="91" t="s">
        <v>345</v>
      </c>
      <c r="C367" s="92" t="s">
        <v>344</v>
      </c>
      <c r="D367" s="81" t="s">
        <v>297</v>
      </c>
      <c r="E367" s="81" t="s">
        <v>89</v>
      </c>
      <c r="F367" s="705" t="s">
        <v>91</v>
      </c>
      <c r="G367" s="706" t="s">
        <v>97</v>
      </c>
      <c r="H367" s="706" t="s">
        <v>89</v>
      </c>
      <c r="I367" s="707" t="s">
        <v>96</v>
      </c>
      <c r="J367" s="81"/>
      <c r="K367" s="550">
        <f>K376+K378+K368+K372+K374+K370+K382+K380</f>
        <v>303965.576</v>
      </c>
      <c r="L367" s="93">
        <f>L376+L378+L368+L372+L374+L370+L382+L380</f>
        <v>0</v>
      </c>
      <c r="M367" s="93">
        <f>M376+M378+M368+M372+M374+M370+M382+M380</f>
        <v>303965.576</v>
      </c>
    </row>
    <row r="368" spans="1:13" s="95" customFormat="1" ht="76.900000000000006" customHeight="1">
      <c r="A368" s="82"/>
      <c r="B368" s="91" t="s">
        <v>150</v>
      </c>
      <c r="C368" s="92" t="s">
        <v>344</v>
      </c>
      <c r="D368" s="81" t="s">
        <v>297</v>
      </c>
      <c r="E368" s="81" t="s">
        <v>89</v>
      </c>
      <c r="F368" s="705" t="s">
        <v>91</v>
      </c>
      <c r="G368" s="706" t="s">
        <v>97</v>
      </c>
      <c r="H368" s="706" t="s">
        <v>89</v>
      </c>
      <c r="I368" s="707" t="s">
        <v>152</v>
      </c>
      <c r="J368" s="81"/>
      <c r="K368" s="550">
        <f t="shared" ref="K368:M368" si="103">K369</f>
        <v>88346.3</v>
      </c>
      <c r="L368" s="93">
        <f>L369</f>
        <v>0</v>
      </c>
      <c r="M368" s="93">
        <f t="shared" si="103"/>
        <v>88346.3</v>
      </c>
    </row>
    <row r="369" spans="1:13" s="95" customFormat="1" ht="56.25">
      <c r="A369" s="82"/>
      <c r="B369" s="91" t="s">
        <v>134</v>
      </c>
      <c r="C369" s="92" t="s">
        <v>344</v>
      </c>
      <c r="D369" s="81" t="s">
        <v>297</v>
      </c>
      <c r="E369" s="81" t="s">
        <v>89</v>
      </c>
      <c r="F369" s="705" t="s">
        <v>91</v>
      </c>
      <c r="G369" s="706" t="s">
        <v>97</v>
      </c>
      <c r="H369" s="706" t="s">
        <v>89</v>
      </c>
      <c r="I369" s="707" t="s">
        <v>152</v>
      </c>
      <c r="J369" s="81" t="s">
        <v>135</v>
      </c>
      <c r="K369" s="550">
        <f>87261.6+1000-95+179.7</f>
        <v>88346.3</v>
      </c>
      <c r="L369" s="93">
        <f>M369-K369</f>
        <v>0</v>
      </c>
      <c r="M369" s="93">
        <f>87261.6+1000-95+179.7</f>
        <v>88346.3</v>
      </c>
    </row>
    <row r="370" spans="1:13" s="95" customFormat="1" ht="37.5">
      <c r="A370" s="82"/>
      <c r="B370" s="91" t="s">
        <v>570</v>
      </c>
      <c r="C370" s="92" t="s">
        <v>344</v>
      </c>
      <c r="D370" s="81" t="s">
        <v>297</v>
      </c>
      <c r="E370" s="81" t="s">
        <v>89</v>
      </c>
      <c r="F370" s="705" t="s">
        <v>91</v>
      </c>
      <c r="G370" s="706" t="s">
        <v>97</v>
      </c>
      <c r="H370" s="706" t="s">
        <v>89</v>
      </c>
      <c r="I370" s="707" t="s">
        <v>569</v>
      </c>
      <c r="J370" s="81"/>
      <c r="K370" s="550">
        <f>K371</f>
        <v>359.09999999999991</v>
      </c>
      <c r="L370" s="93">
        <f>L371</f>
        <v>0</v>
      </c>
      <c r="M370" s="93">
        <f>M371</f>
        <v>359.09999999999991</v>
      </c>
    </row>
    <row r="371" spans="1:13" s="95" customFormat="1" ht="56.25">
      <c r="A371" s="82"/>
      <c r="B371" s="91" t="s">
        <v>134</v>
      </c>
      <c r="C371" s="92" t="s">
        <v>344</v>
      </c>
      <c r="D371" s="81" t="s">
        <v>297</v>
      </c>
      <c r="E371" s="81" t="s">
        <v>89</v>
      </c>
      <c r="F371" s="705" t="s">
        <v>91</v>
      </c>
      <c r="G371" s="706" t="s">
        <v>97</v>
      </c>
      <c r="H371" s="706" t="s">
        <v>89</v>
      </c>
      <c r="I371" s="707" t="s">
        <v>569</v>
      </c>
      <c r="J371" s="81" t="s">
        <v>135</v>
      </c>
      <c r="K371" s="550">
        <f>7.6+5.1+35.9+28.9+51.2+71.4+23.2+27.2+27.9+27.5+17.1+15.2-8-8-22+219.1+13.6+45+95+278.9-7.6-5.1-35.9-28.9-29.2-350.3-23.2-27.2-19.9-19.5-17.1-15.2-13.6</f>
        <v>359.09999999999991</v>
      </c>
      <c r="L371" s="93">
        <f>M371-K371</f>
        <v>0</v>
      </c>
      <c r="M371" s="93">
        <f>7.6+5.1+35.9+28.9+51.2+71.4+23.2+27.2+27.9+27.5+17.1+15.2-8-8-22+219.1+13.6+45+95+278.9-7.6-5.1-35.9-28.9-29.2-350.3-23.2-27.2-19.9-19.5-17.1-15.2-13.6</f>
        <v>359.09999999999991</v>
      </c>
    </row>
    <row r="372" spans="1:13" s="95" customFormat="1" ht="56.25">
      <c r="A372" s="82"/>
      <c r="B372" s="91" t="s">
        <v>279</v>
      </c>
      <c r="C372" s="92" t="s">
        <v>344</v>
      </c>
      <c r="D372" s="81" t="s">
        <v>297</v>
      </c>
      <c r="E372" s="81" t="s">
        <v>89</v>
      </c>
      <c r="F372" s="705" t="s">
        <v>91</v>
      </c>
      <c r="G372" s="706" t="s">
        <v>97</v>
      </c>
      <c r="H372" s="706" t="s">
        <v>89</v>
      </c>
      <c r="I372" s="707" t="s">
        <v>351</v>
      </c>
      <c r="J372" s="81"/>
      <c r="K372" s="550">
        <f>K373</f>
        <v>7018.576</v>
      </c>
      <c r="L372" s="93">
        <f>L373</f>
        <v>0</v>
      </c>
      <c r="M372" s="93">
        <f>M373</f>
        <v>7018.576</v>
      </c>
    </row>
    <row r="373" spans="1:13" s="95" customFormat="1" ht="55.15" customHeight="1">
      <c r="A373" s="82"/>
      <c r="B373" s="91" t="s">
        <v>134</v>
      </c>
      <c r="C373" s="92" t="s">
        <v>344</v>
      </c>
      <c r="D373" s="81" t="s">
        <v>297</v>
      </c>
      <c r="E373" s="81" t="s">
        <v>89</v>
      </c>
      <c r="F373" s="705" t="s">
        <v>91</v>
      </c>
      <c r="G373" s="706" t="s">
        <v>97</v>
      </c>
      <c r="H373" s="706" t="s">
        <v>89</v>
      </c>
      <c r="I373" s="707" t="s">
        <v>351</v>
      </c>
      <c r="J373" s="81" t="s">
        <v>135</v>
      </c>
      <c r="K373" s="550">
        <f>5734.8+146.6+1033.1+104.076</f>
        <v>7018.576</v>
      </c>
      <c r="L373" s="93">
        <f>M373-K373</f>
        <v>0</v>
      </c>
      <c r="M373" s="93">
        <f>5734.8+146.6+1033.1+104.076</f>
        <v>7018.576</v>
      </c>
    </row>
    <row r="374" spans="1:13" s="95" customFormat="1" ht="75">
      <c r="A374" s="82"/>
      <c r="B374" s="91" t="s">
        <v>281</v>
      </c>
      <c r="C374" s="92" t="s">
        <v>344</v>
      </c>
      <c r="D374" s="81" t="s">
        <v>297</v>
      </c>
      <c r="E374" s="81" t="s">
        <v>89</v>
      </c>
      <c r="F374" s="705" t="s">
        <v>91</v>
      </c>
      <c r="G374" s="706" t="s">
        <v>97</v>
      </c>
      <c r="H374" s="706" t="s">
        <v>89</v>
      </c>
      <c r="I374" s="707" t="s">
        <v>353</v>
      </c>
      <c r="J374" s="81"/>
      <c r="K374" s="550">
        <f t="shared" ref="K374:M374" si="104">K375</f>
        <v>7.5</v>
      </c>
      <c r="L374" s="93">
        <f t="shared" si="104"/>
        <v>0</v>
      </c>
      <c r="M374" s="93">
        <f t="shared" si="104"/>
        <v>7.5</v>
      </c>
    </row>
    <row r="375" spans="1:13" s="95" customFormat="1" ht="56.25">
      <c r="A375" s="82"/>
      <c r="B375" s="91" t="s">
        <v>134</v>
      </c>
      <c r="C375" s="92" t="s">
        <v>344</v>
      </c>
      <c r="D375" s="81" t="s">
        <v>297</v>
      </c>
      <c r="E375" s="81" t="s">
        <v>89</v>
      </c>
      <c r="F375" s="705" t="s">
        <v>91</v>
      </c>
      <c r="G375" s="706" t="s">
        <v>97</v>
      </c>
      <c r="H375" s="706" t="s">
        <v>89</v>
      </c>
      <c r="I375" s="707" t="s">
        <v>353</v>
      </c>
      <c r="J375" s="81" t="s">
        <v>135</v>
      </c>
      <c r="K375" s="550">
        <v>7.5</v>
      </c>
      <c r="L375" s="93">
        <f>M375-K375</f>
        <v>0</v>
      </c>
      <c r="M375" s="93">
        <v>7.5</v>
      </c>
    </row>
    <row r="376" spans="1:13" s="90" customFormat="1" ht="18.75">
      <c r="A376" s="82"/>
      <c r="B376" s="91" t="s">
        <v>346</v>
      </c>
      <c r="C376" s="92" t="s">
        <v>344</v>
      </c>
      <c r="D376" s="81" t="s">
        <v>297</v>
      </c>
      <c r="E376" s="81" t="s">
        <v>89</v>
      </c>
      <c r="F376" s="705" t="s">
        <v>91</v>
      </c>
      <c r="G376" s="706" t="s">
        <v>97</v>
      </c>
      <c r="H376" s="706" t="s">
        <v>89</v>
      </c>
      <c r="I376" s="707" t="s">
        <v>347</v>
      </c>
      <c r="J376" s="81"/>
      <c r="K376" s="550">
        <f>K377</f>
        <v>509.50000000000006</v>
      </c>
      <c r="L376" s="93">
        <f>L377</f>
        <v>0</v>
      </c>
      <c r="M376" s="93">
        <f>M377</f>
        <v>509.50000000000006</v>
      </c>
    </row>
    <row r="377" spans="1:13" s="90" customFormat="1" ht="56.25">
      <c r="A377" s="82"/>
      <c r="B377" s="91" t="s">
        <v>134</v>
      </c>
      <c r="C377" s="92" t="s">
        <v>344</v>
      </c>
      <c r="D377" s="81" t="s">
        <v>297</v>
      </c>
      <c r="E377" s="81" t="s">
        <v>89</v>
      </c>
      <c r="F377" s="705" t="s">
        <v>91</v>
      </c>
      <c r="G377" s="706" t="s">
        <v>97</v>
      </c>
      <c r="H377" s="706" t="s">
        <v>89</v>
      </c>
      <c r="I377" s="707" t="s">
        <v>347</v>
      </c>
      <c r="J377" s="81" t="s">
        <v>135</v>
      </c>
      <c r="K377" s="550">
        <f>557.7-48.2</f>
        <v>509.50000000000006</v>
      </c>
      <c r="L377" s="93">
        <f>M377-K377</f>
        <v>0</v>
      </c>
      <c r="M377" s="93">
        <f>557.7-48.2</f>
        <v>509.50000000000006</v>
      </c>
    </row>
    <row r="378" spans="1:13" s="90" customFormat="1" ht="131.25">
      <c r="A378" s="82"/>
      <c r="B378" s="91" t="s">
        <v>467</v>
      </c>
      <c r="C378" s="92" t="s">
        <v>344</v>
      </c>
      <c r="D378" s="81" t="s">
        <v>297</v>
      </c>
      <c r="E378" s="81" t="s">
        <v>89</v>
      </c>
      <c r="F378" s="705" t="s">
        <v>91</v>
      </c>
      <c r="G378" s="706" t="s">
        <v>97</v>
      </c>
      <c r="H378" s="706" t="s">
        <v>89</v>
      </c>
      <c r="I378" s="707" t="s">
        <v>348</v>
      </c>
      <c r="J378" s="81"/>
      <c r="K378" s="550">
        <f>K379</f>
        <v>206621.6</v>
      </c>
      <c r="L378" s="93">
        <f>L379</f>
        <v>0</v>
      </c>
      <c r="M378" s="93">
        <f>M379</f>
        <v>206621.6</v>
      </c>
    </row>
    <row r="379" spans="1:13" s="90" customFormat="1" ht="56.25">
      <c r="A379" s="82"/>
      <c r="B379" s="91" t="s">
        <v>134</v>
      </c>
      <c r="C379" s="92" t="s">
        <v>344</v>
      </c>
      <c r="D379" s="81" t="s">
        <v>297</v>
      </c>
      <c r="E379" s="81" t="s">
        <v>89</v>
      </c>
      <c r="F379" s="705" t="s">
        <v>91</v>
      </c>
      <c r="G379" s="706" t="s">
        <v>97</v>
      </c>
      <c r="H379" s="706" t="s">
        <v>89</v>
      </c>
      <c r="I379" s="707" t="s">
        <v>348</v>
      </c>
      <c r="J379" s="81" t="s">
        <v>135</v>
      </c>
      <c r="K379" s="550">
        <f>201087.9+5533.7</f>
        <v>206621.6</v>
      </c>
      <c r="L379" s="93">
        <f>M379-K379</f>
        <v>0</v>
      </c>
      <c r="M379" s="93">
        <f>201087.9+5533.7</f>
        <v>206621.6</v>
      </c>
    </row>
    <row r="380" spans="1:13" s="90" customFormat="1" ht="37.5">
      <c r="A380" s="82"/>
      <c r="B380" s="91" t="s">
        <v>771</v>
      </c>
      <c r="C380" s="92" t="s">
        <v>344</v>
      </c>
      <c r="D380" s="81" t="s">
        <v>297</v>
      </c>
      <c r="E380" s="81" t="s">
        <v>89</v>
      </c>
      <c r="F380" s="705" t="s">
        <v>91</v>
      </c>
      <c r="G380" s="706" t="s">
        <v>97</v>
      </c>
      <c r="H380" s="706" t="s">
        <v>89</v>
      </c>
      <c r="I380" s="707" t="s">
        <v>770</v>
      </c>
      <c r="J380" s="81"/>
      <c r="K380" s="550">
        <f>K381</f>
        <v>3</v>
      </c>
      <c r="L380" s="93">
        <f>L381</f>
        <v>0</v>
      </c>
      <c r="M380" s="93">
        <f>M381</f>
        <v>3</v>
      </c>
    </row>
    <row r="381" spans="1:13" s="90" customFormat="1" ht="56.25">
      <c r="A381" s="82"/>
      <c r="B381" s="91" t="s">
        <v>134</v>
      </c>
      <c r="C381" s="92" t="s">
        <v>344</v>
      </c>
      <c r="D381" s="81" t="s">
        <v>297</v>
      </c>
      <c r="E381" s="81" t="s">
        <v>89</v>
      </c>
      <c r="F381" s="705" t="s">
        <v>91</v>
      </c>
      <c r="G381" s="706" t="s">
        <v>97</v>
      </c>
      <c r="H381" s="706" t="s">
        <v>89</v>
      </c>
      <c r="I381" s="707" t="s">
        <v>770</v>
      </c>
      <c r="J381" s="81" t="s">
        <v>135</v>
      </c>
      <c r="K381" s="550">
        <v>3</v>
      </c>
      <c r="L381" s="93">
        <f>M381-K381</f>
        <v>0</v>
      </c>
      <c r="M381" s="93">
        <v>3</v>
      </c>
    </row>
    <row r="382" spans="1:13" s="90" customFormat="1" ht="56.25">
      <c r="A382" s="82"/>
      <c r="B382" s="91" t="s">
        <v>773</v>
      </c>
      <c r="C382" s="92" t="s">
        <v>344</v>
      </c>
      <c r="D382" s="81" t="s">
        <v>297</v>
      </c>
      <c r="E382" s="81" t="s">
        <v>89</v>
      </c>
      <c r="F382" s="705" t="s">
        <v>91</v>
      </c>
      <c r="G382" s="706" t="s">
        <v>97</v>
      </c>
      <c r="H382" s="706" t="s">
        <v>89</v>
      </c>
      <c r="I382" s="707" t="s">
        <v>764</v>
      </c>
      <c r="J382" s="81"/>
      <c r="K382" s="550">
        <f>K383</f>
        <v>1100</v>
      </c>
      <c r="L382" s="93">
        <f>L383</f>
        <v>0</v>
      </c>
      <c r="M382" s="93">
        <f>M383</f>
        <v>1100</v>
      </c>
    </row>
    <row r="383" spans="1:13" s="90" customFormat="1" ht="56.25">
      <c r="A383" s="82"/>
      <c r="B383" s="91" t="s">
        <v>134</v>
      </c>
      <c r="C383" s="92" t="s">
        <v>344</v>
      </c>
      <c r="D383" s="81" t="s">
        <v>297</v>
      </c>
      <c r="E383" s="81" t="s">
        <v>89</v>
      </c>
      <c r="F383" s="705" t="s">
        <v>91</v>
      </c>
      <c r="G383" s="706" t="s">
        <v>97</v>
      </c>
      <c r="H383" s="706" t="s">
        <v>89</v>
      </c>
      <c r="I383" s="707" t="s">
        <v>764</v>
      </c>
      <c r="J383" s="81" t="s">
        <v>135</v>
      </c>
      <c r="K383" s="550">
        <f>1100</f>
        <v>1100</v>
      </c>
      <c r="L383" s="93">
        <f>M383-K383</f>
        <v>0</v>
      </c>
      <c r="M383" s="93">
        <f>1100</f>
        <v>1100</v>
      </c>
    </row>
    <row r="384" spans="1:13" s="90" customFormat="1" ht="56.25">
      <c r="A384" s="82"/>
      <c r="B384" s="91" t="s">
        <v>306</v>
      </c>
      <c r="C384" s="92" t="s">
        <v>344</v>
      </c>
      <c r="D384" s="81" t="s">
        <v>297</v>
      </c>
      <c r="E384" s="81" t="s">
        <v>89</v>
      </c>
      <c r="F384" s="705" t="s">
        <v>307</v>
      </c>
      <c r="G384" s="706" t="s">
        <v>94</v>
      </c>
      <c r="H384" s="706" t="s">
        <v>95</v>
      </c>
      <c r="I384" s="707" t="s">
        <v>96</v>
      </c>
      <c r="J384" s="81"/>
      <c r="K384" s="550">
        <f t="shared" ref="K384:M387" si="105">K385</f>
        <v>90.6</v>
      </c>
      <c r="L384" s="93">
        <f t="shared" si="105"/>
        <v>0</v>
      </c>
      <c r="M384" s="93">
        <f t="shared" si="105"/>
        <v>90.6</v>
      </c>
    </row>
    <row r="385" spans="1:13" s="90" customFormat="1" ht="37.5">
      <c r="A385" s="82"/>
      <c r="B385" s="91" t="s">
        <v>455</v>
      </c>
      <c r="C385" s="92" t="s">
        <v>344</v>
      </c>
      <c r="D385" s="81" t="s">
        <v>297</v>
      </c>
      <c r="E385" s="81" t="s">
        <v>89</v>
      </c>
      <c r="F385" s="705" t="s">
        <v>307</v>
      </c>
      <c r="G385" s="706" t="s">
        <v>97</v>
      </c>
      <c r="H385" s="706" t="s">
        <v>95</v>
      </c>
      <c r="I385" s="707" t="s">
        <v>96</v>
      </c>
      <c r="J385" s="81"/>
      <c r="K385" s="550">
        <f t="shared" si="105"/>
        <v>90.6</v>
      </c>
      <c r="L385" s="93">
        <f t="shared" si="105"/>
        <v>0</v>
      </c>
      <c r="M385" s="93">
        <f t="shared" si="105"/>
        <v>90.6</v>
      </c>
    </row>
    <row r="386" spans="1:13" s="90" customFormat="1" ht="54.6" customHeight="1">
      <c r="A386" s="82"/>
      <c r="B386" s="91" t="s">
        <v>365</v>
      </c>
      <c r="C386" s="92" t="s">
        <v>344</v>
      </c>
      <c r="D386" s="81" t="s">
        <v>297</v>
      </c>
      <c r="E386" s="81" t="s">
        <v>89</v>
      </c>
      <c r="F386" s="705" t="s">
        <v>307</v>
      </c>
      <c r="G386" s="706" t="s">
        <v>97</v>
      </c>
      <c r="H386" s="706" t="s">
        <v>89</v>
      </c>
      <c r="I386" s="707" t="s">
        <v>96</v>
      </c>
      <c r="J386" s="81"/>
      <c r="K386" s="550">
        <f t="shared" si="105"/>
        <v>90.6</v>
      </c>
      <c r="L386" s="93">
        <f t="shared" si="105"/>
        <v>0</v>
      </c>
      <c r="M386" s="93">
        <f t="shared" si="105"/>
        <v>90.6</v>
      </c>
    </row>
    <row r="387" spans="1:13" s="90" customFormat="1" ht="37.5">
      <c r="A387" s="82"/>
      <c r="B387" s="91" t="s">
        <v>308</v>
      </c>
      <c r="C387" s="92" t="s">
        <v>344</v>
      </c>
      <c r="D387" s="81" t="s">
        <v>297</v>
      </c>
      <c r="E387" s="81" t="s">
        <v>89</v>
      </c>
      <c r="F387" s="705" t="s">
        <v>307</v>
      </c>
      <c r="G387" s="706" t="s">
        <v>97</v>
      </c>
      <c r="H387" s="706" t="s">
        <v>89</v>
      </c>
      <c r="I387" s="707" t="s">
        <v>359</v>
      </c>
      <c r="J387" s="81"/>
      <c r="K387" s="550">
        <f t="shared" si="105"/>
        <v>90.6</v>
      </c>
      <c r="L387" s="93">
        <f t="shared" si="105"/>
        <v>0</v>
      </c>
      <c r="M387" s="93">
        <f t="shared" si="105"/>
        <v>90.6</v>
      </c>
    </row>
    <row r="388" spans="1:13" s="90" customFormat="1" ht="56.25">
      <c r="A388" s="82"/>
      <c r="B388" s="91" t="s">
        <v>134</v>
      </c>
      <c r="C388" s="92" t="s">
        <v>344</v>
      </c>
      <c r="D388" s="81" t="s">
        <v>297</v>
      </c>
      <c r="E388" s="81" t="s">
        <v>89</v>
      </c>
      <c r="F388" s="705" t="s">
        <v>307</v>
      </c>
      <c r="G388" s="706" t="s">
        <v>97</v>
      </c>
      <c r="H388" s="706" t="s">
        <v>89</v>
      </c>
      <c r="I388" s="707" t="s">
        <v>359</v>
      </c>
      <c r="J388" s="81" t="s">
        <v>135</v>
      </c>
      <c r="K388" s="550">
        <f>52.6+38</f>
        <v>90.6</v>
      </c>
      <c r="L388" s="93">
        <f>M388-K388</f>
        <v>0</v>
      </c>
      <c r="M388" s="93">
        <f>52.6+38</f>
        <v>90.6</v>
      </c>
    </row>
    <row r="389" spans="1:13" s="90" customFormat="1" ht="18.75">
      <c r="A389" s="82"/>
      <c r="B389" s="91" t="s">
        <v>251</v>
      </c>
      <c r="C389" s="92" t="s">
        <v>344</v>
      </c>
      <c r="D389" s="81" t="s">
        <v>297</v>
      </c>
      <c r="E389" s="81" t="s">
        <v>91</v>
      </c>
      <c r="F389" s="705"/>
      <c r="G389" s="706"/>
      <c r="H389" s="706"/>
      <c r="I389" s="707"/>
      <c r="J389" s="81"/>
      <c r="K389" s="550">
        <f>K390</f>
        <v>516610.33899999998</v>
      </c>
      <c r="L389" s="93">
        <f>L390</f>
        <v>-1128.3999999999996</v>
      </c>
      <c r="M389" s="93">
        <f>M390</f>
        <v>515481.93899999995</v>
      </c>
    </row>
    <row r="390" spans="1:13" s="90" customFormat="1" ht="56.25">
      <c r="A390" s="82"/>
      <c r="B390" s="91" t="s">
        <v>277</v>
      </c>
      <c r="C390" s="92" t="s">
        <v>344</v>
      </c>
      <c r="D390" s="81" t="s">
        <v>297</v>
      </c>
      <c r="E390" s="81" t="s">
        <v>91</v>
      </c>
      <c r="F390" s="705" t="s">
        <v>91</v>
      </c>
      <c r="G390" s="706" t="s">
        <v>94</v>
      </c>
      <c r="H390" s="706" t="s">
        <v>95</v>
      </c>
      <c r="I390" s="707" t="s">
        <v>96</v>
      </c>
      <c r="J390" s="81"/>
      <c r="K390" s="550">
        <f>K391+K434</f>
        <v>516610.33899999998</v>
      </c>
      <c r="L390" s="93">
        <f>L391+L434</f>
        <v>-1128.3999999999996</v>
      </c>
      <c r="M390" s="93">
        <f>M391+M434</f>
        <v>515481.93899999995</v>
      </c>
    </row>
    <row r="391" spans="1:13" s="90" customFormat="1" ht="37.5">
      <c r="A391" s="82"/>
      <c r="B391" s="91" t="s">
        <v>278</v>
      </c>
      <c r="C391" s="92" t="s">
        <v>344</v>
      </c>
      <c r="D391" s="81" t="s">
        <v>297</v>
      </c>
      <c r="E391" s="81" t="s">
        <v>91</v>
      </c>
      <c r="F391" s="705" t="s">
        <v>91</v>
      </c>
      <c r="G391" s="706" t="s">
        <v>97</v>
      </c>
      <c r="H391" s="706" t="s">
        <v>95</v>
      </c>
      <c r="I391" s="707" t="s">
        <v>96</v>
      </c>
      <c r="J391" s="81"/>
      <c r="K391" s="550">
        <f>K392+K429</f>
        <v>514239.63899999997</v>
      </c>
      <c r="L391" s="93">
        <f>L392+L429</f>
        <v>-1128.3999999999996</v>
      </c>
      <c r="M391" s="93">
        <f>M392+M429</f>
        <v>513111.23899999994</v>
      </c>
    </row>
    <row r="392" spans="1:13" s="90" customFormat="1" ht="18.75">
      <c r="A392" s="82"/>
      <c r="B392" s="91" t="s">
        <v>350</v>
      </c>
      <c r="C392" s="92" t="s">
        <v>344</v>
      </c>
      <c r="D392" s="81" t="s">
        <v>297</v>
      </c>
      <c r="E392" s="81" t="s">
        <v>91</v>
      </c>
      <c r="F392" s="705" t="s">
        <v>91</v>
      </c>
      <c r="G392" s="706" t="s">
        <v>97</v>
      </c>
      <c r="H392" s="706" t="s">
        <v>91</v>
      </c>
      <c r="I392" s="707" t="s">
        <v>96</v>
      </c>
      <c r="J392" s="81"/>
      <c r="K392" s="550">
        <f>K401+K404+K409+K411+K415+K419+K393+K398+K426+K424+K422</f>
        <v>497852.03899999999</v>
      </c>
      <c r="L392" s="93">
        <f>L401+L404+L409+L411+L415+L419+L393+L398+L426+L424+L422</f>
        <v>-1128.3999999999996</v>
      </c>
      <c r="M392" s="93">
        <f>M401+M404+M409+M411+M415+M419+M393+M398+M426+M424+M422</f>
        <v>496723.63899999997</v>
      </c>
    </row>
    <row r="393" spans="1:13" s="95" customFormat="1" ht="73.900000000000006" customHeight="1">
      <c r="A393" s="82"/>
      <c r="B393" s="91" t="s">
        <v>150</v>
      </c>
      <c r="C393" s="92" t="s">
        <v>344</v>
      </c>
      <c r="D393" s="81" t="s">
        <v>297</v>
      </c>
      <c r="E393" s="81" t="s">
        <v>91</v>
      </c>
      <c r="F393" s="705" t="s">
        <v>91</v>
      </c>
      <c r="G393" s="706" t="s">
        <v>97</v>
      </c>
      <c r="H393" s="706" t="s">
        <v>91</v>
      </c>
      <c r="I393" s="707" t="s">
        <v>152</v>
      </c>
      <c r="J393" s="81"/>
      <c r="K393" s="550">
        <f t="shared" ref="K393" si="106">SUM(K394:K397)</f>
        <v>73103.401560000028</v>
      </c>
      <c r="L393" s="93">
        <f t="shared" ref="L393:M393" si="107">SUM(L394:L397)</f>
        <v>0</v>
      </c>
      <c r="M393" s="93">
        <f t="shared" si="107"/>
        <v>73103.401560000028</v>
      </c>
    </row>
    <row r="394" spans="1:13" s="95" customFormat="1" ht="90" customHeight="1">
      <c r="A394" s="82"/>
      <c r="B394" s="91" t="s">
        <v>101</v>
      </c>
      <c r="C394" s="92" t="s">
        <v>344</v>
      </c>
      <c r="D394" s="81" t="s">
        <v>297</v>
      </c>
      <c r="E394" s="81" t="s">
        <v>91</v>
      </c>
      <c r="F394" s="705" t="s">
        <v>91</v>
      </c>
      <c r="G394" s="706" t="s">
        <v>97</v>
      </c>
      <c r="H394" s="706" t="s">
        <v>91</v>
      </c>
      <c r="I394" s="707" t="s">
        <v>152</v>
      </c>
      <c r="J394" s="81" t="s">
        <v>102</v>
      </c>
      <c r="K394" s="550">
        <f>3791.6-190</f>
        <v>3601.6</v>
      </c>
      <c r="L394" s="93">
        <f t="shared" ref="L394:L397" si="108">M394-K394</f>
        <v>0</v>
      </c>
      <c r="M394" s="93">
        <f>3791.6-190</f>
        <v>3601.6</v>
      </c>
    </row>
    <row r="395" spans="1:13" s="95" customFormat="1" ht="49.9" customHeight="1">
      <c r="A395" s="82"/>
      <c r="B395" s="91" t="s">
        <v>107</v>
      </c>
      <c r="C395" s="92" t="s">
        <v>344</v>
      </c>
      <c r="D395" s="81" t="s">
        <v>297</v>
      </c>
      <c r="E395" s="81" t="s">
        <v>91</v>
      </c>
      <c r="F395" s="705" t="s">
        <v>91</v>
      </c>
      <c r="G395" s="706" t="s">
        <v>97</v>
      </c>
      <c r="H395" s="706" t="s">
        <v>91</v>
      </c>
      <c r="I395" s="707" t="s">
        <v>152</v>
      </c>
      <c r="J395" s="81" t="s">
        <v>108</v>
      </c>
      <c r="K395" s="550">
        <f>3085.9+1266.1-116.49844-2-10-407.7-1.6</f>
        <v>3814.20156</v>
      </c>
      <c r="L395" s="93">
        <f t="shared" si="108"/>
        <v>-10</v>
      </c>
      <c r="M395" s="93">
        <f>3085.9+1266.1-116.49844-2-10-407.7-1.6-10</f>
        <v>3804.20156</v>
      </c>
    </row>
    <row r="396" spans="1:13" s="95" customFormat="1" ht="56.25">
      <c r="A396" s="82"/>
      <c r="B396" s="91" t="s">
        <v>134</v>
      </c>
      <c r="C396" s="92" t="s">
        <v>344</v>
      </c>
      <c r="D396" s="81" t="s">
        <v>297</v>
      </c>
      <c r="E396" s="81" t="s">
        <v>91</v>
      </c>
      <c r="F396" s="705" t="s">
        <v>91</v>
      </c>
      <c r="G396" s="706" t="s">
        <v>97</v>
      </c>
      <c r="H396" s="706" t="s">
        <v>91</v>
      </c>
      <c r="I396" s="707" t="s">
        <v>152</v>
      </c>
      <c r="J396" s="81" t="s">
        <v>135</v>
      </c>
      <c r="K396" s="550">
        <f>69501.5+450.3+300-1495.9-1852.2-770-1181.7</f>
        <v>64952.000000000015</v>
      </c>
      <c r="L396" s="93">
        <f t="shared" si="108"/>
        <v>0</v>
      </c>
      <c r="M396" s="93">
        <f>69501.5+450.3+300-1495.9-1852.2-770-1181.7</f>
        <v>64952.000000000015</v>
      </c>
    </row>
    <row r="397" spans="1:13" s="95" customFormat="1" ht="18.75">
      <c r="A397" s="82"/>
      <c r="B397" s="91" t="s">
        <v>109</v>
      </c>
      <c r="C397" s="92" t="s">
        <v>344</v>
      </c>
      <c r="D397" s="81" t="s">
        <v>297</v>
      </c>
      <c r="E397" s="81" t="s">
        <v>91</v>
      </c>
      <c r="F397" s="705" t="s">
        <v>91</v>
      </c>
      <c r="G397" s="706" t="s">
        <v>97</v>
      </c>
      <c r="H397" s="706" t="s">
        <v>91</v>
      </c>
      <c r="I397" s="707" t="s">
        <v>152</v>
      </c>
      <c r="J397" s="81" t="s">
        <v>110</v>
      </c>
      <c r="K397" s="550">
        <f>722+2+10+1.6</f>
        <v>735.6</v>
      </c>
      <c r="L397" s="93">
        <f t="shared" si="108"/>
        <v>10</v>
      </c>
      <c r="M397" s="93">
        <f>722+2+10+1.6+10</f>
        <v>745.6</v>
      </c>
    </row>
    <row r="398" spans="1:13" s="95" customFormat="1" ht="37.5">
      <c r="A398" s="82"/>
      <c r="B398" s="91" t="s">
        <v>570</v>
      </c>
      <c r="C398" s="92" t="s">
        <v>344</v>
      </c>
      <c r="D398" s="81" t="s">
        <v>297</v>
      </c>
      <c r="E398" s="81" t="s">
        <v>91</v>
      </c>
      <c r="F398" s="705" t="s">
        <v>91</v>
      </c>
      <c r="G398" s="706" t="s">
        <v>97</v>
      </c>
      <c r="H398" s="706" t="s">
        <v>91</v>
      </c>
      <c r="I398" s="707" t="s">
        <v>569</v>
      </c>
      <c r="J398" s="81"/>
      <c r="K398" s="550">
        <f>K400+K399</f>
        <v>294.50000000000006</v>
      </c>
      <c r="L398" s="93">
        <f>L400+L399</f>
        <v>224</v>
      </c>
      <c r="M398" s="93">
        <f>M400+M399</f>
        <v>518.50000000000011</v>
      </c>
    </row>
    <row r="399" spans="1:13" s="95" customFormat="1" ht="50.45" customHeight="1">
      <c r="A399" s="82"/>
      <c r="B399" s="91" t="s">
        <v>107</v>
      </c>
      <c r="C399" s="92" t="s">
        <v>344</v>
      </c>
      <c r="D399" s="81" t="s">
        <v>297</v>
      </c>
      <c r="E399" s="81" t="s">
        <v>91</v>
      </c>
      <c r="F399" s="705" t="s">
        <v>91</v>
      </c>
      <c r="G399" s="706" t="s">
        <v>97</v>
      </c>
      <c r="H399" s="706" t="s">
        <v>91</v>
      </c>
      <c r="I399" s="707" t="s">
        <v>569</v>
      </c>
      <c r="J399" s="81" t="s">
        <v>108</v>
      </c>
      <c r="K399" s="550">
        <v>34.9</v>
      </c>
      <c r="L399" s="93">
        <f>M399-K399</f>
        <v>0</v>
      </c>
      <c r="M399" s="93">
        <v>34.9</v>
      </c>
    </row>
    <row r="400" spans="1:13" s="95" customFormat="1" ht="56.25">
      <c r="A400" s="82"/>
      <c r="B400" s="91" t="s">
        <v>134</v>
      </c>
      <c r="C400" s="92" t="s">
        <v>344</v>
      </c>
      <c r="D400" s="81" t="s">
        <v>297</v>
      </c>
      <c r="E400" s="81" t="s">
        <v>91</v>
      </c>
      <c r="F400" s="705" t="s">
        <v>91</v>
      </c>
      <c r="G400" s="706" t="s">
        <v>97</v>
      </c>
      <c r="H400" s="706" t="s">
        <v>91</v>
      </c>
      <c r="I400" s="707" t="s">
        <v>569</v>
      </c>
      <c r="J400" s="81" t="s">
        <v>135</v>
      </c>
      <c r="K400" s="550">
        <f>68.5+135.6+146.6+87.4+42.4+11.2+199-68.5-135.6-157.8-0.2-42.4+60.6-87.2</f>
        <v>259.60000000000008</v>
      </c>
      <c r="L400" s="93">
        <f>M400-K400</f>
        <v>224</v>
      </c>
      <c r="M400" s="484">
        <f>68.5+135.6+146.6+87.4+42.4+11.2+199-68.5-135.6-157.8-0.2-42.4+60.6-87.2+224</f>
        <v>483.60000000000008</v>
      </c>
    </row>
    <row r="401" spans="1:13" s="90" customFormat="1" ht="56.25">
      <c r="A401" s="82"/>
      <c r="B401" s="91" t="s">
        <v>279</v>
      </c>
      <c r="C401" s="92" t="s">
        <v>344</v>
      </c>
      <c r="D401" s="81" t="s">
        <v>297</v>
      </c>
      <c r="E401" s="81" t="s">
        <v>91</v>
      </c>
      <c r="F401" s="705" t="s">
        <v>91</v>
      </c>
      <c r="G401" s="706" t="s">
        <v>97</v>
      </c>
      <c r="H401" s="706" t="s">
        <v>91</v>
      </c>
      <c r="I401" s="707" t="s">
        <v>351</v>
      </c>
      <c r="J401" s="81"/>
      <c r="K401" s="550">
        <f>SUM(K402:K403)</f>
        <v>9087.7389999999996</v>
      </c>
      <c r="L401" s="93">
        <f>SUM(L402:L403)</f>
        <v>0</v>
      </c>
      <c r="M401" s="93">
        <f>SUM(M402:M403)</f>
        <v>9087.7389999999996</v>
      </c>
    </row>
    <row r="402" spans="1:13" s="90" customFormat="1" ht="50.45" customHeight="1">
      <c r="A402" s="82"/>
      <c r="B402" s="91" t="s">
        <v>107</v>
      </c>
      <c r="C402" s="92" t="s">
        <v>344</v>
      </c>
      <c r="D402" s="81" t="s">
        <v>297</v>
      </c>
      <c r="E402" s="81" t="s">
        <v>91</v>
      </c>
      <c r="F402" s="705" t="s">
        <v>91</v>
      </c>
      <c r="G402" s="706" t="s">
        <v>97</v>
      </c>
      <c r="H402" s="706" t="s">
        <v>91</v>
      </c>
      <c r="I402" s="707" t="s">
        <v>351</v>
      </c>
      <c r="J402" s="81" t="s">
        <v>108</v>
      </c>
      <c r="K402" s="550">
        <f>667.3+163.5+96.9</f>
        <v>927.69999999999993</v>
      </c>
      <c r="L402" s="93">
        <f t="shared" ref="L402:L403" si="109">M402-K402</f>
        <v>0</v>
      </c>
      <c r="M402" s="484">
        <f>667.3+163.5+96.9</f>
        <v>927.69999999999993</v>
      </c>
    </row>
    <row r="403" spans="1:13" s="90" customFormat="1" ht="56.25">
      <c r="A403" s="82"/>
      <c r="B403" s="91" t="s">
        <v>134</v>
      </c>
      <c r="C403" s="92" t="s">
        <v>344</v>
      </c>
      <c r="D403" s="81" t="s">
        <v>297</v>
      </c>
      <c r="E403" s="81" t="s">
        <v>91</v>
      </c>
      <c r="F403" s="705" t="s">
        <v>91</v>
      </c>
      <c r="G403" s="706" t="s">
        <v>97</v>
      </c>
      <c r="H403" s="706" t="s">
        <v>91</v>
      </c>
      <c r="I403" s="707" t="s">
        <v>351</v>
      </c>
      <c r="J403" s="81" t="s">
        <v>135</v>
      </c>
      <c r="K403" s="550">
        <f>3580+1390.1+1852.2+1397.1-59.361</f>
        <v>8160.0389999999998</v>
      </c>
      <c r="L403" s="93">
        <f t="shared" si="109"/>
        <v>0</v>
      </c>
      <c r="M403" s="93">
        <f>3580+1390.1+1852.2+1397.1-59.361</f>
        <v>8160.0389999999998</v>
      </c>
    </row>
    <row r="404" spans="1:13" s="90" customFormat="1" ht="37.5">
      <c r="A404" s="82"/>
      <c r="B404" s="91" t="s">
        <v>280</v>
      </c>
      <c r="C404" s="92" t="s">
        <v>344</v>
      </c>
      <c r="D404" s="81" t="s">
        <v>297</v>
      </c>
      <c r="E404" s="81" t="s">
        <v>91</v>
      </c>
      <c r="F404" s="705" t="s">
        <v>91</v>
      </c>
      <c r="G404" s="706" t="s">
        <v>97</v>
      </c>
      <c r="H404" s="706" t="s">
        <v>91</v>
      </c>
      <c r="I404" s="707" t="s">
        <v>352</v>
      </c>
      <c r="J404" s="81"/>
      <c r="K404" s="550">
        <f>SUM(K405:K408)</f>
        <v>17218.498439999999</v>
      </c>
      <c r="L404" s="93">
        <f>SUM(L405:L408)</f>
        <v>-1352.3999999999996</v>
      </c>
      <c r="M404" s="93">
        <f>SUM(M405:M408)</f>
        <v>15866.09844</v>
      </c>
    </row>
    <row r="405" spans="1:13" s="90" customFormat="1" ht="49.9" customHeight="1">
      <c r="A405" s="82"/>
      <c r="B405" s="91" t="s">
        <v>107</v>
      </c>
      <c r="C405" s="92" t="s">
        <v>344</v>
      </c>
      <c r="D405" s="81" t="s">
        <v>297</v>
      </c>
      <c r="E405" s="81" t="s">
        <v>91</v>
      </c>
      <c r="F405" s="705" t="s">
        <v>91</v>
      </c>
      <c r="G405" s="706" t="s">
        <v>97</v>
      </c>
      <c r="H405" s="706" t="s">
        <v>91</v>
      </c>
      <c r="I405" s="707" t="s">
        <v>352</v>
      </c>
      <c r="J405" s="81" t="s">
        <v>108</v>
      </c>
      <c r="K405" s="550">
        <f>216.2+77.7+895.5-15.4-895.5</f>
        <v>278.5</v>
      </c>
      <c r="L405" s="93">
        <f t="shared" ref="L405" si="110">M405-K405</f>
        <v>2000</v>
      </c>
      <c r="M405" s="93">
        <f>216.2+77.7+895.5-15.4-895.5+2000</f>
        <v>2278.5</v>
      </c>
    </row>
    <row r="406" spans="1:13" s="90" customFormat="1" ht="37.5">
      <c r="A406" s="82"/>
      <c r="B406" s="219" t="s">
        <v>182</v>
      </c>
      <c r="C406" s="92" t="s">
        <v>344</v>
      </c>
      <c r="D406" s="81" t="s">
        <v>297</v>
      </c>
      <c r="E406" s="81" t="s">
        <v>91</v>
      </c>
      <c r="F406" s="705" t="s">
        <v>91</v>
      </c>
      <c r="G406" s="706" t="s">
        <v>97</v>
      </c>
      <c r="H406" s="706" t="s">
        <v>91</v>
      </c>
      <c r="I406" s="707" t="s">
        <v>352</v>
      </c>
      <c r="J406" s="81" t="s">
        <v>183</v>
      </c>
      <c r="K406" s="550">
        <f>238.5+116.49844</f>
        <v>354.99844000000002</v>
      </c>
      <c r="L406" s="93">
        <f>M406-K406</f>
        <v>0</v>
      </c>
      <c r="M406" s="93">
        <f>238.5+116.49844</f>
        <v>354.99844000000002</v>
      </c>
    </row>
    <row r="407" spans="1:13" s="90" customFormat="1" ht="56.25">
      <c r="A407" s="82"/>
      <c r="B407" s="91" t="s">
        <v>275</v>
      </c>
      <c r="C407" s="92" t="s">
        <v>344</v>
      </c>
      <c r="D407" s="81" t="s">
        <v>297</v>
      </c>
      <c r="E407" s="81" t="s">
        <v>91</v>
      </c>
      <c r="F407" s="705" t="s">
        <v>91</v>
      </c>
      <c r="G407" s="706" t="s">
        <v>97</v>
      </c>
      <c r="H407" s="706" t="s">
        <v>91</v>
      </c>
      <c r="I407" s="707" t="s">
        <v>352</v>
      </c>
      <c r="J407" s="81" t="s">
        <v>276</v>
      </c>
      <c r="K407" s="550">
        <f>1900+609.4+609.4+611.2+611.2+5900-1900</f>
        <v>8341.2000000000007</v>
      </c>
      <c r="L407" s="93">
        <f>M407-K407</f>
        <v>-4000</v>
      </c>
      <c r="M407" s="484">
        <f>1900+609.4+609.4+611.2+611.2+5900-1900-871.6-3128.4</f>
        <v>4341.2000000000007</v>
      </c>
    </row>
    <row r="408" spans="1:13" s="90" customFormat="1" ht="56.25">
      <c r="A408" s="82"/>
      <c r="B408" s="91" t="s">
        <v>134</v>
      </c>
      <c r="C408" s="92" t="s">
        <v>344</v>
      </c>
      <c r="D408" s="81" t="s">
        <v>297</v>
      </c>
      <c r="E408" s="81" t="s">
        <v>91</v>
      </c>
      <c r="F408" s="705" t="s">
        <v>91</v>
      </c>
      <c r="G408" s="706" t="s">
        <v>97</v>
      </c>
      <c r="H408" s="706" t="s">
        <v>91</v>
      </c>
      <c r="I408" s="707" t="s">
        <v>352</v>
      </c>
      <c r="J408" s="81" t="s">
        <v>135</v>
      </c>
      <c r="K408" s="550">
        <f>6400.9+2369.7-1865.5+1865.5+895.5+153.5-4.4-223.1+198.4-146.3-198.4-198.4-293.7+293.7-153.5-257.1-2.5-296.8-293.7</f>
        <v>8243.7999999999993</v>
      </c>
      <c r="L408" s="93">
        <f>M408-K408</f>
        <v>647.60000000000036</v>
      </c>
      <c r="M408" s="93">
        <f>6400.9+2369.7-1865.5+1865.5+895.5+153.5-4.4-223.1+198.4-146.3-198.4-198.4-293.7+293.7-153.5-257.1-2.5-296.8-293.7+647.6</f>
        <v>8891.4</v>
      </c>
    </row>
    <row r="409" spans="1:13" s="90" customFormat="1" ht="75">
      <c r="A409" s="82"/>
      <c r="B409" s="91" t="s">
        <v>281</v>
      </c>
      <c r="C409" s="92" t="s">
        <v>344</v>
      </c>
      <c r="D409" s="81" t="s">
        <v>297</v>
      </c>
      <c r="E409" s="81" t="s">
        <v>91</v>
      </c>
      <c r="F409" s="705" t="s">
        <v>91</v>
      </c>
      <c r="G409" s="706" t="s">
        <v>97</v>
      </c>
      <c r="H409" s="706" t="s">
        <v>91</v>
      </c>
      <c r="I409" s="707" t="s">
        <v>353</v>
      </c>
      <c r="J409" s="81"/>
      <c r="K409" s="550">
        <f>SUM(K410:K410)</f>
        <v>15</v>
      </c>
      <c r="L409" s="93">
        <f>SUM(L410:L410)</f>
        <v>0</v>
      </c>
      <c r="M409" s="93">
        <f>SUM(M410:M410)</f>
        <v>15</v>
      </c>
    </row>
    <row r="410" spans="1:13" s="90" customFormat="1" ht="56.25">
      <c r="A410" s="82"/>
      <c r="B410" s="91" t="s">
        <v>134</v>
      </c>
      <c r="C410" s="92" t="s">
        <v>344</v>
      </c>
      <c r="D410" s="81" t="s">
        <v>297</v>
      </c>
      <c r="E410" s="81" t="s">
        <v>91</v>
      </c>
      <c r="F410" s="705" t="s">
        <v>91</v>
      </c>
      <c r="G410" s="706" t="s">
        <v>97</v>
      </c>
      <c r="H410" s="706" t="s">
        <v>91</v>
      </c>
      <c r="I410" s="707" t="s">
        <v>353</v>
      </c>
      <c r="J410" s="81" t="s">
        <v>135</v>
      </c>
      <c r="K410" s="550">
        <v>15</v>
      </c>
      <c r="L410" s="93">
        <f>M410-K410</f>
        <v>0</v>
      </c>
      <c r="M410" s="93">
        <v>15</v>
      </c>
    </row>
    <row r="411" spans="1:13" s="90" customFormat="1" ht="18.75">
      <c r="A411" s="82"/>
      <c r="B411" s="91" t="s">
        <v>346</v>
      </c>
      <c r="C411" s="92" t="s">
        <v>344</v>
      </c>
      <c r="D411" s="81" t="s">
        <v>297</v>
      </c>
      <c r="E411" s="81" t="s">
        <v>91</v>
      </c>
      <c r="F411" s="705" t="s">
        <v>91</v>
      </c>
      <c r="G411" s="706" t="s">
        <v>97</v>
      </c>
      <c r="H411" s="706" t="s">
        <v>91</v>
      </c>
      <c r="I411" s="707" t="s">
        <v>347</v>
      </c>
      <c r="J411" s="81"/>
      <c r="K411" s="550">
        <f>SUM(K412:K414)</f>
        <v>1759.8999999999999</v>
      </c>
      <c r="L411" s="93">
        <f>SUM(L412:L414)</f>
        <v>0</v>
      </c>
      <c r="M411" s="93">
        <f>SUM(M412:M414)</f>
        <v>1759.8999999999999</v>
      </c>
    </row>
    <row r="412" spans="1:13" s="90" customFormat="1" ht="105" customHeight="1">
      <c r="A412" s="82"/>
      <c r="B412" s="91" t="s">
        <v>101</v>
      </c>
      <c r="C412" s="92" t="s">
        <v>344</v>
      </c>
      <c r="D412" s="81" t="s">
        <v>297</v>
      </c>
      <c r="E412" s="81" t="s">
        <v>91</v>
      </c>
      <c r="F412" s="705" t="s">
        <v>91</v>
      </c>
      <c r="G412" s="706" t="s">
        <v>97</v>
      </c>
      <c r="H412" s="706" t="s">
        <v>91</v>
      </c>
      <c r="I412" s="707" t="s">
        <v>347</v>
      </c>
      <c r="J412" s="81" t="s">
        <v>102</v>
      </c>
      <c r="K412" s="550">
        <v>138.30000000000001</v>
      </c>
      <c r="L412" s="93">
        <f t="shared" ref="L412:L414" si="111">M412-K412</f>
        <v>0</v>
      </c>
      <c r="M412" s="93">
        <v>138.30000000000001</v>
      </c>
    </row>
    <row r="413" spans="1:13" s="90" customFormat="1" ht="37.5">
      <c r="A413" s="82"/>
      <c r="B413" s="91" t="s">
        <v>182</v>
      </c>
      <c r="C413" s="92" t="s">
        <v>344</v>
      </c>
      <c r="D413" s="81" t="s">
        <v>297</v>
      </c>
      <c r="E413" s="81" t="s">
        <v>91</v>
      </c>
      <c r="F413" s="705" t="s">
        <v>91</v>
      </c>
      <c r="G413" s="706" t="s">
        <v>97</v>
      </c>
      <c r="H413" s="706" t="s">
        <v>91</v>
      </c>
      <c r="I413" s="707" t="s">
        <v>347</v>
      </c>
      <c r="J413" s="81" t="s">
        <v>183</v>
      </c>
      <c r="K413" s="550">
        <v>14</v>
      </c>
      <c r="L413" s="93">
        <f t="shared" si="111"/>
        <v>0</v>
      </c>
      <c r="M413" s="93">
        <v>14</v>
      </c>
    </row>
    <row r="414" spans="1:13" s="90" customFormat="1" ht="56.25">
      <c r="A414" s="82"/>
      <c r="B414" s="91" t="s">
        <v>134</v>
      </c>
      <c r="C414" s="92" t="s">
        <v>344</v>
      </c>
      <c r="D414" s="81" t="s">
        <v>297</v>
      </c>
      <c r="E414" s="81" t="s">
        <v>91</v>
      </c>
      <c r="F414" s="705" t="s">
        <v>91</v>
      </c>
      <c r="G414" s="706" t="s">
        <v>97</v>
      </c>
      <c r="H414" s="706" t="s">
        <v>91</v>
      </c>
      <c r="I414" s="707" t="s">
        <v>347</v>
      </c>
      <c r="J414" s="81" t="s">
        <v>135</v>
      </c>
      <c r="K414" s="550">
        <f>1525.8+81.8</f>
        <v>1607.6</v>
      </c>
      <c r="L414" s="93">
        <f t="shared" si="111"/>
        <v>0</v>
      </c>
      <c r="M414" s="93">
        <f>1525.8+81.8</f>
        <v>1607.6</v>
      </c>
    </row>
    <row r="415" spans="1:13" s="90" customFormat="1" ht="131.25">
      <c r="A415" s="82"/>
      <c r="B415" s="91" t="s">
        <v>467</v>
      </c>
      <c r="C415" s="92" t="s">
        <v>344</v>
      </c>
      <c r="D415" s="81" t="s">
        <v>297</v>
      </c>
      <c r="E415" s="81" t="s">
        <v>91</v>
      </c>
      <c r="F415" s="705" t="s">
        <v>91</v>
      </c>
      <c r="G415" s="706" t="s">
        <v>97</v>
      </c>
      <c r="H415" s="706" t="s">
        <v>91</v>
      </c>
      <c r="I415" s="707" t="s">
        <v>348</v>
      </c>
      <c r="J415" s="81"/>
      <c r="K415" s="550">
        <f>K416+K417+K418</f>
        <v>386302.99999999994</v>
      </c>
      <c r="L415" s="93">
        <f>L416+L417+L418</f>
        <v>0</v>
      </c>
      <c r="M415" s="93">
        <f>M416+M417+M418</f>
        <v>386302.99999999994</v>
      </c>
    </row>
    <row r="416" spans="1:13" s="90" customFormat="1" ht="87.6" customHeight="1">
      <c r="A416" s="82"/>
      <c r="B416" s="91" t="s">
        <v>101</v>
      </c>
      <c r="C416" s="92" t="s">
        <v>344</v>
      </c>
      <c r="D416" s="81" t="s">
        <v>297</v>
      </c>
      <c r="E416" s="81" t="s">
        <v>91</v>
      </c>
      <c r="F416" s="705" t="s">
        <v>91</v>
      </c>
      <c r="G416" s="706" t="s">
        <v>97</v>
      </c>
      <c r="H416" s="706" t="s">
        <v>91</v>
      </c>
      <c r="I416" s="707" t="s">
        <v>348</v>
      </c>
      <c r="J416" s="81" t="s">
        <v>102</v>
      </c>
      <c r="K416" s="550">
        <f>29722.1+566.4</f>
        <v>30288.5</v>
      </c>
      <c r="L416" s="93">
        <f t="shared" ref="L416:L418" si="112">M416-K416</f>
        <v>0</v>
      </c>
      <c r="M416" s="93">
        <f>29722.1+566.4</f>
        <v>30288.5</v>
      </c>
    </row>
    <row r="417" spans="1:13" s="90" customFormat="1" ht="49.15" customHeight="1">
      <c r="A417" s="82"/>
      <c r="B417" s="91" t="s">
        <v>107</v>
      </c>
      <c r="C417" s="92" t="s">
        <v>344</v>
      </c>
      <c r="D417" s="81" t="s">
        <v>297</v>
      </c>
      <c r="E417" s="81" t="s">
        <v>91</v>
      </c>
      <c r="F417" s="705" t="s">
        <v>91</v>
      </c>
      <c r="G417" s="706" t="s">
        <v>97</v>
      </c>
      <c r="H417" s="706" t="s">
        <v>91</v>
      </c>
      <c r="I417" s="707" t="s">
        <v>348</v>
      </c>
      <c r="J417" s="81" t="s">
        <v>108</v>
      </c>
      <c r="K417" s="550">
        <f>1726.7+36.1+939</f>
        <v>2701.8</v>
      </c>
      <c r="L417" s="93">
        <f t="shared" si="112"/>
        <v>0</v>
      </c>
      <c r="M417" s="93">
        <f>1726.7+36.1+939</f>
        <v>2701.8</v>
      </c>
    </row>
    <row r="418" spans="1:13" s="90" customFormat="1" ht="56.25">
      <c r="A418" s="82"/>
      <c r="B418" s="91" t="s">
        <v>134</v>
      </c>
      <c r="C418" s="92" t="s">
        <v>344</v>
      </c>
      <c r="D418" s="81" t="s">
        <v>297</v>
      </c>
      <c r="E418" s="81" t="s">
        <v>91</v>
      </c>
      <c r="F418" s="705" t="s">
        <v>91</v>
      </c>
      <c r="G418" s="706" t="s">
        <v>97</v>
      </c>
      <c r="H418" s="706" t="s">
        <v>91</v>
      </c>
      <c r="I418" s="707" t="s">
        <v>348</v>
      </c>
      <c r="J418" s="81" t="s">
        <v>135</v>
      </c>
      <c r="K418" s="550">
        <f>345592.1+6570.7-3577.2+4727.1</f>
        <v>353312.69999999995</v>
      </c>
      <c r="L418" s="93">
        <f t="shared" si="112"/>
        <v>0</v>
      </c>
      <c r="M418" s="93">
        <f>345592.1+6570.7-3577.2+4727.1</f>
        <v>353312.69999999995</v>
      </c>
    </row>
    <row r="419" spans="1:13" s="90" customFormat="1" ht="93.75">
      <c r="A419" s="82"/>
      <c r="B419" s="91" t="s">
        <v>282</v>
      </c>
      <c r="C419" s="92" t="s">
        <v>344</v>
      </c>
      <c r="D419" s="81" t="s">
        <v>297</v>
      </c>
      <c r="E419" s="81" t="s">
        <v>91</v>
      </c>
      <c r="F419" s="705" t="s">
        <v>91</v>
      </c>
      <c r="G419" s="706" t="s">
        <v>97</v>
      </c>
      <c r="H419" s="706" t="s">
        <v>91</v>
      </c>
      <c r="I419" s="707" t="s">
        <v>354</v>
      </c>
      <c r="J419" s="81"/>
      <c r="K419" s="550">
        <f>SUM(K420:K421)</f>
        <v>4085.7</v>
      </c>
      <c r="L419" s="93">
        <f>SUM(L420:L421)</f>
        <v>0</v>
      </c>
      <c r="M419" s="93">
        <f>SUM(M420:M421)</f>
        <v>4085.7</v>
      </c>
    </row>
    <row r="420" spans="1:13" s="90" customFormat="1" ht="56.45" customHeight="1">
      <c r="A420" s="82"/>
      <c r="B420" s="91" t="s">
        <v>107</v>
      </c>
      <c r="C420" s="92" t="s">
        <v>344</v>
      </c>
      <c r="D420" s="81" t="s">
        <v>297</v>
      </c>
      <c r="E420" s="81" t="s">
        <v>91</v>
      </c>
      <c r="F420" s="705" t="s">
        <v>91</v>
      </c>
      <c r="G420" s="706" t="s">
        <v>97</v>
      </c>
      <c r="H420" s="706" t="s">
        <v>91</v>
      </c>
      <c r="I420" s="707" t="s">
        <v>354</v>
      </c>
      <c r="J420" s="81" t="s">
        <v>108</v>
      </c>
      <c r="K420" s="550">
        <f>226.5-35</f>
        <v>191.5</v>
      </c>
      <c r="L420" s="93">
        <f t="shared" ref="L420:L421" si="113">M420-K420</f>
        <v>0</v>
      </c>
      <c r="M420" s="93">
        <f>226.5-35</f>
        <v>191.5</v>
      </c>
    </row>
    <row r="421" spans="1:13" s="90" customFormat="1" ht="56.25">
      <c r="A421" s="82"/>
      <c r="B421" s="91" t="s">
        <v>134</v>
      </c>
      <c r="C421" s="92" t="s">
        <v>344</v>
      </c>
      <c r="D421" s="81" t="s">
        <v>297</v>
      </c>
      <c r="E421" s="81" t="s">
        <v>91</v>
      </c>
      <c r="F421" s="705" t="s">
        <v>91</v>
      </c>
      <c r="G421" s="706" t="s">
        <v>97</v>
      </c>
      <c r="H421" s="706" t="s">
        <v>91</v>
      </c>
      <c r="I421" s="707" t="s">
        <v>354</v>
      </c>
      <c r="J421" s="81" t="s">
        <v>135</v>
      </c>
      <c r="K421" s="550">
        <f>4009.2-115</f>
        <v>3894.2</v>
      </c>
      <c r="L421" s="93">
        <f t="shared" si="113"/>
        <v>0</v>
      </c>
      <c r="M421" s="93">
        <f>4009.2-115</f>
        <v>3894.2</v>
      </c>
    </row>
    <row r="422" spans="1:13" s="90" customFormat="1" ht="37.5">
      <c r="A422" s="82"/>
      <c r="B422" s="91" t="s">
        <v>771</v>
      </c>
      <c r="C422" s="92" t="s">
        <v>344</v>
      </c>
      <c r="D422" s="81" t="s">
        <v>297</v>
      </c>
      <c r="E422" s="81" t="s">
        <v>91</v>
      </c>
      <c r="F422" s="705" t="s">
        <v>91</v>
      </c>
      <c r="G422" s="706" t="s">
        <v>97</v>
      </c>
      <c r="H422" s="706" t="s">
        <v>91</v>
      </c>
      <c r="I422" s="707" t="s">
        <v>770</v>
      </c>
      <c r="J422" s="81"/>
      <c r="K422" s="550">
        <f>K423</f>
        <v>4</v>
      </c>
      <c r="L422" s="93">
        <f>L423</f>
        <v>0</v>
      </c>
      <c r="M422" s="93">
        <f>M423</f>
        <v>4</v>
      </c>
    </row>
    <row r="423" spans="1:13" s="90" customFormat="1" ht="56.25">
      <c r="A423" s="82"/>
      <c r="B423" s="91" t="s">
        <v>134</v>
      </c>
      <c r="C423" s="92" t="s">
        <v>344</v>
      </c>
      <c r="D423" s="81" t="s">
        <v>297</v>
      </c>
      <c r="E423" s="81" t="s">
        <v>91</v>
      </c>
      <c r="F423" s="705" t="s">
        <v>91</v>
      </c>
      <c r="G423" s="706" t="s">
        <v>97</v>
      </c>
      <c r="H423" s="706" t="s">
        <v>91</v>
      </c>
      <c r="I423" s="707" t="s">
        <v>770</v>
      </c>
      <c r="J423" s="81" t="s">
        <v>135</v>
      </c>
      <c r="K423" s="550">
        <v>4</v>
      </c>
      <c r="L423" s="93">
        <f>M423-K423</f>
        <v>0</v>
      </c>
      <c r="M423" s="93">
        <v>4</v>
      </c>
    </row>
    <row r="424" spans="1:13" s="90" customFormat="1" ht="56.25">
      <c r="A424" s="82"/>
      <c r="B424" s="91" t="s">
        <v>773</v>
      </c>
      <c r="C424" s="92" t="s">
        <v>344</v>
      </c>
      <c r="D424" s="81" t="s">
        <v>297</v>
      </c>
      <c r="E424" s="81" t="s">
        <v>91</v>
      </c>
      <c r="F424" s="705" t="s">
        <v>91</v>
      </c>
      <c r="G424" s="706" t="s">
        <v>97</v>
      </c>
      <c r="H424" s="706" t="s">
        <v>91</v>
      </c>
      <c r="I424" s="707" t="s">
        <v>764</v>
      </c>
      <c r="J424" s="81"/>
      <c r="K424" s="550">
        <f>K425</f>
        <v>2000</v>
      </c>
      <c r="L424" s="93">
        <f t="shared" ref="L424:L425" si="114">M424-K424</f>
        <v>0</v>
      </c>
      <c r="M424" s="93">
        <f>M425</f>
        <v>2000</v>
      </c>
    </row>
    <row r="425" spans="1:13" s="90" customFormat="1" ht="56.25">
      <c r="A425" s="82"/>
      <c r="B425" s="91" t="s">
        <v>134</v>
      </c>
      <c r="C425" s="92" t="s">
        <v>344</v>
      </c>
      <c r="D425" s="81" t="s">
        <v>297</v>
      </c>
      <c r="E425" s="81" t="s">
        <v>91</v>
      </c>
      <c r="F425" s="705" t="s">
        <v>91</v>
      </c>
      <c r="G425" s="706" t="s">
        <v>97</v>
      </c>
      <c r="H425" s="706" t="s">
        <v>91</v>
      </c>
      <c r="I425" s="707" t="s">
        <v>764</v>
      </c>
      <c r="J425" s="81" t="s">
        <v>135</v>
      </c>
      <c r="K425" s="550">
        <f>500+1500</f>
        <v>2000</v>
      </c>
      <c r="L425" s="93">
        <f t="shared" si="114"/>
        <v>0</v>
      </c>
      <c r="M425" s="93">
        <f>500+1500</f>
        <v>2000</v>
      </c>
    </row>
    <row r="426" spans="1:13" s="90" customFormat="1" ht="56.25">
      <c r="A426" s="82"/>
      <c r="B426" s="91" t="s">
        <v>728</v>
      </c>
      <c r="C426" s="92" t="s">
        <v>344</v>
      </c>
      <c r="D426" s="81" t="s">
        <v>297</v>
      </c>
      <c r="E426" s="81" t="s">
        <v>91</v>
      </c>
      <c r="F426" s="705" t="s">
        <v>91</v>
      </c>
      <c r="G426" s="706" t="s">
        <v>97</v>
      </c>
      <c r="H426" s="706" t="s">
        <v>91</v>
      </c>
      <c r="I426" s="707" t="s">
        <v>727</v>
      </c>
      <c r="J426" s="81"/>
      <c r="K426" s="550">
        <f>K427+K428</f>
        <v>3980.3</v>
      </c>
      <c r="L426" s="93">
        <f>L427+L428</f>
        <v>0</v>
      </c>
      <c r="M426" s="93">
        <f>M427+M428</f>
        <v>3980.3</v>
      </c>
    </row>
    <row r="427" spans="1:13" s="90" customFormat="1" ht="56.25">
      <c r="A427" s="82"/>
      <c r="B427" s="91" t="s">
        <v>107</v>
      </c>
      <c r="C427" s="92" t="s">
        <v>344</v>
      </c>
      <c r="D427" s="81" t="s">
        <v>297</v>
      </c>
      <c r="E427" s="81" t="s">
        <v>91</v>
      </c>
      <c r="F427" s="705" t="s">
        <v>91</v>
      </c>
      <c r="G427" s="706" t="s">
        <v>97</v>
      </c>
      <c r="H427" s="706" t="s">
        <v>91</v>
      </c>
      <c r="I427" s="707" t="s">
        <v>727</v>
      </c>
      <c r="J427" s="81" t="s">
        <v>108</v>
      </c>
      <c r="K427" s="550">
        <v>2237.6999999999998</v>
      </c>
      <c r="L427" s="93">
        <f>M427-K427</f>
        <v>0</v>
      </c>
      <c r="M427" s="93">
        <v>2237.6999999999998</v>
      </c>
    </row>
    <row r="428" spans="1:13" s="90" customFormat="1" ht="56.25">
      <c r="A428" s="82"/>
      <c r="B428" s="91" t="s">
        <v>134</v>
      </c>
      <c r="C428" s="92" t="s">
        <v>344</v>
      </c>
      <c r="D428" s="81" t="s">
        <v>297</v>
      </c>
      <c r="E428" s="81" t="s">
        <v>91</v>
      </c>
      <c r="F428" s="705" t="s">
        <v>91</v>
      </c>
      <c r="G428" s="706" t="s">
        <v>97</v>
      </c>
      <c r="H428" s="706" t="s">
        <v>91</v>
      </c>
      <c r="I428" s="707" t="s">
        <v>727</v>
      </c>
      <c r="J428" s="81" t="s">
        <v>135</v>
      </c>
      <c r="K428" s="550">
        <f>87.2+1655.4</f>
        <v>1742.6000000000001</v>
      </c>
      <c r="L428" s="93">
        <f>M428-K428</f>
        <v>0</v>
      </c>
      <c r="M428" s="93">
        <f>87.2+1655.4</f>
        <v>1742.6000000000001</v>
      </c>
    </row>
    <row r="429" spans="1:13" s="90" customFormat="1" ht="18.75">
      <c r="A429" s="82"/>
      <c r="B429" s="91" t="s">
        <v>726</v>
      </c>
      <c r="C429" s="92" t="s">
        <v>344</v>
      </c>
      <c r="D429" s="81" t="s">
        <v>297</v>
      </c>
      <c r="E429" s="81" t="s">
        <v>91</v>
      </c>
      <c r="F429" s="705" t="s">
        <v>91</v>
      </c>
      <c r="G429" s="706" t="s">
        <v>97</v>
      </c>
      <c r="H429" s="706" t="s">
        <v>723</v>
      </c>
      <c r="I429" s="707" t="s">
        <v>96</v>
      </c>
      <c r="J429" s="81"/>
      <c r="K429" s="550">
        <f>K430+K432</f>
        <v>16387.600000000002</v>
      </c>
      <c r="L429" s="93">
        <f>L430+L432</f>
        <v>0</v>
      </c>
      <c r="M429" s="93">
        <f>M430+M432</f>
        <v>16387.600000000002</v>
      </c>
    </row>
    <row r="430" spans="1:13" s="90" customFormat="1" ht="52.9" customHeight="1">
      <c r="A430" s="82"/>
      <c r="B430" s="91" t="s">
        <v>725</v>
      </c>
      <c r="C430" s="92" t="s">
        <v>344</v>
      </c>
      <c r="D430" s="81" t="s">
        <v>297</v>
      </c>
      <c r="E430" s="81" t="s">
        <v>91</v>
      </c>
      <c r="F430" s="705" t="s">
        <v>91</v>
      </c>
      <c r="G430" s="706" t="s">
        <v>97</v>
      </c>
      <c r="H430" s="706" t="s">
        <v>723</v>
      </c>
      <c r="I430" s="707" t="s">
        <v>724</v>
      </c>
      <c r="J430" s="81"/>
      <c r="K430" s="550">
        <v>6603.2</v>
      </c>
      <c r="L430" s="93">
        <f t="shared" ref="L430:L431" si="115">M430-K430</f>
        <v>0</v>
      </c>
      <c r="M430" s="93">
        <v>6603.2</v>
      </c>
    </row>
    <row r="431" spans="1:13" s="90" customFormat="1" ht="56.25">
      <c r="A431" s="82"/>
      <c r="B431" s="91" t="s">
        <v>134</v>
      </c>
      <c r="C431" s="92" t="s">
        <v>344</v>
      </c>
      <c r="D431" s="81" t="s">
        <v>297</v>
      </c>
      <c r="E431" s="81" t="s">
        <v>91</v>
      </c>
      <c r="F431" s="705" t="s">
        <v>91</v>
      </c>
      <c r="G431" s="706" t="s">
        <v>97</v>
      </c>
      <c r="H431" s="706" t="s">
        <v>723</v>
      </c>
      <c r="I431" s="707" t="s">
        <v>724</v>
      </c>
      <c r="J431" s="81" t="s">
        <v>135</v>
      </c>
      <c r="K431" s="550">
        <v>6603.2</v>
      </c>
      <c r="L431" s="93">
        <f t="shared" si="115"/>
        <v>0</v>
      </c>
      <c r="M431" s="93">
        <v>6603.2</v>
      </c>
    </row>
    <row r="432" spans="1:13" s="90" customFormat="1" ht="75">
      <c r="A432" s="82"/>
      <c r="B432" s="91" t="s">
        <v>725</v>
      </c>
      <c r="C432" s="92" t="s">
        <v>344</v>
      </c>
      <c r="D432" s="81" t="s">
        <v>297</v>
      </c>
      <c r="E432" s="81" t="s">
        <v>91</v>
      </c>
      <c r="F432" s="705" t="s">
        <v>91</v>
      </c>
      <c r="G432" s="706" t="s">
        <v>97</v>
      </c>
      <c r="H432" s="706" t="s">
        <v>723</v>
      </c>
      <c r="I432" s="707" t="s">
        <v>772</v>
      </c>
      <c r="J432" s="81"/>
      <c r="K432" s="550">
        <f>K433</f>
        <v>9784.4000000000015</v>
      </c>
      <c r="L432" s="93">
        <f>L433</f>
        <v>0</v>
      </c>
      <c r="M432" s="93">
        <f>M433</f>
        <v>9784.4000000000015</v>
      </c>
    </row>
    <row r="433" spans="1:13" s="90" customFormat="1" ht="56.25">
      <c r="A433" s="82"/>
      <c r="B433" s="91" t="s">
        <v>134</v>
      </c>
      <c r="C433" s="92" t="s">
        <v>344</v>
      </c>
      <c r="D433" s="81" t="s">
        <v>297</v>
      </c>
      <c r="E433" s="81" t="s">
        <v>91</v>
      </c>
      <c r="F433" s="705" t="s">
        <v>91</v>
      </c>
      <c r="G433" s="706" t="s">
        <v>97</v>
      </c>
      <c r="H433" s="706" t="s">
        <v>723</v>
      </c>
      <c r="I433" s="707" t="s">
        <v>772</v>
      </c>
      <c r="J433" s="81" t="s">
        <v>135</v>
      </c>
      <c r="K433" s="550">
        <f>293.7+9490.7</f>
        <v>9784.4000000000015</v>
      </c>
      <c r="L433" s="93">
        <f>M433-K433</f>
        <v>0</v>
      </c>
      <c r="M433" s="93">
        <f>293.7+9490.7</f>
        <v>9784.4000000000015</v>
      </c>
    </row>
    <row r="434" spans="1:13" s="90" customFormat="1" ht="56.25">
      <c r="A434" s="82"/>
      <c r="B434" s="91" t="s">
        <v>285</v>
      </c>
      <c r="C434" s="92" t="s">
        <v>344</v>
      </c>
      <c r="D434" s="81" t="s">
        <v>297</v>
      </c>
      <c r="E434" s="81" t="s">
        <v>91</v>
      </c>
      <c r="F434" s="705" t="s">
        <v>91</v>
      </c>
      <c r="G434" s="706" t="s">
        <v>82</v>
      </c>
      <c r="H434" s="706" t="s">
        <v>95</v>
      </c>
      <c r="I434" s="707" t="s">
        <v>96</v>
      </c>
      <c r="J434" s="81"/>
      <c r="K434" s="550">
        <f t="shared" ref="K434:M435" si="116">K435</f>
        <v>2370.6999999999998</v>
      </c>
      <c r="L434" s="93">
        <f t="shared" si="116"/>
        <v>0</v>
      </c>
      <c r="M434" s="93">
        <f t="shared" si="116"/>
        <v>2370.6999999999998</v>
      </c>
    </row>
    <row r="435" spans="1:13" s="90" customFormat="1" ht="37.5">
      <c r="A435" s="82"/>
      <c r="B435" s="91" t="s">
        <v>361</v>
      </c>
      <c r="C435" s="92" t="s">
        <v>344</v>
      </c>
      <c r="D435" s="81" t="s">
        <v>297</v>
      </c>
      <c r="E435" s="81" t="s">
        <v>91</v>
      </c>
      <c r="F435" s="705" t="s">
        <v>91</v>
      </c>
      <c r="G435" s="706" t="s">
        <v>82</v>
      </c>
      <c r="H435" s="706" t="s">
        <v>89</v>
      </c>
      <c r="I435" s="707" t="s">
        <v>96</v>
      </c>
      <c r="J435" s="81"/>
      <c r="K435" s="550">
        <f t="shared" si="116"/>
        <v>2370.6999999999998</v>
      </c>
      <c r="L435" s="93">
        <f t="shared" si="116"/>
        <v>0</v>
      </c>
      <c r="M435" s="93">
        <f t="shared" si="116"/>
        <v>2370.6999999999998</v>
      </c>
    </row>
    <row r="436" spans="1:13" s="90" customFormat="1" ht="18.75">
      <c r="A436" s="82"/>
      <c r="B436" s="91" t="s">
        <v>696</v>
      </c>
      <c r="C436" s="92" t="s">
        <v>344</v>
      </c>
      <c r="D436" s="81" t="s">
        <v>297</v>
      </c>
      <c r="E436" s="81" t="s">
        <v>91</v>
      </c>
      <c r="F436" s="705" t="s">
        <v>91</v>
      </c>
      <c r="G436" s="706" t="s">
        <v>82</v>
      </c>
      <c r="H436" s="706" t="s">
        <v>89</v>
      </c>
      <c r="I436" s="707" t="s">
        <v>468</v>
      </c>
      <c r="J436" s="81"/>
      <c r="K436" s="550">
        <f>K438+K437</f>
        <v>2370.6999999999998</v>
      </c>
      <c r="L436" s="93">
        <f>L438+L437</f>
        <v>0</v>
      </c>
      <c r="M436" s="93">
        <f>M438+M437</f>
        <v>2370.6999999999998</v>
      </c>
    </row>
    <row r="437" spans="1:13" s="90" customFormat="1" ht="90" customHeight="1">
      <c r="A437" s="82"/>
      <c r="B437" s="91" t="s">
        <v>101</v>
      </c>
      <c r="C437" s="92" t="s">
        <v>344</v>
      </c>
      <c r="D437" s="81" t="s">
        <v>297</v>
      </c>
      <c r="E437" s="81" t="s">
        <v>91</v>
      </c>
      <c r="F437" s="705" t="s">
        <v>91</v>
      </c>
      <c r="G437" s="706" t="s">
        <v>82</v>
      </c>
      <c r="H437" s="706" t="s">
        <v>89</v>
      </c>
      <c r="I437" s="707" t="s">
        <v>468</v>
      </c>
      <c r="J437" s="81" t="s">
        <v>102</v>
      </c>
      <c r="K437" s="550">
        <v>29.789760000000001</v>
      </c>
      <c r="L437" s="93">
        <f>M437-K437</f>
        <v>0</v>
      </c>
      <c r="M437" s="93">
        <v>29.789760000000001</v>
      </c>
    </row>
    <row r="438" spans="1:13" s="90" customFormat="1" ht="56.25">
      <c r="A438" s="82"/>
      <c r="B438" s="91" t="s">
        <v>134</v>
      </c>
      <c r="C438" s="92" t="s">
        <v>344</v>
      </c>
      <c r="D438" s="81" t="s">
        <v>297</v>
      </c>
      <c r="E438" s="81" t="s">
        <v>91</v>
      </c>
      <c r="F438" s="705" t="s">
        <v>91</v>
      </c>
      <c r="G438" s="706" t="s">
        <v>82</v>
      </c>
      <c r="H438" s="706" t="s">
        <v>89</v>
      </c>
      <c r="I438" s="707" t="s">
        <v>468</v>
      </c>
      <c r="J438" s="81" t="s">
        <v>135</v>
      </c>
      <c r="K438" s="550">
        <f>2072.1+298.6-29.78976</f>
        <v>2340.9102399999997</v>
      </c>
      <c r="L438" s="93">
        <f>M438-K438</f>
        <v>0</v>
      </c>
      <c r="M438" s="93">
        <f>2072.1+298.6-29.78976</f>
        <v>2340.9102399999997</v>
      </c>
    </row>
    <row r="439" spans="1:13" s="90" customFormat="1" ht="18.75">
      <c r="A439" s="82"/>
      <c r="B439" s="91" t="s">
        <v>481</v>
      </c>
      <c r="C439" s="92" t="s">
        <v>344</v>
      </c>
      <c r="D439" s="81" t="s">
        <v>297</v>
      </c>
      <c r="E439" s="81" t="s">
        <v>118</v>
      </c>
      <c r="F439" s="705"/>
      <c r="G439" s="706"/>
      <c r="H439" s="706"/>
      <c r="I439" s="707"/>
      <c r="J439" s="81"/>
      <c r="K439" s="550">
        <f t="shared" ref="K439:M440" si="117">K440</f>
        <v>54554.388460000002</v>
      </c>
      <c r="L439" s="93">
        <f t="shared" si="117"/>
        <v>0</v>
      </c>
      <c r="M439" s="93">
        <f t="shared" si="117"/>
        <v>54554.388460000002</v>
      </c>
    </row>
    <row r="440" spans="1:13" s="90" customFormat="1" ht="56.25">
      <c r="A440" s="82"/>
      <c r="B440" s="454" t="s">
        <v>277</v>
      </c>
      <c r="C440" s="92" t="s">
        <v>344</v>
      </c>
      <c r="D440" s="81" t="s">
        <v>297</v>
      </c>
      <c r="E440" s="81" t="s">
        <v>118</v>
      </c>
      <c r="F440" s="705" t="s">
        <v>91</v>
      </c>
      <c r="G440" s="706" t="s">
        <v>94</v>
      </c>
      <c r="H440" s="706" t="s">
        <v>95</v>
      </c>
      <c r="I440" s="707" t="s">
        <v>96</v>
      </c>
      <c r="J440" s="81"/>
      <c r="K440" s="550">
        <f t="shared" si="117"/>
        <v>54554.388460000002</v>
      </c>
      <c r="L440" s="93">
        <f t="shared" si="117"/>
        <v>0</v>
      </c>
      <c r="M440" s="93">
        <f t="shared" si="117"/>
        <v>54554.388460000002</v>
      </c>
    </row>
    <row r="441" spans="1:13" s="90" customFormat="1" ht="37.5">
      <c r="A441" s="82"/>
      <c r="B441" s="91" t="s">
        <v>283</v>
      </c>
      <c r="C441" s="92" t="s">
        <v>344</v>
      </c>
      <c r="D441" s="81" t="s">
        <v>297</v>
      </c>
      <c r="E441" s="81" t="s">
        <v>118</v>
      </c>
      <c r="F441" s="705" t="s">
        <v>91</v>
      </c>
      <c r="G441" s="706" t="s">
        <v>149</v>
      </c>
      <c r="H441" s="706" t="s">
        <v>95</v>
      </c>
      <c r="I441" s="707" t="s">
        <v>96</v>
      </c>
      <c r="J441" s="81"/>
      <c r="K441" s="550">
        <f>K442</f>
        <v>54554.388460000002</v>
      </c>
      <c r="L441" s="93">
        <f>L442</f>
        <v>0</v>
      </c>
      <c r="M441" s="93">
        <f>M442</f>
        <v>54554.388460000002</v>
      </c>
    </row>
    <row r="442" spans="1:13" s="90" customFormat="1" ht="37.5">
      <c r="A442" s="82"/>
      <c r="B442" s="91" t="s">
        <v>355</v>
      </c>
      <c r="C442" s="92" t="s">
        <v>344</v>
      </c>
      <c r="D442" s="81" t="s">
        <v>297</v>
      </c>
      <c r="E442" s="81" t="s">
        <v>118</v>
      </c>
      <c r="F442" s="705" t="s">
        <v>91</v>
      </c>
      <c r="G442" s="706" t="s">
        <v>149</v>
      </c>
      <c r="H442" s="706" t="s">
        <v>89</v>
      </c>
      <c r="I442" s="707" t="s">
        <v>96</v>
      </c>
      <c r="J442" s="81"/>
      <c r="K442" s="550">
        <f>K443+K459+K455+K450+K457+K448++K453+K461+K467+K463+K465</f>
        <v>54554.388460000002</v>
      </c>
      <c r="L442" s="93">
        <f>L443+L459+L455+L450+L457+L448++L453+L461+L467+L463+L465</f>
        <v>0</v>
      </c>
      <c r="M442" s="93">
        <f>M443+M459+M455+M450+M457+M448++M453+M461+M467+M463+M465</f>
        <v>54554.388460000002</v>
      </c>
    </row>
    <row r="443" spans="1:13" s="90" customFormat="1" ht="72" customHeight="1">
      <c r="A443" s="82"/>
      <c r="B443" s="91" t="s">
        <v>150</v>
      </c>
      <c r="C443" s="92" t="s">
        <v>344</v>
      </c>
      <c r="D443" s="81" t="s">
        <v>297</v>
      </c>
      <c r="E443" s="81" t="s">
        <v>118</v>
      </c>
      <c r="F443" s="705" t="s">
        <v>91</v>
      </c>
      <c r="G443" s="706" t="s">
        <v>149</v>
      </c>
      <c r="H443" s="706" t="s">
        <v>89</v>
      </c>
      <c r="I443" s="707" t="s">
        <v>152</v>
      </c>
      <c r="J443" s="81"/>
      <c r="K443" s="550">
        <f t="shared" ref="K443" si="118">SUM(K444:K447)</f>
        <v>45265.703460000004</v>
      </c>
      <c r="L443" s="93">
        <f t="shared" ref="L443" si="119">SUM(L444:L447)</f>
        <v>0</v>
      </c>
      <c r="M443" s="93">
        <f t="shared" ref="M443" si="120">SUM(M444:M447)</f>
        <v>45265.703460000004</v>
      </c>
    </row>
    <row r="444" spans="1:13" s="90" customFormat="1" ht="105" customHeight="1">
      <c r="A444" s="82"/>
      <c r="B444" s="91" t="s">
        <v>101</v>
      </c>
      <c r="C444" s="92" t="s">
        <v>344</v>
      </c>
      <c r="D444" s="81" t="s">
        <v>297</v>
      </c>
      <c r="E444" s="81" t="s">
        <v>118</v>
      </c>
      <c r="F444" s="705" t="s">
        <v>91</v>
      </c>
      <c r="G444" s="706" t="s">
        <v>149</v>
      </c>
      <c r="H444" s="706" t="s">
        <v>89</v>
      </c>
      <c r="I444" s="707" t="s">
        <v>152</v>
      </c>
      <c r="J444" s="81" t="s">
        <v>102</v>
      </c>
      <c r="K444" s="550">
        <f>23225.1+889.9+33+294</f>
        <v>24442</v>
      </c>
      <c r="L444" s="93">
        <f t="shared" ref="L444:L449" si="121">M444-K444</f>
        <v>0</v>
      </c>
      <c r="M444" s="93">
        <f>23225.1+889.9+33+294</f>
        <v>24442</v>
      </c>
    </row>
    <row r="445" spans="1:13" s="90" customFormat="1" ht="54" customHeight="1">
      <c r="A445" s="82"/>
      <c r="B445" s="91" t="s">
        <v>107</v>
      </c>
      <c r="C445" s="92" t="s">
        <v>344</v>
      </c>
      <c r="D445" s="81" t="s">
        <v>297</v>
      </c>
      <c r="E445" s="81" t="s">
        <v>118</v>
      </c>
      <c r="F445" s="705" t="s">
        <v>91</v>
      </c>
      <c r="G445" s="706" t="s">
        <v>149</v>
      </c>
      <c r="H445" s="706" t="s">
        <v>89</v>
      </c>
      <c r="I445" s="707" t="s">
        <v>152</v>
      </c>
      <c r="J445" s="81" t="s">
        <v>108</v>
      </c>
      <c r="K445" s="550">
        <f>1797+427.4+0.70346-33.8-294-0.75-3.5-10</f>
        <v>1883.0534600000001</v>
      </c>
      <c r="L445" s="93">
        <f t="shared" si="121"/>
        <v>0</v>
      </c>
      <c r="M445" s="93">
        <f>1797+427.4+0.70346-33.8-294-0.75-3.5-10</f>
        <v>1883.0534600000001</v>
      </c>
    </row>
    <row r="446" spans="1:13" s="90" customFormat="1" ht="56.25">
      <c r="A446" s="82"/>
      <c r="B446" s="91" t="s">
        <v>134</v>
      </c>
      <c r="C446" s="92" t="s">
        <v>344</v>
      </c>
      <c r="D446" s="81" t="s">
        <v>297</v>
      </c>
      <c r="E446" s="81" t="s">
        <v>118</v>
      </c>
      <c r="F446" s="705" t="s">
        <v>91</v>
      </c>
      <c r="G446" s="706" t="s">
        <v>149</v>
      </c>
      <c r="H446" s="706" t="s">
        <v>89</v>
      </c>
      <c r="I446" s="707" t="s">
        <v>152</v>
      </c>
      <c r="J446" s="81" t="s">
        <v>135</v>
      </c>
      <c r="K446" s="550">
        <f>17777.5+1034.1+48.5</f>
        <v>18860.099999999999</v>
      </c>
      <c r="L446" s="93">
        <f t="shared" si="121"/>
        <v>0</v>
      </c>
      <c r="M446" s="93">
        <f>17777.5+1034.1+48.5</f>
        <v>18860.099999999999</v>
      </c>
    </row>
    <row r="447" spans="1:13" s="90" customFormat="1" ht="18.75">
      <c r="A447" s="82"/>
      <c r="B447" s="91" t="s">
        <v>109</v>
      </c>
      <c r="C447" s="92" t="s">
        <v>344</v>
      </c>
      <c r="D447" s="81" t="s">
        <v>297</v>
      </c>
      <c r="E447" s="81" t="s">
        <v>118</v>
      </c>
      <c r="F447" s="705" t="s">
        <v>91</v>
      </c>
      <c r="G447" s="706" t="s">
        <v>149</v>
      </c>
      <c r="H447" s="706" t="s">
        <v>89</v>
      </c>
      <c r="I447" s="707" t="s">
        <v>152</v>
      </c>
      <c r="J447" s="81" t="s">
        <v>110</v>
      </c>
      <c r="K447" s="550">
        <f>65.5+0.8+0.75+3.5+10</f>
        <v>80.55</v>
      </c>
      <c r="L447" s="93">
        <f t="shared" si="121"/>
        <v>0</v>
      </c>
      <c r="M447" s="93">
        <f>65.5+0.8+0.75+3.5+10</f>
        <v>80.55</v>
      </c>
    </row>
    <row r="448" spans="1:13" s="90" customFormat="1" ht="37.5">
      <c r="A448" s="82"/>
      <c r="B448" s="91" t="s">
        <v>570</v>
      </c>
      <c r="C448" s="92" t="s">
        <v>344</v>
      </c>
      <c r="D448" s="81" t="s">
        <v>297</v>
      </c>
      <c r="E448" s="81" t="s">
        <v>118</v>
      </c>
      <c r="F448" s="705" t="s">
        <v>91</v>
      </c>
      <c r="G448" s="706" t="s">
        <v>149</v>
      </c>
      <c r="H448" s="706" t="s">
        <v>89</v>
      </c>
      <c r="I448" s="707" t="s">
        <v>569</v>
      </c>
      <c r="J448" s="81"/>
      <c r="K448" s="550">
        <f>K449</f>
        <v>1866.1000000000001</v>
      </c>
      <c r="L448" s="93">
        <f>L449</f>
        <v>0</v>
      </c>
      <c r="M448" s="93">
        <f>M449</f>
        <v>1866.1000000000001</v>
      </c>
    </row>
    <row r="449" spans="1:13" s="90" customFormat="1" ht="55.9" customHeight="1">
      <c r="A449" s="82"/>
      <c r="B449" s="91" t="s">
        <v>107</v>
      </c>
      <c r="C449" s="92" t="s">
        <v>344</v>
      </c>
      <c r="D449" s="81" t="s">
        <v>297</v>
      </c>
      <c r="E449" s="81" t="s">
        <v>118</v>
      </c>
      <c r="F449" s="705" t="s">
        <v>91</v>
      </c>
      <c r="G449" s="706" t="s">
        <v>149</v>
      </c>
      <c r="H449" s="706" t="s">
        <v>89</v>
      </c>
      <c r="I449" s="707" t="s">
        <v>569</v>
      </c>
      <c r="J449" s="81" t="s">
        <v>108</v>
      </c>
      <c r="K449" s="550">
        <f>39.7+68.9+50+1747.2-39.7</f>
        <v>1866.1000000000001</v>
      </c>
      <c r="L449" s="93">
        <f t="shared" si="121"/>
        <v>0</v>
      </c>
      <c r="M449" s="93">
        <f>39.7+68.9+50+1747.2-39.7</f>
        <v>1866.1000000000001</v>
      </c>
    </row>
    <row r="450" spans="1:13" s="90" customFormat="1" ht="56.25">
      <c r="A450" s="82"/>
      <c r="B450" s="91" t="s">
        <v>279</v>
      </c>
      <c r="C450" s="92" t="s">
        <v>344</v>
      </c>
      <c r="D450" s="81" t="s">
        <v>297</v>
      </c>
      <c r="E450" s="81" t="s">
        <v>118</v>
      </c>
      <c r="F450" s="705" t="s">
        <v>91</v>
      </c>
      <c r="G450" s="706" t="s">
        <v>149</v>
      </c>
      <c r="H450" s="706" t="s">
        <v>89</v>
      </c>
      <c r="I450" s="707" t="s">
        <v>351</v>
      </c>
      <c r="J450" s="81"/>
      <c r="K450" s="550">
        <f>SUM(K451:K452)</f>
        <v>981.9849999999999</v>
      </c>
      <c r="L450" s="93">
        <f>SUM(L451:L452)</f>
        <v>0</v>
      </c>
      <c r="M450" s="93">
        <f>SUM(M451:M452)</f>
        <v>981.9849999999999</v>
      </c>
    </row>
    <row r="451" spans="1:13" s="90" customFormat="1" ht="55.15" customHeight="1">
      <c r="A451" s="82"/>
      <c r="B451" s="91" t="s">
        <v>107</v>
      </c>
      <c r="C451" s="92" t="s">
        <v>344</v>
      </c>
      <c r="D451" s="81" t="s">
        <v>297</v>
      </c>
      <c r="E451" s="81" t="s">
        <v>118</v>
      </c>
      <c r="F451" s="705" t="s">
        <v>91</v>
      </c>
      <c r="G451" s="706" t="s">
        <v>149</v>
      </c>
      <c r="H451" s="706" t="s">
        <v>89</v>
      </c>
      <c r="I451" s="707" t="s">
        <v>351</v>
      </c>
      <c r="J451" s="81" t="s">
        <v>108</v>
      </c>
      <c r="K451" s="550">
        <f>460.9+81.8+0.4-17.613</f>
        <v>525.48699999999985</v>
      </c>
      <c r="L451" s="93">
        <f t="shared" ref="L451:L452" si="122">M451-K451</f>
        <v>0</v>
      </c>
      <c r="M451" s="93">
        <f>460.9+81.8+0.4-17.613</f>
        <v>525.48699999999985</v>
      </c>
    </row>
    <row r="452" spans="1:13" s="90" customFormat="1" ht="56.25">
      <c r="A452" s="82"/>
      <c r="B452" s="454" t="s">
        <v>134</v>
      </c>
      <c r="C452" s="92" t="s">
        <v>344</v>
      </c>
      <c r="D452" s="81" t="s">
        <v>297</v>
      </c>
      <c r="E452" s="81" t="s">
        <v>118</v>
      </c>
      <c r="F452" s="705" t="s">
        <v>91</v>
      </c>
      <c r="G452" s="706" t="s">
        <v>149</v>
      </c>
      <c r="H452" s="706" t="s">
        <v>89</v>
      </c>
      <c r="I452" s="707" t="s">
        <v>351</v>
      </c>
      <c r="J452" s="81" t="s">
        <v>135</v>
      </c>
      <c r="K452" s="550">
        <f>344.6+83.5+55.5-27.102</f>
        <v>456.49800000000005</v>
      </c>
      <c r="L452" s="93">
        <f t="shared" si="122"/>
        <v>0</v>
      </c>
      <c r="M452" s="484">
        <f>344.6+83.5+55.5-27.102</f>
        <v>456.49800000000005</v>
      </c>
    </row>
    <row r="453" spans="1:13" s="90" customFormat="1" ht="37.5">
      <c r="A453" s="82"/>
      <c r="B453" s="91" t="s">
        <v>280</v>
      </c>
      <c r="C453" s="92" t="s">
        <v>344</v>
      </c>
      <c r="D453" s="81" t="s">
        <v>297</v>
      </c>
      <c r="E453" s="81" t="s">
        <v>118</v>
      </c>
      <c r="F453" s="705" t="s">
        <v>91</v>
      </c>
      <c r="G453" s="706" t="s">
        <v>149</v>
      </c>
      <c r="H453" s="706" t="s">
        <v>89</v>
      </c>
      <c r="I453" s="707" t="s">
        <v>352</v>
      </c>
      <c r="J453" s="81"/>
      <c r="K453" s="550">
        <f>K454</f>
        <v>413.90000000000003</v>
      </c>
      <c r="L453" s="93">
        <f>L454</f>
        <v>0</v>
      </c>
      <c r="M453" s="93">
        <f>M454</f>
        <v>413.90000000000003</v>
      </c>
    </row>
    <row r="454" spans="1:13" s="90" customFormat="1" ht="62.45" customHeight="1">
      <c r="A454" s="82"/>
      <c r="B454" s="91" t="s">
        <v>107</v>
      </c>
      <c r="C454" s="92" t="s">
        <v>344</v>
      </c>
      <c r="D454" s="81" t="s">
        <v>297</v>
      </c>
      <c r="E454" s="81" t="s">
        <v>118</v>
      </c>
      <c r="F454" s="705" t="s">
        <v>91</v>
      </c>
      <c r="G454" s="706" t="s">
        <v>149</v>
      </c>
      <c r="H454" s="706" t="s">
        <v>89</v>
      </c>
      <c r="I454" s="707" t="s">
        <v>352</v>
      </c>
      <c r="J454" s="81" t="s">
        <v>108</v>
      </c>
      <c r="K454" s="550">
        <f>70+146.3-62+259.6</f>
        <v>413.90000000000003</v>
      </c>
      <c r="L454" s="93">
        <f>M454-K454</f>
        <v>0</v>
      </c>
      <c r="M454" s="93">
        <f>70+146.3-62+259.6</f>
        <v>413.90000000000003</v>
      </c>
    </row>
    <row r="455" spans="1:13" s="90" customFormat="1" ht="75">
      <c r="A455" s="82"/>
      <c r="B455" s="91" t="s">
        <v>281</v>
      </c>
      <c r="C455" s="92" t="s">
        <v>344</v>
      </c>
      <c r="D455" s="81" t="s">
        <v>297</v>
      </c>
      <c r="E455" s="81" t="s">
        <v>118</v>
      </c>
      <c r="F455" s="705" t="s">
        <v>91</v>
      </c>
      <c r="G455" s="706" t="s">
        <v>149</v>
      </c>
      <c r="H455" s="706" t="s">
        <v>89</v>
      </c>
      <c r="I455" s="707" t="s">
        <v>353</v>
      </c>
      <c r="J455" s="81"/>
      <c r="K455" s="550">
        <f>SUM(K456:K456)</f>
        <v>7.5</v>
      </c>
      <c r="L455" s="93">
        <f>SUM(L456:L456)</f>
        <v>0</v>
      </c>
      <c r="M455" s="93">
        <f>SUM(M456:M456)</f>
        <v>7.5</v>
      </c>
    </row>
    <row r="456" spans="1:13" s="90" customFormat="1" ht="56.25">
      <c r="A456" s="82"/>
      <c r="B456" s="91" t="s">
        <v>134</v>
      </c>
      <c r="C456" s="92" t="s">
        <v>344</v>
      </c>
      <c r="D456" s="81" t="s">
        <v>297</v>
      </c>
      <c r="E456" s="81" t="s">
        <v>118</v>
      </c>
      <c r="F456" s="705" t="s">
        <v>91</v>
      </c>
      <c r="G456" s="706" t="s">
        <v>149</v>
      </c>
      <c r="H456" s="706" t="s">
        <v>89</v>
      </c>
      <c r="I456" s="707" t="s">
        <v>353</v>
      </c>
      <c r="J456" s="81" t="s">
        <v>135</v>
      </c>
      <c r="K456" s="550">
        <v>7.5</v>
      </c>
      <c r="L456" s="93">
        <f>M456-K456</f>
        <v>0</v>
      </c>
      <c r="M456" s="93">
        <v>7.5</v>
      </c>
    </row>
    <row r="457" spans="1:13" s="90" customFormat="1" ht="18.75">
      <c r="A457" s="82"/>
      <c r="B457" s="91" t="s">
        <v>601</v>
      </c>
      <c r="C457" s="92" t="s">
        <v>344</v>
      </c>
      <c r="D457" s="81" t="s">
        <v>297</v>
      </c>
      <c r="E457" s="81" t="s">
        <v>118</v>
      </c>
      <c r="F457" s="705" t="s">
        <v>91</v>
      </c>
      <c r="G457" s="706" t="s">
        <v>149</v>
      </c>
      <c r="H457" s="706" t="s">
        <v>89</v>
      </c>
      <c r="I457" s="707" t="s">
        <v>600</v>
      </c>
      <c r="J457" s="81"/>
      <c r="K457" s="550">
        <f t="shared" ref="K457:M457" si="123">K458</f>
        <v>125</v>
      </c>
      <c r="L457" s="93">
        <f t="shared" si="123"/>
        <v>0</v>
      </c>
      <c r="M457" s="93">
        <f t="shared" si="123"/>
        <v>125</v>
      </c>
    </row>
    <row r="458" spans="1:13" s="90" customFormat="1" ht="106.9" customHeight="1">
      <c r="A458" s="82"/>
      <c r="B458" s="91" t="s">
        <v>101</v>
      </c>
      <c r="C458" s="92" t="s">
        <v>344</v>
      </c>
      <c r="D458" s="81" t="s">
        <v>297</v>
      </c>
      <c r="E458" s="81" t="s">
        <v>118</v>
      </c>
      <c r="F458" s="705" t="s">
        <v>91</v>
      </c>
      <c r="G458" s="706" t="s">
        <v>149</v>
      </c>
      <c r="H458" s="706" t="s">
        <v>89</v>
      </c>
      <c r="I458" s="707" t="s">
        <v>600</v>
      </c>
      <c r="J458" s="81" t="s">
        <v>102</v>
      </c>
      <c r="K458" s="550">
        <v>125</v>
      </c>
      <c r="L458" s="93">
        <f>M458-K458</f>
        <v>0</v>
      </c>
      <c r="M458" s="93">
        <v>125</v>
      </c>
    </row>
    <row r="459" spans="1:13" s="90" customFormat="1" ht="18.75">
      <c r="A459" s="82"/>
      <c r="B459" s="91" t="s">
        <v>346</v>
      </c>
      <c r="C459" s="92" t="s">
        <v>344</v>
      </c>
      <c r="D459" s="81" t="s">
        <v>297</v>
      </c>
      <c r="E459" s="81" t="s">
        <v>118</v>
      </c>
      <c r="F459" s="705" t="s">
        <v>91</v>
      </c>
      <c r="G459" s="706" t="s">
        <v>149</v>
      </c>
      <c r="H459" s="706" t="s">
        <v>89</v>
      </c>
      <c r="I459" s="707" t="s">
        <v>347</v>
      </c>
      <c r="J459" s="81"/>
      <c r="K459" s="550">
        <f>K460</f>
        <v>151.4</v>
      </c>
      <c r="L459" s="93">
        <f>L460</f>
        <v>0</v>
      </c>
      <c r="M459" s="93">
        <f>M460</f>
        <v>151.4</v>
      </c>
    </row>
    <row r="460" spans="1:13" s="90" customFormat="1" ht="107.45" customHeight="1">
      <c r="A460" s="82"/>
      <c r="B460" s="91" t="s">
        <v>101</v>
      </c>
      <c r="C460" s="92" t="s">
        <v>344</v>
      </c>
      <c r="D460" s="81" t="s">
        <v>297</v>
      </c>
      <c r="E460" s="81" t="s">
        <v>118</v>
      </c>
      <c r="F460" s="705" t="s">
        <v>91</v>
      </c>
      <c r="G460" s="706" t="s">
        <v>149</v>
      </c>
      <c r="H460" s="706" t="s">
        <v>89</v>
      </c>
      <c r="I460" s="707" t="s">
        <v>347</v>
      </c>
      <c r="J460" s="81" t="s">
        <v>102</v>
      </c>
      <c r="K460" s="550">
        <f>185-33.6</f>
        <v>151.4</v>
      </c>
      <c r="L460" s="93">
        <f>M460-K460</f>
        <v>0</v>
      </c>
      <c r="M460" s="93">
        <f>185-33.6</f>
        <v>151.4</v>
      </c>
    </row>
    <row r="461" spans="1:13" s="90" customFormat="1" ht="131.25">
      <c r="A461" s="82"/>
      <c r="B461" s="91" t="s">
        <v>467</v>
      </c>
      <c r="C461" s="92" t="s">
        <v>344</v>
      </c>
      <c r="D461" s="81" t="s">
        <v>297</v>
      </c>
      <c r="E461" s="81" t="s">
        <v>118</v>
      </c>
      <c r="F461" s="705" t="s">
        <v>91</v>
      </c>
      <c r="G461" s="706" t="s">
        <v>149</v>
      </c>
      <c r="H461" s="706" t="s">
        <v>89</v>
      </c>
      <c r="I461" s="707" t="s">
        <v>348</v>
      </c>
      <c r="J461" s="81"/>
      <c r="K461" s="550">
        <f>K462</f>
        <v>3577.2</v>
      </c>
      <c r="L461" s="93">
        <f>L462</f>
        <v>0</v>
      </c>
      <c r="M461" s="93">
        <f>M462</f>
        <v>3577.2</v>
      </c>
    </row>
    <row r="462" spans="1:13" s="90" customFormat="1" ht="56.25">
      <c r="A462" s="82"/>
      <c r="B462" s="91" t="s">
        <v>134</v>
      </c>
      <c r="C462" s="92" t="s">
        <v>344</v>
      </c>
      <c r="D462" s="81" t="s">
        <v>297</v>
      </c>
      <c r="E462" s="81" t="s">
        <v>118</v>
      </c>
      <c r="F462" s="705" t="s">
        <v>91</v>
      </c>
      <c r="G462" s="706" t="s">
        <v>149</v>
      </c>
      <c r="H462" s="706" t="s">
        <v>89</v>
      </c>
      <c r="I462" s="707" t="s">
        <v>348</v>
      </c>
      <c r="J462" s="81" t="s">
        <v>135</v>
      </c>
      <c r="K462" s="550">
        <v>3577.2</v>
      </c>
      <c r="L462" s="93">
        <f>M462-K462</f>
        <v>0</v>
      </c>
      <c r="M462" s="93">
        <v>3577.2</v>
      </c>
    </row>
    <row r="463" spans="1:13" s="90" customFormat="1" ht="37.5">
      <c r="A463" s="82"/>
      <c r="B463" s="91" t="s">
        <v>771</v>
      </c>
      <c r="C463" s="92" t="s">
        <v>344</v>
      </c>
      <c r="D463" s="81" t="s">
        <v>297</v>
      </c>
      <c r="E463" s="81" t="s">
        <v>118</v>
      </c>
      <c r="F463" s="705" t="s">
        <v>91</v>
      </c>
      <c r="G463" s="706" t="s">
        <v>149</v>
      </c>
      <c r="H463" s="706" t="s">
        <v>89</v>
      </c>
      <c r="I463" s="707" t="s">
        <v>770</v>
      </c>
      <c r="J463" s="81"/>
      <c r="K463" s="550">
        <f>K464</f>
        <v>1</v>
      </c>
      <c r="L463" s="93">
        <f>L464</f>
        <v>0</v>
      </c>
      <c r="M463" s="93">
        <f>M464</f>
        <v>1</v>
      </c>
    </row>
    <row r="464" spans="1:13" s="90" customFormat="1" ht="56.25">
      <c r="A464" s="82"/>
      <c r="B464" s="91" t="s">
        <v>134</v>
      </c>
      <c r="C464" s="92" t="s">
        <v>344</v>
      </c>
      <c r="D464" s="81" t="s">
        <v>297</v>
      </c>
      <c r="E464" s="81" t="s">
        <v>118</v>
      </c>
      <c r="F464" s="705" t="s">
        <v>91</v>
      </c>
      <c r="G464" s="706" t="s">
        <v>149</v>
      </c>
      <c r="H464" s="706" t="s">
        <v>89</v>
      </c>
      <c r="I464" s="707" t="s">
        <v>770</v>
      </c>
      <c r="J464" s="81" t="s">
        <v>135</v>
      </c>
      <c r="K464" s="550">
        <v>1</v>
      </c>
      <c r="L464" s="93">
        <f>M464-K464</f>
        <v>0</v>
      </c>
      <c r="M464" s="93">
        <v>1</v>
      </c>
    </row>
    <row r="465" spans="1:13" s="90" customFormat="1" ht="56.25">
      <c r="A465" s="82"/>
      <c r="B465" s="91" t="s">
        <v>773</v>
      </c>
      <c r="C465" s="92" t="s">
        <v>344</v>
      </c>
      <c r="D465" s="81" t="s">
        <v>297</v>
      </c>
      <c r="E465" s="81" t="s">
        <v>118</v>
      </c>
      <c r="F465" s="705" t="s">
        <v>91</v>
      </c>
      <c r="G465" s="706" t="s">
        <v>149</v>
      </c>
      <c r="H465" s="706" t="s">
        <v>89</v>
      </c>
      <c r="I465" s="707" t="s">
        <v>764</v>
      </c>
      <c r="J465" s="81"/>
      <c r="K465" s="550">
        <f>K466</f>
        <v>100</v>
      </c>
      <c r="L465" s="93">
        <f t="shared" ref="L465:L466" si="124">M465-K465</f>
        <v>0</v>
      </c>
      <c r="M465" s="93">
        <f>M466</f>
        <v>100</v>
      </c>
    </row>
    <row r="466" spans="1:13" s="90" customFormat="1" ht="56.25">
      <c r="A466" s="82"/>
      <c r="B466" s="91" t="s">
        <v>134</v>
      </c>
      <c r="C466" s="92" t="s">
        <v>344</v>
      </c>
      <c r="D466" s="81" t="s">
        <v>297</v>
      </c>
      <c r="E466" s="81" t="s">
        <v>118</v>
      </c>
      <c r="F466" s="705" t="s">
        <v>91</v>
      </c>
      <c r="G466" s="706" t="s">
        <v>149</v>
      </c>
      <c r="H466" s="706" t="s">
        <v>89</v>
      </c>
      <c r="I466" s="707" t="s">
        <v>764</v>
      </c>
      <c r="J466" s="81" t="s">
        <v>135</v>
      </c>
      <c r="K466" s="550">
        <v>100</v>
      </c>
      <c r="L466" s="93">
        <f t="shared" si="124"/>
        <v>0</v>
      </c>
      <c r="M466" s="93">
        <v>100</v>
      </c>
    </row>
    <row r="467" spans="1:13" s="90" customFormat="1" ht="55.15" customHeight="1">
      <c r="A467" s="82"/>
      <c r="B467" s="91" t="s">
        <v>728</v>
      </c>
      <c r="C467" s="92" t="s">
        <v>344</v>
      </c>
      <c r="D467" s="81" t="s">
        <v>297</v>
      </c>
      <c r="E467" s="81" t="s">
        <v>118</v>
      </c>
      <c r="F467" s="705" t="s">
        <v>91</v>
      </c>
      <c r="G467" s="706" t="s">
        <v>149</v>
      </c>
      <c r="H467" s="706" t="s">
        <v>89</v>
      </c>
      <c r="I467" s="707" t="s">
        <v>727</v>
      </c>
      <c r="J467" s="81"/>
      <c r="K467" s="550">
        <v>2064.6</v>
      </c>
      <c r="L467" s="93">
        <f t="shared" ref="L467:L468" si="125">M467-K467</f>
        <v>0</v>
      </c>
      <c r="M467" s="93">
        <v>2064.6</v>
      </c>
    </row>
    <row r="468" spans="1:13" s="90" customFormat="1" ht="51" customHeight="1">
      <c r="A468" s="82"/>
      <c r="B468" s="91" t="s">
        <v>107</v>
      </c>
      <c r="C468" s="92" t="s">
        <v>344</v>
      </c>
      <c r="D468" s="81" t="s">
        <v>297</v>
      </c>
      <c r="E468" s="81" t="s">
        <v>118</v>
      </c>
      <c r="F468" s="705" t="s">
        <v>91</v>
      </c>
      <c r="G468" s="706" t="s">
        <v>149</v>
      </c>
      <c r="H468" s="706" t="s">
        <v>89</v>
      </c>
      <c r="I468" s="707" t="s">
        <v>727</v>
      </c>
      <c r="J468" s="81" t="s">
        <v>108</v>
      </c>
      <c r="K468" s="550">
        <v>2064.6</v>
      </c>
      <c r="L468" s="93">
        <f t="shared" si="125"/>
        <v>0</v>
      </c>
      <c r="M468" s="93">
        <v>2064.6</v>
      </c>
    </row>
    <row r="469" spans="1:13" s="90" customFormat="1" ht="18.75">
      <c r="A469" s="82"/>
      <c r="B469" s="91" t="s">
        <v>482</v>
      </c>
      <c r="C469" s="92" t="s">
        <v>344</v>
      </c>
      <c r="D469" s="81" t="s">
        <v>297</v>
      </c>
      <c r="E469" s="81" t="s">
        <v>297</v>
      </c>
      <c r="F469" s="705"/>
      <c r="G469" s="706"/>
      <c r="H469" s="706"/>
      <c r="I469" s="707"/>
      <c r="J469" s="81"/>
      <c r="K469" s="550">
        <f>K470</f>
        <v>5066.1000000000004</v>
      </c>
      <c r="L469" s="93">
        <f>L470</f>
        <v>0</v>
      </c>
      <c r="M469" s="93">
        <f>M470</f>
        <v>5066.1000000000004</v>
      </c>
    </row>
    <row r="470" spans="1:13" s="90" customFormat="1" ht="56.25">
      <c r="A470" s="82"/>
      <c r="B470" s="91" t="s">
        <v>277</v>
      </c>
      <c r="C470" s="92" t="s">
        <v>344</v>
      </c>
      <c r="D470" s="81" t="s">
        <v>297</v>
      </c>
      <c r="E470" s="81" t="s">
        <v>297</v>
      </c>
      <c r="F470" s="705" t="s">
        <v>91</v>
      </c>
      <c r="G470" s="706" t="s">
        <v>94</v>
      </c>
      <c r="H470" s="706" t="s">
        <v>95</v>
      </c>
      <c r="I470" s="707" t="s">
        <v>96</v>
      </c>
      <c r="J470" s="81"/>
      <c r="K470" s="550">
        <f t="shared" ref="K470:M471" si="126">K471</f>
        <v>5066.1000000000004</v>
      </c>
      <c r="L470" s="93">
        <f t="shared" si="126"/>
        <v>0</v>
      </c>
      <c r="M470" s="93">
        <f t="shared" si="126"/>
        <v>5066.1000000000004</v>
      </c>
    </row>
    <row r="471" spans="1:13" s="90" customFormat="1" ht="56.25">
      <c r="A471" s="82"/>
      <c r="B471" s="91" t="s">
        <v>285</v>
      </c>
      <c r="C471" s="92" t="s">
        <v>344</v>
      </c>
      <c r="D471" s="81" t="s">
        <v>297</v>
      </c>
      <c r="E471" s="81" t="s">
        <v>297</v>
      </c>
      <c r="F471" s="705" t="s">
        <v>91</v>
      </c>
      <c r="G471" s="706" t="s">
        <v>82</v>
      </c>
      <c r="H471" s="706" t="s">
        <v>95</v>
      </c>
      <c r="I471" s="707" t="s">
        <v>96</v>
      </c>
      <c r="J471" s="81"/>
      <c r="K471" s="550">
        <f t="shared" si="126"/>
        <v>5066.1000000000004</v>
      </c>
      <c r="L471" s="93">
        <f t="shared" si="126"/>
        <v>0</v>
      </c>
      <c r="M471" s="93">
        <f t="shared" si="126"/>
        <v>5066.1000000000004</v>
      </c>
    </row>
    <row r="472" spans="1:13" s="90" customFormat="1" ht="37.9" customHeight="1">
      <c r="A472" s="82"/>
      <c r="B472" s="91" t="s">
        <v>360</v>
      </c>
      <c r="C472" s="92" t="s">
        <v>344</v>
      </c>
      <c r="D472" s="81" t="s">
        <v>297</v>
      </c>
      <c r="E472" s="81" t="s">
        <v>297</v>
      </c>
      <c r="F472" s="705" t="s">
        <v>91</v>
      </c>
      <c r="G472" s="706" t="s">
        <v>82</v>
      </c>
      <c r="H472" s="706" t="s">
        <v>91</v>
      </c>
      <c r="I472" s="707" t="s">
        <v>96</v>
      </c>
      <c r="J472" s="81"/>
      <c r="K472" s="550">
        <f>K476+K473</f>
        <v>5066.1000000000004</v>
      </c>
      <c r="L472" s="93">
        <f>L476+L473</f>
        <v>0</v>
      </c>
      <c r="M472" s="93">
        <f>M476+M473</f>
        <v>5066.1000000000004</v>
      </c>
    </row>
    <row r="473" spans="1:13" s="90" customFormat="1" ht="37.5">
      <c r="A473" s="82"/>
      <c r="B473" s="91" t="s">
        <v>709</v>
      </c>
      <c r="C473" s="92" t="s">
        <v>344</v>
      </c>
      <c r="D473" s="81" t="s">
        <v>297</v>
      </c>
      <c r="E473" s="81" t="s">
        <v>297</v>
      </c>
      <c r="F473" s="705" t="s">
        <v>91</v>
      </c>
      <c r="G473" s="706" t="s">
        <v>82</v>
      </c>
      <c r="H473" s="706" t="s">
        <v>91</v>
      </c>
      <c r="I473" s="707" t="s">
        <v>708</v>
      </c>
      <c r="J473" s="81"/>
      <c r="K473" s="550">
        <f>K474+K475</f>
        <v>1062.5</v>
      </c>
      <c r="L473" s="93">
        <f>L474+L475</f>
        <v>0</v>
      </c>
      <c r="M473" s="93">
        <f>M474+M475</f>
        <v>1062.5</v>
      </c>
    </row>
    <row r="474" spans="1:13" s="90" customFormat="1" ht="49.9" customHeight="1">
      <c r="A474" s="82"/>
      <c r="B474" s="91" t="s">
        <v>107</v>
      </c>
      <c r="C474" s="92" t="s">
        <v>344</v>
      </c>
      <c r="D474" s="81" t="s">
        <v>297</v>
      </c>
      <c r="E474" s="81" t="s">
        <v>297</v>
      </c>
      <c r="F474" s="705" t="s">
        <v>91</v>
      </c>
      <c r="G474" s="706" t="s">
        <v>82</v>
      </c>
      <c r="H474" s="706" t="s">
        <v>91</v>
      </c>
      <c r="I474" s="707" t="s">
        <v>708</v>
      </c>
      <c r="J474" s="81" t="s">
        <v>108</v>
      </c>
      <c r="K474" s="550">
        <v>652.79999999999995</v>
      </c>
      <c r="L474" s="93">
        <f t="shared" ref="L474:L475" si="127">M474-K474</f>
        <v>0</v>
      </c>
      <c r="M474" s="93">
        <v>652.79999999999995</v>
      </c>
    </row>
    <row r="475" spans="1:13" s="90" customFormat="1" ht="56.25">
      <c r="A475" s="82"/>
      <c r="B475" s="91" t="s">
        <v>134</v>
      </c>
      <c r="C475" s="92" t="s">
        <v>344</v>
      </c>
      <c r="D475" s="81" t="s">
        <v>297</v>
      </c>
      <c r="E475" s="81" t="s">
        <v>297</v>
      </c>
      <c r="F475" s="705" t="s">
        <v>91</v>
      </c>
      <c r="G475" s="706" t="s">
        <v>82</v>
      </c>
      <c r="H475" s="706" t="s">
        <v>91</v>
      </c>
      <c r="I475" s="707" t="s">
        <v>708</v>
      </c>
      <c r="J475" s="81" t="s">
        <v>135</v>
      </c>
      <c r="K475" s="550">
        <v>409.7</v>
      </c>
      <c r="L475" s="93">
        <f t="shared" si="127"/>
        <v>0</v>
      </c>
      <c r="M475" s="93">
        <v>409.7</v>
      </c>
    </row>
    <row r="476" spans="1:13" s="90" customFormat="1" ht="38.450000000000003" customHeight="1">
      <c r="A476" s="82"/>
      <c r="B476" s="91" t="s">
        <v>470</v>
      </c>
      <c r="C476" s="92" t="s">
        <v>344</v>
      </c>
      <c r="D476" s="81" t="s">
        <v>297</v>
      </c>
      <c r="E476" s="81" t="s">
        <v>297</v>
      </c>
      <c r="F476" s="705" t="s">
        <v>91</v>
      </c>
      <c r="G476" s="706" t="s">
        <v>82</v>
      </c>
      <c r="H476" s="706" t="s">
        <v>91</v>
      </c>
      <c r="I476" s="707" t="s">
        <v>591</v>
      </c>
      <c r="J476" s="81"/>
      <c r="K476" s="550">
        <f t="shared" ref="K476:M476" si="128">K477</f>
        <v>4003.6</v>
      </c>
      <c r="L476" s="93">
        <f t="shared" si="128"/>
        <v>0</v>
      </c>
      <c r="M476" s="93">
        <f t="shared" si="128"/>
        <v>4003.6</v>
      </c>
    </row>
    <row r="477" spans="1:13" s="90" customFormat="1" ht="56.25">
      <c r="A477" s="82"/>
      <c r="B477" s="91" t="s">
        <v>134</v>
      </c>
      <c r="C477" s="92" t="s">
        <v>344</v>
      </c>
      <c r="D477" s="81" t="s">
        <v>297</v>
      </c>
      <c r="E477" s="81" t="s">
        <v>297</v>
      </c>
      <c r="F477" s="705" t="s">
        <v>91</v>
      </c>
      <c r="G477" s="706" t="s">
        <v>82</v>
      </c>
      <c r="H477" s="706" t="s">
        <v>91</v>
      </c>
      <c r="I477" s="707" t="s">
        <v>591</v>
      </c>
      <c r="J477" s="81" t="s">
        <v>135</v>
      </c>
      <c r="K477" s="550">
        <v>4003.6</v>
      </c>
      <c r="L477" s="93">
        <f>M477-K477</f>
        <v>0</v>
      </c>
      <c r="M477" s="93">
        <v>4003.6</v>
      </c>
    </row>
    <row r="478" spans="1:13" s="90" customFormat="1" ht="18.75">
      <c r="A478" s="82"/>
      <c r="B478" s="91" t="s">
        <v>254</v>
      </c>
      <c r="C478" s="92" t="s">
        <v>344</v>
      </c>
      <c r="D478" s="81" t="s">
        <v>297</v>
      </c>
      <c r="E478" s="81" t="s">
        <v>138</v>
      </c>
      <c r="F478" s="705"/>
      <c r="G478" s="706"/>
      <c r="H478" s="706"/>
      <c r="I478" s="707"/>
      <c r="J478" s="81"/>
      <c r="K478" s="550">
        <f>K479</f>
        <v>45670.548309999998</v>
      </c>
      <c r="L478" s="93">
        <f>L479</f>
        <v>6</v>
      </c>
      <c r="M478" s="93">
        <f>M479</f>
        <v>45676.548309999998</v>
      </c>
    </row>
    <row r="479" spans="1:13" s="90" customFormat="1" ht="56.25">
      <c r="A479" s="82"/>
      <c r="B479" s="91" t="s">
        <v>277</v>
      </c>
      <c r="C479" s="92" t="s">
        <v>344</v>
      </c>
      <c r="D479" s="81" t="s">
        <v>297</v>
      </c>
      <c r="E479" s="81" t="s">
        <v>138</v>
      </c>
      <c r="F479" s="705" t="s">
        <v>91</v>
      </c>
      <c r="G479" s="706" t="s">
        <v>94</v>
      </c>
      <c r="H479" s="706" t="s">
        <v>95</v>
      </c>
      <c r="I479" s="707" t="s">
        <v>96</v>
      </c>
      <c r="J479" s="81"/>
      <c r="K479" s="550">
        <f>K484+K481</f>
        <v>45670.548309999998</v>
      </c>
      <c r="L479" s="93">
        <f t="shared" ref="L479" si="129">L484+L481</f>
        <v>6</v>
      </c>
      <c r="M479" s="93">
        <f>M484+M481</f>
        <v>45676.548309999998</v>
      </c>
    </row>
    <row r="480" spans="1:13" s="90" customFormat="1" ht="37.5">
      <c r="A480" s="82"/>
      <c r="B480" s="91" t="s">
        <v>283</v>
      </c>
      <c r="C480" s="92" t="s">
        <v>344</v>
      </c>
      <c r="D480" s="81" t="s">
        <v>297</v>
      </c>
      <c r="E480" s="81" t="s">
        <v>138</v>
      </c>
      <c r="F480" s="705" t="s">
        <v>91</v>
      </c>
      <c r="G480" s="706" t="s">
        <v>149</v>
      </c>
      <c r="H480" s="706" t="s">
        <v>95</v>
      </c>
      <c r="I480" s="707" t="s">
        <v>96</v>
      </c>
      <c r="J480" s="81"/>
      <c r="K480" s="550">
        <f>K481</f>
        <v>9</v>
      </c>
      <c r="L480" s="93">
        <f>L481</f>
        <v>6</v>
      </c>
      <c r="M480" s="93">
        <f>M481</f>
        <v>15</v>
      </c>
    </row>
    <row r="481" spans="1:13" s="90" customFormat="1" ht="18.75">
      <c r="A481" s="82"/>
      <c r="B481" s="91" t="s">
        <v>356</v>
      </c>
      <c r="C481" s="92" t="s">
        <v>344</v>
      </c>
      <c r="D481" s="81" t="s">
        <v>297</v>
      </c>
      <c r="E481" s="81" t="s">
        <v>138</v>
      </c>
      <c r="F481" s="705" t="s">
        <v>91</v>
      </c>
      <c r="G481" s="706" t="s">
        <v>149</v>
      </c>
      <c r="H481" s="706" t="s">
        <v>91</v>
      </c>
      <c r="I481" s="707" t="s">
        <v>96</v>
      </c>
      <c r="J481" s="81"/>
      <c r="K481" s="550">
        <f t="shared" ref="K481:M482" si="130">K482</f>
        <v>9</v>
      </c>
      <c r="L481" s="93">
        <f t="shared" si="130"/>
        <v>6</v>
      </c>
      <c r="M481" s="93">
        <f t="shared" si="130"/>
        <v>15</v>
      </c>
    </row>
    <row r="482" spans="1:13" s="90" customFormat="1" ht="56.25">
      <c r="A482" s="82"/>
      <c r="B482" s="91" t="s">
        <v>357</v>
      </c>
      <c r="C482" s="92" t="s">
        <v>344</v>
      </c>
      <c r="D482" s="81" t="s">
        <v>297</v>
      </c>
      <c r="E482" s="81" t="s">
        <v>138</v>
      </c>
      <c r="F482" s="705" t="s">
        <v>91</v>
      </c>
      <c r="G482" s="706" t="s">
        <v>149</v>
      </c>
      <c r="H482" s="706" t="s">
        <v>91</v>
      </c>
      <c r="I482" s="707" t="s">
        <v>358</v>
      </c>
      <c r="J482" s="81"/>
      <c r="K482" s="550">
        <f t="shared" si="130"/>
        <v>9</v>
      </c>
      <c r="L482" s="93">
        <f t="shared" si="130"/>
        <v>6</v>
      </c>
      <c r="M482" s="93">
        <f t="shared" si="130"/>
        <v>15</v>
      </c>
    </row>
    <row r="483" spans="1:13" s="90" customFormat="1" ht="37.5">
      <c r="A483" s="82"/>
      <c r="B483" s="91" t="s">
        <v>182</v>
      </c>
      <c r="C483" s="92" t="s">
        <v>344</v>
      </c>
      <c r="D483" s="81" t="s">
        <v>297</v>
      </c>
      <c r="E483" s="81" t="s">
        <v>138</v>
      </c>
      <c r="F483" s="705" t="s">
        <v>91</v>
      </c>
      <c r="G483" s="706" t="s">
        <v>149</v>
      </c>
      <c r="H483" s="706" t="s">
        <v>91</v>
      </c>
      <c r="I483" s="707" t="s">
        <v>358</v>
      </c>
      <c r="J483" s="81" t="s">
        <v>183</v>
      </c>
      <c r="K483" s="550">
        <v>9</v>
      </c>
      <c r="L483" s="93">
        <f>M483-K483</f>
        <v>6</v>
      </c>
      <c r="M483" s="93">
        <f>9+6</f>
        <v>15</v>
      </c>
    </row>
    <row r="484" spans="1:13" s="90" customFormat="1" ht="56.25">
      <c r="A484" s="82"/>
      <c r="B484" s="91" t="s">
        <v>285</v>
      </c>
      <c r="C484" s="92" t="s">
        <v>344</v>
      </c>
      <c r="D484" s="81" t="s">
        <v>297</v>
      </c>
      <c r="E484" s="81" t="s">
        <v>138</v>
      </c>
      <c r="F484" s="705" t="s">
        <v>91</v>
      </c>
      <c r="G484" s="706" t="s">
        <v>82</v>
      </c>
      <c r="H484" s="706" t="s">
        <v>95</v>
      </c>
      <c r="I484" s="707" t="s">
        <v>96</v>
      </c>
      <c r="J484" s="81"/>
      <c r="K484" s="550">
        <f t="shared" ref="K484:M484" si="131">K485</f>
        <v>45661.548309999998</v>
      </c>
      <c r="L484" s="93">
        <f t="shared" si="131"/>
        <v>0</v>
      </c>
      <c r="M484" s="93">
        <f t="shared" si="131"/>
        <v>45661.548309999998</v>
      </c>
    </row>
    <row r="485" spans="1:13" s="90" customFormat="1" ht="37.5">
      <c r="A485" s="82"/>
      <c r="B485" s="91" t="s">
        <v>361</v>
      </c>
      <c r="C485" s="92" t="s">
        <v>344</v>
      </c>
      <c r="D485" s="81" t="s">
        <v>297</v>
      </c>
      <c r="E485" s="81" t="s">
        <v>138</v>
      </c>
      <c r="F485" s="705" t="s">
        <v>91</v>
      </c>
      <c r="G485" s="706" t="s">
        <v>82</v>
      </c>
      <c r="H485" s="706" t="s">
        <v>89</v>
      </c>
      <c r="I485" s="707" t="s">
        <v>96</v>
      </c>
      <c r="J485" s="81"/>
      <c r="K485" s="550">
        <f>K486+K490+K495</f>
        <v>45661.548309999998</v>
      </c>
      <c r="L485" s="93">
        <f>L486+L490+L495</f>
        <v>0</v>
      </c>
      <c r="M485" s="93">
        <f>M486+M490+M495</f>
        <v>45661.548309999998</v>
      </c>
    </row>
    <row r="486" spans="1:13" s="90" customFormat="1" ht="37.5">
      <c r="A486" s="82"/>
      <c r="B486" s="91" t="s">
        <v>99</v>
      </c>
      <c r="C486" s="92" t="s">
        <v>344</v>
      </c>
      <c r="D486" s="81" t="s">
        <v>297</v>
      </c>
      <c r="E486" s="81" t="s">
        <v>138</v>
      </c>
      <c r="F486" s="705" t="s">
        <v>91</v>
      </c>
      <c r="G486" s="706" t="s">
        <v>82</v>
      </c>
      <c r="H486" s="706" t="s">
        <v>89</v>
      </c>
      <c r="I486" s="707" t="s">
        <v>100</v>
      </c>
      <c r="J486" s="81"/>
      <c r="K486" s="550">
        <f t="shared" ref="K486" si="132">K487+K488+K489</f>
        <v>8562.423020000002</v>
      </c>
      <c r="L486" s="93">
        <f t="shared" ref="L486:M486" si="133">L487+L488+L489</f>
        <v>0</v>
      </c>
      <c r="M486" s="93">
        <f t="shared" si="133"/>
        <v>8562.423020000002</v>
      </c>
    </row>
    <row r="487" spans="1:13" s="90" customFormat="1" ht="96" customHeight="1">
      <c r="A487" s="82"/>
      <c r="B487" s="463" t="s">
        <v>101</v>
      </c>
      <c r="C487" s="92" t="s">
        <v>344</v>
      </c>
      <c r="D487" s="81" t="s">
        <v>297</v>
      </c>
      <c r="E487" s="81" t="s">
        <v>138</v>
      </c>
      <c r="F487" s="705" t="s">
        <v>91</v>
      </c>
      <c r="G487" s="706" t="s">
        <v>82</v>
      </c>
      <c r="H487" s="706" t="s">
        <v>89</v>
      </c>
      <c r="I487" s="707" t="s">
        <v>100</v>
      </c>
      <c r="J487" s="81" t="s">
        <v>102</v>
      </c>
      <c r="K487" s="550">
        <v>7867.1</v>
      </c>
      <c r="L487" s="93">
        <f t="shared" ref="L487:L489" si="134">M487-K487</f>
        <v>0</v>
      </c>
      <c r="M487" s="93">
        <v>7867.1</v>
      </c>
    </row>
    <row r="488" spans="1:13" s="90" customFormat="1" ht="54.6" customHeight="1">
      <c r="A488" s="82"/>
      <c r="B488" s="463" t="s">
        <v>107</v>
      </c>
      <c r="C488" s="92" t="s">
        <v>344</v>
      </c>
      <c r="D488" s="81" t="s">
        <v>297</v>
      </c>
      <c r="E488" s="81" t="s">
        <v>138</v>
      </c>
      <c r="F488" s="705" t="s">
        <v>91</v>
      </c>
      <c r="G488" s="706" t="s">
        <v>82</v>
      </c>
      <c r="H488" s="706" t="s">
        <v>89</v>
      </c>
      <c r="I488" s="707" t="s">
        <v>100</v>
      </c>
      <c r="J488" s="81" t="s">
        <v>108</v>
      </c>
      <c r="K488" s="550">
        <f>627+50+0.12302</f>
        <v>677.12302</v>
      </c>
      <c r="L488" s="93">
        <f t="shared" si="134"/>
        <v>0</v>
      </c>
      <c r="M488" s="93">
        <f>627+50+0.12302</f>
        <v>677.12302</v>
      </c>
    </row>
    <row r="489" spans="1:13" s="90" customFormat="1" ht="18.75">
      <c r="A489" s="82"/>
      <c r="B489" s="91" t="s">
        <v>109</v>
      </c>
      <c r="C489" s="92" t="s">
        <v>344</v>
      </c>
      <c r="D489" s="81" t="s">
        <v>297</v>
      </c>
      <c r="E489" s="81" t="s">
        <v>138</v>
      </c>
      <c r="F489" s="705" t="s">
        <v>91</v>
      </c>
      <c r="G489" s="706" t="s">
        <v>82</v>
      </c>
      <c r="H489" s="706" t="s">
        <v>89</v>
      </c>
      <c r="I489" s="707" t="s">
        <v>100</v>
      </c>
      <c r="J489" s="81" t="s">
        <v>110</v>
      </c>
      <c r="K489" s="550">
        <v>18.2</v>
      </c>
      <c r="L489" s="93">
        <f t="shared" si="134"/>
        <v>0</v>
      </c>
      <c r="M489" s="93">
        <v>18.2</v>
      </c>
    </row>
    <row r="490" spans="1:13" s="90" customFormat="1" ht="79.900000000000006" customHeight="1">
      <c r="A490" s="82"/>
      <c r="B490" s="463" t="s">
        <v>150</v>
      </c>
      <c r="C490" s="92" t="s">
        <v>344</v>
      </c>
      <c r="D490" s="81" t="s">
        <v>297</v>
      </c>
      <c r="E490" s="81" t="s">
        <v>138</v>
      </c>
      <c r="F490" s="705" t="s">
        <v>91</v>
      </c>
      <c r="G490" s="706" t="s">
        <v>82</v>
      </c>
      <c r="H490" s="706" t="s">
        <v>89</v>
      </c>
      <c r="I490" s="707" t="s">
        <v>152</v>
      </c>
      <c r="J490" s="81"/>
      <c r="K490" s="550">
        <f>K491+K492+K493+K494</f>
        <v>31250.925289999999</v>
      </c>
      <c r="L490" s="93">
        <f>L491+L492+L493+L494</f>
        <v>0</v>
      </c>
      <c r="M490" s="93">
        <f>M491+M492+M493+M494</f>
        <v>31250.925289999999</v>
      </c>
    </row>
    <row r="491" spans="1:13" s="90" customFormat="1" ht="105.6" customHeight="1">
      <c r="A491" s="82"/>
      <c r="B491" s="463" t="s">
        <v>101</v>
      </c>
      <c r="C491" s="92" t="s">
        <v>344</v>
      </c>
      <c r="D491" s="81" t="s">
        <v>297</v>
      </c>
      <c r="E491" s="81" t="s">
        <v>138</v>
      </c>
      <c r="F491" s="705" t="s">
        <v>91</v>
      </c>
      <c r="G491" s="706" t="s">
        <v>82</v>
      </c>
      <c r="H491" s="706" t="s">
        <v>89</v>
      </c>
      <c r="I491" s="707" t="s">
        <v>152</v>
      </c>
      <c r="J491" s="81" t="s">
        <v>102</v>
      </c>
      <c r="K491" s="550">
        <v>24761.5</v>
      </c>
      <c r="L491" s="93">
        <f t="shared" ref="L491:L494" si="135">M491-K491</f>
        <v>0</v>
      </c>
      <c r="M491" s="93">
        <v>24761.5</v>
      </c>
    </row>
    <row r="492" spans="1:13" s="90" customFormat="1" ht="39.6" customHeight="1">
      <c r="A492" s="82"/>
      <c r="B492" s="463" t="s">
        <v>107</v>
      </c>
      <c r="C492" s="92" t="s">
        <v>344</v>
      </c>
      <c r="D492" s="81" t="s">
        <v>297</v>
      </c>
      <c r="E492" s="81" t="s">
        <v>138</v>
      </c>
      <c r="F492" s="705" t="s">
        <v>91</v>
      </c>
      <c r="G492" s="706" t="s">
        <v>82</v>
      </c>
      <c r="H492" s="706" t="s">
        <v>89</v>
      </c>
      <c r="I492" s="707" t="s">
        <v>152</v>
      </c>
      <c r="J492" s="81" t="s">
        <v>108</v>
      </c>
      <c r="K492" s="550">
        <f>2076.2+337+1.42529</f>
        <v>2414.6252899999999</v>
      </c>
      <c r="L492" s="93">
        <f t="shared" si="135"/>
        <v>0</v>
      </c>
      <c r="M492" s="93">
        <f>2076.2+337+1.42529</f>
        <v>2414.6252899999999</v>
      </c>
    </row>
    <row r="493" spans="1:13" s="90" customFormat="1" ht="56.25">
      <c r="A493" s="82"/>
      <c r="B493" s="91" t="s">
        <v>134</v>
      </c>
      <c r="C493" s="92" t="s">
        <v>344</v>
      </c>
      <c r="D493" s="81" t="s">
        <v>297</v>
      </c>
      <c r="E493" s="81" t="s">
        <v>138</v>
      </c>
      <c r="F493" s="705" t="s">
        <v>91</v>
      </c>
      <c r="G493" s="706" t="s">
        <v>82</v>
      </c>
      <c r="H493" s="706" t="s">
        <v>89</v>
      </c>
      <c r="I493" s="707" t="s">
        <v>152</v>
      </c>
      <c r="J493" s="81" t="s">
        <v>135</v>
      </c>
      <c r="K493" s="550">
        <f>1495.9+960+1589.4</f>
        <v>4045.3</v>
      </c>
      <c r="L493" s="93">
        <f>M493-K493</f>
        <v>0</v>
      </c>
      <c r="M493" s="93">
        <f>1495.9+960+1589.4</f>
        <v>4045.3</v>
      </c>
    </row>
    <row r="494" spans="1:13" s="90" customFormat="1" ht="18.75">
      <c r="A494" s="82"/>
      <c r="B494" s="91" t="s">
        <v>109</v>
      </c>
      <c r="C494" s="92" t="s">
        <v>344</v>
      </c>
      <c r="D494" s="81" t="s">
        <v>297</v>
      </c>
      <c r="E494" s="81" t="s">
        <v>138</v>
      </c>
      <c r="F494" s="705" t="s">
        <v>91</v>
      </c>
      <c r="G494" s="706" t="s">
        <v>82</v>
      </c>
      <c r="H494" s="706" t="s">
        <v>89</v>
      </c>
      <c r="I494" s="707" t="s">
        <v>152</v>
      </c>
      <c r="J494" s="81" t="s">
        <v>110</v>
      </c>
      <c r="K494" s="550">
        <v>29.5</v>
      </c>
      <c r="L494" s="93">
        <f t="shared" si="135"/>
        <v>0</v>
      </c>
      <c r="M494" s="93">
        <v>29.5</v>
      </c>
    </row>
    <row r="495" spans="1:13" s="90" customFormat="1" ht="131.25">
      <c r="A495" s="82"/>
      <c r="B495" s="91" t="s">
        <v>467</v>
      </c>
      <c r="C495" s="92" t="s">
        <v>344</v>
      </c>
      <c r="D495" s="81" t="s">
        <v>297</v>
      </c>
      <c r="E495" s="81" t="s">
        <v>138</v>
      </c>
      <c r="F495" s="705" t="s">
        <v>91</v>
      </c>
      <c r="G495" s="706" t="s">
        <v>82</v>
      </c>
      <c r="H495" s="706" t="s">
        <v>89</v>
      </c>
      <c r="I495" s="707" t="s">
        <v>348</v>
      </c>
      <c r="J495" s="81"/>
      <c r="K495" s="550">
        <f t="shared" ref="K495" si="136">K496+K497</f>
        <v>5848.2000000000007</v>
      </c>
      <c r="L495" s="93">
        <f t="shared" ref="L495:M495" si="137">L496+L497</f>
        <v>0</v>
      </c>
      <c r="M495" s="93">
        <f t="shared" si="137"/>
        <v>5848.2000000000007</v>
      </c>
    </row>
    <row r="496" spans="1:13" s="90" customFormat="1" ht="106.9" customHeight="1">
      <c r="A496" s="82"/>
      <c r="B496" s="91" t="s">
        <v>101</v>
      </c>
      <c r="C496" s="92" t="s">
        <v>344</v>
      </c>
      <c r="D496" s="81" t="s">
        <v>297</v>
      </c>
      <c r="E496" s="81" t="s">
        <v>138</v>
      </c>
      <c r="F496" s="705" t="s">
        <v>91</v>
      </c>
      <c r="G496" s="706" t="s">
        <v>82</v>
      </c>
      <c r="H496" s="706" t="s">
        <v>89</v>
      </c>
      <c r="I496" s="707" t="s">
        <v>348</v>
      </c>
      <c r="J496" s="81" t="s">
        <v>102</v>
      </c>
      <c r="K496" s="550">
        <v>5595.1</v>
      </c>
      <c r="L496" s="93">
        <f t="shared" ref="L496:L497" si="138">M496-K496</f>
        <v>0</v>
      </c>
      <c r="M496" s="93">
        <v>5595.1</v>
      </c>
    </row>
    <row r="497" spans="1:13" s="90" customFormat="1" ht="37.9" customHeight="1">
      <c r="A497" s="82"/>
      <c r="B497" s="91" t="s">
        <v>107</v>
      </c>
      <c r="C497" s="92" t="s">
        <v>344</v>
      </c>
      <c r="D497" s="81" t="s">
        <v>297</v>
      </c>
      <c r="E497" s="81" t="s">
        <v>138</v>
      </c>
      <c r="F497" s="705" t="s">
        <v>91</v>
      </c>
      <c r="G497" s="706" t="s">
        <v>82</v>
      </c>
      <c r="H497" s="706" t="s">
        <v>89</v>
      </c>
      <c r="I497" s="707" t="s">
        <v>348</v>
      </c>
      <c r="J497" s="81" t="s">
        <v>108</v>
      </c>
      <c r="K497" s="550">
        <f>60.5+107.6+85</f>
        <v>253.1</v>
      </c>
      <c r="L497" s="93">
        <f t="shared" si="138"/>
        <v>0</v>
      </c>
      <c r="M497" s="93">
        <f>60.5+107.6+85</f>
        <v>253.1</v>
      </c>
    </row>
    <row r="498" spans="1:13" s="90" customFormat="1" ht="18.75">
      <c r="A498" s="82"/>
      <c r="B498" s="98" t="s">
        <v>181</v>
      </c>
      <c r="C498" s="92" t="s">
        <v>344</v>
      </c>
      <c r="D498" s="81" t="s">
        <v>166</v>
      </c>
      <c r="E498" s="81"/>
      <c r="F498" s="705"/>
      <c r="G498" s="706"/>
      <c r="H498" s="706"/>
      <c r="I498" s="707"/>
      <c r="J498" s="81"/>
      <c r="K498" s="550">
        <f t="shared" ref="K498:M499" si="139">K499</f>
        <v>9069.2000000000007</v>
      </c>
      <c r="L498" s="93">
        <f t="shared" si="139"/>
        <v>0</v>
      </c>
      <c r="M498" s="93">
        <f t="shared" si="139"/>
        <v>9069.2000000000007</v>
      </c>
    </row>
    <row r="499" spans="1:13" s="90" customFormat="1" ht="18.75">
      <c r="A499" s="82"/>
      <c r="B499" s="98" t="s">
        <v>265</v>
      </c>
      <c r="C499" s="92" t="s">
        <v>344</v>
      </c>
      <c r="D499" s="81" t="s">
        <v>166</v>
      </c>
      <c r="E499" s="81" t="s">
        <v>104</v>
      </c>
      <c r="F499" s="705"/>
      <c r="G499" s="706"/>
      <c r="H499" s="706"/>
      <c r="I499" s="707"/>
      <c r="J499" s="81"/>
      <c r="K499" s="550">
        <f t="shared" si="139"/>
        <v>9069.2000000000007</v>
      </c>
      <c r="L499" s="93">
        <f t="shared" si="139"/>
        <v>0</v>
      </c>
      <c r="M499" s="93">
        <f t="shared" si="139"/>
        <v>9069.2000000000007</v>
      </c>
    </row>
    <row r="500" spans="1:13" s="90" customFormat="1" ht="56.25">
      <c r="A500" s="82"/>
      <c r="B500" s="91" t="s">
        <v>277</v>
      </c>
      <c r="C500" s="92" t="s">
        <v>344</v>
      </c>
      <c r="D500" s="81" t="s">
        <v>166</v>
      </c>
      <c r="E500" s="81" t="s">
        <v>104</v>
      </c>
      <c r="F500" s="705" t="s">
        <v>91</v>
      </c>
      <c r="G500" s="706" t="s">
        <v>94</v>
      </c>
      <c r="H500" s="706" t="s">
        <v>95</v>
      </c>
      <c r="I500" s="707" t="s">
        <v>96</v>
      </c>
      <c r="J500" s="81"/>
      <c r="K500" s="550">
        <f t="shared" ref="K500:M502" si="140">K501</f>
        <v>9069.2000000000007</v>
      </c>
      <c r="L500" s="93">
        <f t="shared" si="140"/>
        <v>0</v>
      </c>
      <c r="M500" s="93">
        <f t="shared" si="140"/>
        <v>9069.2000000000007</v>
      </c>
    </row>
    <row r="501" spans="1:13" s="90" customFormat="1" ht="37.5">
      <c r="A501" s="82"/>
      <c r="B501" s="91" t="s">
        <v>278</v>
      </c>
      <c r="C501" s="92" t="s">
        <v>344</v>
      </c>
      <c r="D501" s="81" t="s">
        <v>166</v>
      </c>
      <c r="E501" s="81" t="s">
        <v>104</v>
      </c>
      <c r="F501" s="705" t="s">
        <v>91</v>
      </c>
      <c r="G501" s="706" t="s">
        <v>97</v>
      </c>
      <c r="H501" s="706" t="s">
        <v>95</v>
      </c>
      <c r="I501" s="707" t="s">
        <v>96</v>
      </c>
      <c r="J501" s="81"/>
      <c r="K501" s="550">
        <f t="shared" si="140"/>
        <v>9069.2000000000007</v>
      </c>
      <c r="L501" s="93">
        <f t="shared" si="140"/>
        <v>0</v>
      </c>
      <c r="M501" s="93">
        <f t="shared" si="140"/>
        <v>9069.2000000000007</v>
      </c>
    </row>
    <row r="502" spans="1:13" s="90" customFormat="1" ht="37.5">
      <c r="A502" s="82"/>
      <c r="B502" s="91" t="s">
        <v>345</v>
      </c>
      <c r="C502" s="92" t="s">
        <v>344</v>
      </c>
      <c r="D502" s="81" t="s">
        <v>166</v>
      </c>
      <c r="E502" s="81" t="s">
        <v>104</v>
      </c>
      <c r="F502" s="705" t="s">
        <v>91</v>
      </c>
      <c r="G502" s="706" t="s">
        <v>97</v>
      </c>
      <c r="H502" s="706" t="s">
        <v>89</v>
      </c>
      <c r="I502" s="707" t="s">
        <v>96</v>
      </c>
      <c r="J502" s="81"/>
      <c r="K502" s="550">
        <f t="shared" si="140"/>
        <v>9069.2000000000007</v>
      </c>
      <c r="L502" s="93">
        <f t="shared" si="140"/>
        <v>0</v>
      </c>
      <c r="M502" s="93">
        <f t="shared" si="140"/>
        <v>9069.2000000000007</v>
      </c>
    </row>
    <row r="503" spans="1:13" s="90" customFormat="1" ht="131.25">
      <c r="A503" s="82"/>
      <c r="B503" s="91" t="s">
        <v>362</v>
      </c>
      <c r="C503" s="92" t="s">
        <v>344</v>
      </c>
      <c r="D503" s="81" t="s">
        <v>166</v>
      </c>
      <c r="E503" s="81" t="s">
        <v>104</v>
      </c>
      <c r="F503" s="705" t="s">
        <v>91</v>
      </c>
      <c r="G503" s="706" t="s">
        <v>97</v>
      </c>
      <c r="H503" s="706" t="s">
        <v>89</v>
      </c>
      <c r="I503" s="707" t="s">
        <v>363</v>
      </c>
      <c r="J503" s="81"/>
      <c r="K503" s="550">
        <f>K504+K505</f>
        <v>9069.2000000000007</v>
      </c>
      <c r="L503" s="93">
        <f>L504+L505</f>
        <v>0</v>
      </c>
      <c r="M503" s="93">
        <f>M504+M505</f>
        <v>9069.2000000000007</v>
      </c>
    </row>
    <row r="504" spans="1:13" s="90" customFormat="1" ht="54" customHeight="1">
      <c r="A504" s="82"/>
      <c r="B504" s="91" t="s">
        <v>107</v>
      </c>
      <c r="C504" s="92" t="s">
        <v>344</v>
      </c>
      <c r="D504" s="81" t="s">
        <v>166</v>
      </c>
      <c r="E504" s="81" t="s">
        <v>104</v>
      </c>
      <c r="F504" s="705" t="s">
        <v>91</v>
      </c>
      <c r="G504" s="706" t="s">
        <v>97</v>
      </c>
      <c r="H504" s="706" t="s">
        <v>89</v>
      </c>
      <c r="I504" s="707" t="s">
        <v>363</v>
      </c>
      <c r="J504" s="81" t="s">
        <v>108</v>
      </c>
      <c r="K504" s="550">
        <v>134</v>
      </c>
      <c r="L504" s="93">
        <f t="shared" ref="L504:L505" si="141">M504-K504</f>
        <v>0</v>
      </c>
      <c r="M504" s="93">
        <v>134</v>
      </c>
    </row>
    <row r="505" spans="1:13" s="90" customFormat="1" ht="37.5">
      <c r="A505" s="82"/>
      <c r="B505" s="97" t="s">
        <v>182</v>
      </c>
      <c r="C505" s="92" t="s">
        <v>344</v>
      </c>
      <c r="D505" s="81" t="s">
        <v>166</v>
      </c>
      <c r="E505" s="81" t="s">
        <v>104</v>
      </c>
      <c r="F505" s="705" t="s">
        <v>91</v>
      </c>
      <c r="G505" s="706" t="s">
        <v>97</v>
      </c>
      <c r="H505" s="706" t="s">
        <v>89</v>
      </c>
      <c r="I505" s="707" t="s">
        <v>363</v>
      </c>
      <c r="J505" s="81" t="s">
        <v>183</v>
      </c>
      <c r="K505" s="550">
        <v>8935.2000000000007</v>
      </c>
      <c r="L505" s="93">
        <f t="shared" si="141"/>
        <v>0</v>
      </c>
      <c r="M505" s="93">
        <v>8935.2000000000007</v>
      </c>
    </row>
    <row r="506" spans="1:13" ht="18.75">
      <c r="A506" s="82"/>
      <c r="B506" s="91"/>
      <c r="C506" s="125"/>
      <c r="D506" s="126"/>
      <c r="E506" s="126"/>
      <c r="F506" s="117"/>
      <c r="G506" s="122"/>
      <c r="H506" s="122"/>
      <c r="I506" s="127"/>
      <c r="J506" s="126"/>
      <c r="K506" s="550"/>
      <c r="L506" s="93"/>
      <c r="M506" s="93"/>
    </row>
    <row r="507" spans="1:13" s="90" customFormat="1" ht="56.25">
      <c r="A507" s="83">
        <v>6</v>
      </c>
      <c r="B507" s="128" t="s">
        <v>56</v>
      </c>
      <c r="C507" s="85" t="s">
        <v>418</v>
      </c>
      <c r="D507" s="86"/>
      <c r="E507" s="86"/>
      <c r="F507" s="87"/>
      <c r="G507" s="88"/>
      <c r="H507" s="88"/>
      <c r="I507" s="89"/>
      <c r="J507" s="86"/>
      <c r="K507" s="549">
        <f>K508+K529</f>
        <v>84927.800000000017</v>
      </c>
      <c r="L507" s="156">
        <f>L508+L529</f>
        <v>228.80000000000291</v>
      </c>
      <c r="M507" s="156">
        <f>M508+M529</f>
        <v>85156.6</v>
      </c>
    </row>
    <row r="508" spans="1:13" s="94" customFormat="1" ht="18.75">
      <c r="A508" s="82"/>
      <c r="B508" s="99" t="s">
        <v>247</v>
      </c>
      <c r="C508" s="92" t="s">
        <v>418</v>
      </c>
      <c r="D508" s="81" t="s">
        <v>297</v>
      </c>
      <c r="E508" s="81"/>
      <c r="F508" s="705"/>
      <c r="G508" s="706"/>
      <c r="H508" s="706"/>
      <c r="I508" s="707"/>
      <c r="J508" s="81"/>
      <c r="K508" s="550">
        <f>K509+K523+K517</f>
        <v>51153.400000000009</v>
      </c>
      <c r="L508" s="93">
        <f>L509+L523+L517</f>
        <v>81.80000000000291</v>
      </c>
      <c r="M508" s="93">
        <f>M509+M523+M517</f>
        <v>51235.200000000012</v>
      </c>
    </row>
    <row r="509" spans="1:13" s="95" customFormat="1" ht="18.75">
      <c r="A509" s="82"/>
      <c r="B509" s="99" t="s">
        <v>481</v>
      </c>
      <c r="C509" s="92" t="s">
        <v>418</v>
      </c>
      <c r="D509" s="81" t="s">
        <v>297</v>
      </c>
      <c r="E509" s="81" t="s">
        <v>118</v>
      </c>
      <c r="F509" s="705"/>
      <c r="G509" s="706"/>
      <c r="H509" s="706"/>
      <c r="I509" s="707"/>
      <c r="J509" s="81"/>
      <c r="K509" s="550">
        <f t="shared" ref="K509:M510" si="142">K510</f>
        <v>50703.400000000009</v>
      </c>
      <c r="L509" s="93">
        <f>L510</f>
        <v>81.80000000000291</v>
      </c>
      <c r="M509" s="93">
        <f t="shared" si="142"/>
        <v>50785.200000000012</v>
      </c>
    </row>
    <row r="510" spans="1:13" s="95" customFormat="1" ht="56.25">
      <c r="A510" s="82"/>
      <c r="B510" s="99" t="s">
        <v>286</v>
      </c>
      <c r="C510" s="92" t="s">
        <v>418</v>
      </c>
      <c r="D510" s="81" t="s">
        <v>297</v>
      </c>
      <c r="E510" s="81" t="s">
        <v>118</v>
      </c>
      <c r="F510" s="705" t="s">
        <v>118</v>
      </c>
      <c r="G510" s="706" t="s">
        <v>94</v>
      </c>
      <c r="H510" s="706" t="s">
        <v>95</v>
      </c>
      <c r="I510" s="707" t="s">
        <v>96</v>
      </c>
      <c r="J510" s="81"/>
      <c r="K510" s="550">
        <f t="shared" si="142"/>
        <v>50703.400000000009</v>
      </c>
      <c r="L510" s="93">
        <f>L511</f>
        <v>81.80000000000291</v>
      </c>
      <c r="M510" s="93">
        <f t="shared" si="142"/>
        <v>50785.200000000012</v>
      </c>
    </row>
    <row r="511" spans="1:13" s="95" customFormat="1" ht="75">
      <c r="A511" s="82"/>
      <c r="B511" s="99" t="s">
        <v>287</v>
      </c>
      <c r="C511" s="92" t="s">
        <v>418</v>
      </c>
      <c r="D511" s="81" t="s">
        <v>297</v>
      </c>
      <c r="E511" s="81" t="s">
        <v>118</v>
      </c>
      <c r="F511" s="705" t="s">
        <v>118</v>
      </c>
      <c r="G511" s="706" t="s">
        <v>97</v>
      </c>
      <c r="H511" s="706" t="s">
        <v>95</v>
      </c>
      <c r="I511" s="707" t="s">
        <v>96</v>
      </c>
      <c r="J511" s="81"/>
      <c r="K511" s="550">
        <f>K512</f>
        <v>50703.400000000009</v>
      </c>
      <c r="L511" s="93">
        <f>L512</f>
        <v>81.80000000000291</v>
      </c>
      <c r="M511" s="93">
        <f>M512</f>
        <v>50785.200000000012</v>
      </c>
    </row>
    <row r="512" spans="1:13" s="95" customFormat="1" ht="37.5">
      <c r="A512" s="82"/>
      <c r="B512" s="99" t="s">
        <v>355</v>
      </c>
      <c r="C512" s="92" t="s">
        <v>418</v>
      </c>
      <c r="D512" s="81" t="s">
        <v>297</v>
      </c>
      <c r="E512" s="81" t="s">
        <v>118</v>
      </c>
      <c r="F512" s="705" t="s">
        <v>118</v>
      </c>
      <c r="G512" s="706" t="s">
        <v>97</v>
      </c>
      <c r="H512" s="706" t="s">
        <v>89</v>
      </c>
      <c r="I512" s="707" t="s">
        <v>96</v>
      </c>
      <c r="J512" s="81"/>
      <c r="K512" s="550">
        <f>K513+K515</f>
        <v>50703.400000000009</v>
      </c>
      <c r="L512" s="93">
        <f>L513+L515</f>
        <v>81.80000000000291</v>
      </c>
      <c r="M512" s="93">
        <f>M513+M515</f>
        <v>50785.200000000012</v>
      </c>
    </row>
    <row r="513" spans="1:13" s="95" customFormat="1" ht="72.599999999999994" customHeight="1">
      <c r="A513" s="82"/>
      <c r="B513" s="96" t="s">
        <v>419</v>
      </c>
      <c r="C513" s="92" t="s">
        <v>418</v>
      </c>
      <c r="D513" s="81" t="s">
        <v>297</v>
      </c>
      <c r="E513" s="81" t="s">
        <v>118</v>
      </c>
      <c r="F513" s="705" t="s">
        <v>118</v>
      </c>
      <c r="G513" s="706" t="s">
        <v>97</v>
      </c>
      <c r="H513" s="706" t="s">
        <v>89</v>
      </c>
      <c r="I513" s="707" t="s">
        <v>152</v>
      </c>
      <c r="J513" s="81"/>
      <c r="K513" s="550">
        <f t="shared" ref="K513:M513" si="143">K514</f>
        <v>50036.500000000007</v>
      </c>
      <c r="L513" s="93">
        <f>L514</f>
        <v>56.80000000000291</v>
      </c>
      <c r="M513" s="93">
        <f t="shared" si="143"/>
        <v>50093.30000000001</v>
      </c>
    </row>
    <row r="514" spans="1:13" s="94" customFormat="1" ht="56.25">
      <c r="A514" s="82"/>
      <c r="B514" s="97" t="s">
        <v>134</v>
      </c>
      <c r="C514" s="92" t="s">
        <v>418</v>
      </c>
      <c r="D514" s="81" t="s">
        <v>297</v>
      </c>
      <c r="E514" s="81" t="s">
        <v>118</v>
      </c>
      <c r="F514" s="705" t="s">
        <v>118</v>
      </c>
      <c r="G514" s="706" t="s">
        <v>97</v>
      </c>
      <c r="H514" s="706" t="s">
        <v>89</v>
      </c>
      <c r="I514" s="707" t="s">
        <v>152</v>
      </c>
      <c r="J514" s="81" t="s">
        <v>135</v>
      </c>
      <c r="K514" s="550">
        <f>49157.4+712.3+95.9+70.9</f>
        <v>50036.500000000007</v>
      </c>
      <c r="L514" s="93">
        <f>M514-K514</f>
        <v>56.80000000000291</v>
      </c>
      <c r="M514" s="93">
        <f>49157.4+712.3+95.9+70.9+56.8</f>
        <v>50093.30000000001</v>
      </c>
    </row>
    <row r="515" spans="1:13" s="94" customFormat="1" ht="37.5">
      <c r="A515" s="82"/>
      <c r="B515" s="97" t="s">
        <v>420</v>
      </c>
      <c r="C515" s="92" t="s">
        <v>418</v>
      </c>
      <c r="D515" s="81" t="s">
        <v>297</v>
      </c>
      <c r="E515" s="81" t="s">
        <v>118</v>
      </c>
      <c r="F515" s="705" t="s">
        <v>118</v>
      </c>
      <c r="G515" s="706" t="s">
        <v>97</v>
      </c>
      <c r="H515" s="706" t="s">
        <v>89</v>
      </c>
      <c r="I515" s="707" t="s">
        <v>421</v>
      </c>
      <c r="J515" s="81"/>
      <c r="K515" s="550">
        <f t="shared" ref="K515:M515" si="144">K516</f>
        <v>666.9</v>
      </c>
      <c r="L515" s="93">
        <f>L516</f>
        <v>25</v>
      </c>
      <c r="M515" s="93">
        <f t="shared" si="144"/>
        <v>691.9</v>
      </c>
    </row>
    <row r="516" spans="1:13" s="94" customFormat="1" ht="56.25">
      <c r="A516" s="82"/>
      <c r="B516" s="91" t="s">
        <v>134</v>
      </c>
      <c r="C516" s="92" t="s">
        <v>418</v>
      </c>
      <c r="D516" s="81" t="s">
        <v>297</v>
      </c>
      <c r="E516" s="81" t="s">
        <v>118</v>
      </c>
      <c r="F516" s="705" t="s">
        <v>118</v>
      </c>
      <c r="G516" s="706" t="s">
        <v>97</v>
      </c>
      <c r="H516" s="706" t="s">
        <v>89</v>
      </c>
      <c r="I516" s="707" t="s">
        <v>421</v>
      </c>
      <c r="J516" s="81" t="s">
        <v>135</v>
      </c>
      <c r="K516" s="550">
        <f>269.4+100-70.9+368.4</f>
        <v>666.9</v>
      </c>
      <c r="L516" s="93">
        <f>M516-K516</f>
        <v>25</v>
      </c>
      <c r="M516" s="93">
        <f>269.4+100-70.9+368.4+25</f>
        <v>691.9</v>
      </c>
    </row>
    <row r="517" spans="1:13" s="94" customFormat="1" ht="18.75">
      <c r="A517" s="82"/>
      <c r="B517" s="91" t="s">
        <v>482</v>
      </c>
      <c r="C517" s="92" t="s">
        <v>418</v>
      </c>
      <c r="D517" s="81" t="s">
        <v>297</v>
      </c>
      <c r="E517" s="81" t="s">
        <v>297</v>
      </c>
      <c r="F517" s="705"/>
      <c r="G517" s="706"/>
      <c r="H517" s="706"/>
      <c r="I517" s="707"/>
      <c r="J517" s="81"/>
      <c r="K517" s="550">
        <f t="shared" ref="K517:M521" si="145">K518</f>
        <v>270</v>
      </c>
      <c r="L517" s="93">
        <f>L518</f>
        <v>0</v>
      </c>
      <c r="M517" s="93">
        <f t="shared" si="145"/>
        <v>270</v>
      </c>
    </row>
    <row r="518" spans="1:13" s="94" customFormat="1" ht="56.25">
      <c r="A518" s="82"/>
      <c r="B518" s="91" t="s">
        <v>286</v>
      </c>
      <c r="C518" s="92" t="s">
        <v>418</v>
      </c>
      <c r="D518" s="81" t="s">
        <v>297</v>
      </c>
      <c r="E518" s="81" t="s">
        <v>297</v>
      </c>
      <c r="F518" s="705" t="s">
        <v>118</v>
      </c>
      <c r="G518" s="706" t="s">
        <v>94</v>
      </c>
      <c r="H518" s="706" t="s">
        <v>95</v>
      </c>
      <c r="I518" s="707" t="s">
        <v>96</v>
      </c>
      <c r="J518" s="81"/>
      <c r="K518" s="550">
        <f t="shared" si="145"/>
        <v>270</v>
      </c>
      <c r="L518" s="93">
        <f>L519</f>
        <v>0</v>
      </c>
      <c r="M518" s="93">
        <f t="shared" si="145"/>
        <v>270</v>
      </c>
    </row>
    <row r="519" spans="1:13" s="94" customFormat="1" ht="75">
      <c r="A519" s="82"/>
      <c r="B519" s="91" t="s">
        <v>287</v>
      </c>
      <c r="C519" s="92" t="s">
        <v>418</v>
      </c>
      <c r="D519" s="81" t="s">
        <v>297</v>
      </c>
      <c r="E519" s="81" t="s">
        <v>297</v>
      </c>
      <c r="F519" s="705" t="s">
        <v>118</v>
      </c>
      <c r="G519" s="706" t="s">
        <v>97</v>
      </c>
      <c r="H519" s="706" t="s">
        <v>95</v>
      </c>
      <c r="I519" s="707" t="s">
        <v>96</v>
      </c>
      <c r="J519" s="81"/>
      <c r="K519" s="550">
        <f t="shared" si="145"/>
        <v>270</v>
      </c>
      <c r="L519" s="93">
        <f>L520</f>
        <v>0</v>
      </c>
      <c r="M519" s="93">
        <f t="shared" si="145"/>
        <v>270</v>
      </c>
    </row>
    <row r="520" spans="1:13" s="94" customFormat="1" ht="36" customHeight="1">
      <c r="A520" s="82"/>
      <c r="B520" s="99" t="s">
        <v>360</v>
      </c>
      <c r="C520" s="92" t="s">
        <v>418</v>
      </c>
      <c r="D520" s="81" t="s">
        <v>297</v>
      </c>
      <c r="E520" s="81" t="s">
        <v>297</v>
      </c>
      <c r="F520" s="705" t="s">
        <v>118</v>
      </c>
      <c r="G520" s="706" t="s">
        <v>97</v>
      </c>
      <c r="H520" s="706" t="s">
        <v>120</v>
      </c>
      <c r="I520" s="707" t="s">
        <v>96</v>
      </c>
      <c r="J520" s="81"/>
      <c r="K520" s="550">
        <f t="shared" si="145"/>
        <v>270</v>
      </c>
      <c r="L520" s="93">
        <f>L521</f>
        <v>0</v>
      </c>
      <c r="M520" s="93">
        <f t="shared" si="145"/>
        <v>270</v>
      </c>
    </row>
    <row r="521" spans="1:13" s="94" customFormat="1" ht="37.5">
      <c r="A521" s="82"/>
      <c r="B521" s="98" t="s">
        <v>709</v>
      </c>
      <c r="C521" s="92" t="s">
        <v>418</v>
      </c>
      <c r="D521" s="81" t="s">
        <v>297</v>
      </c>
      <c r="E521" s="81" t="s">
        <v>297</v>
      </c>
      <c r="F521" s="705" t="s">
        <v>118</v>
      </c>
      <c r="G521" s="706" t="s">
        <v>97</v>
      </c>
      <c r="H521" s="706" t="s">
        <v>120</v>
      </c>
      <c r="I521" s="707" t="s">
        <v>708</v>
      </c>
      <c r="J521" s="81"/>
      <c r="K521" s="550">
        <f t="shared" si="145"/>
        <v>270</v>
      </c>
      <c r="L521" s="93">
        <f>L522</f>
        <v>0</v>
      </c>
      <c r="M521" s="93">
        <f t="shared" si="145"/>
        <v>270</v>
      </c>
    </row>
    <row r="522" spans="1:13" s="94" customFormat="1" ht="56.25">
      <c r="A522" s="82"/>
      <c r="B522" s="97" t="s">
        <v>134</v>
      </c>
      <c r="C522" s="92" t="s">
        <v>418</v>
      </c>
      <c r="D522" s="81" t="s">
        <v>297</v>
      </c>
      <c r="E522" s="81" t="s">
        <v>297</v>
      </c>
      <c r="F522" s="705" t="s">
        <v>118</v>
      </c>
      <c r="G522" s="706" t="s">
        <v>97</v>
      </c>
      <c r="H522" s="706" t="s">
        <v>120</v>
      </c>
      <c r="I522" s="707" t="s">
        <v>708</v>
      </c>
      <c r="J522" s="81" t="s">
        <v>135</v>
      </c>
      <c r="K522" s="550">
        <v>270</v>
      </c>
      <c r="L522" s="93">
        <f>M522-K522</f>
        <v>0</v>
      </c>
      <c r="M522" s="93">
        <v>270</v>
      </c>
    </row>
    <row r="523" spans="1:13" s="94" customFormat="1" ht="18.75">
      <c r="A523" s="82"/>
      <c r="B523" s="91" t="s">
        <v>254</v>
      </c>
      <c r="C523" s="92" t="s">
        <v>418</v>
      </c>
      <c r="D523" s="81" t="s">
        <v>297</v>
      </c>
      <c r="E523" s="81" t="s">
        <v>138</v>
      </c>
      <c r="F523" s="705"/>
      <c r="G523" s="706"/>
      <c r="H523" s="706"/>
      <c r="I523" s="707"/>
      <c r="J523" s="81"/>
      <c r="K523" s="550">
        <f t="shared" ref="K523:M527" si="146">K524</f>
        <v>180</v>
      </c>
      <c r="L523" s="93">
        <f>L524</f>
        <v>0</v>
      </c>
      <c r="M523" s="93">
        <f t="shared" si="146"/>
        <v>180</v>
      </c>
    </row>
    <row r="524" spans="1:13" s="94" customFormat="1" ht="56.25">
      <c r="A524" s="82"/>
      <c r="B524" s="99" t="s">
        <v>286</v>
      </c>
      <c r="C524" s="92" t="s">
        <v>418</v>
      </c>
      <c r="D524" s="81" t="s">
        <v>297</v>
      </c>
      <c r="E524" s="81" t="s">
        <v>138</v>
      </c>
      <c r="F524" s="705" t="s">
        <v>118</v>
      </c>
      <c r="G524" s="706" t="s">
        <v>94</v>
      </c>
      <c r="H524" s="706" t="s">
        <v>95</v>
      </c>
      <c r="I524" s="707" t="s">
        <v>96</v>
      </c>
      <c r="J524" s="81"/>
      <c r="K524" s="550">
        <f t="shared" si="146"/>
        <v>180</v>
      </c>
      <c r="L524" s="93">
        <f>L525</f>
        <v>0</v>
      </c>
      <c r="M524" s="93">
        <f t="shared" si="146"/>
        <v>180</v>
      </c>
    </row>
    <row r="525" spans="1:13" s="94" customFormat="1" ht="75">
      <c r="A525" s="82"/>
      <c r="B525" s="99" t="s">
        <v>287</v>
      </c>
      <c r="C525" s="92" t="s">
        <v>418</v>
      </c>
      <c r="D525" s="81" t="s">
        <v>297</v>
      </c>
      <c r="E525" s="81" t="s">
        <v>138</v>
      </c>
      <c r="F525" s="705" t="s">
        <v>118</v>
      </c>
      <c r="G525" s="706" t="s">
        <v>97</v>
      </c>
      <c r="H525" s="706" t="s">
        <v>95</v>
      </c>
      <c r="I525" s="707" t="s">
        <v>96</v>
      </c>
      <c r="J525" s="81"/>
      <c r="K525" s="550">
        <f t="shared" si="146"/>
        <v>180</v>
      </c>
      <c r="L525" s="93">
        <f>L526</f>
        <v>0</v>
      </c>
      <c r="M525" s="93">
        <f t="shared" si="146"/>
        <v>180</v>
      </c>
    </row>
    <row r="526" spans="1:13" s="94" customFormat="1" ht="18.75">
      <c r="A526" s="82"/>
      <c r="B526" s="97" t="s">
        <v>356</v>
      </c>
      <c r="C526" s="92" t="s">
        <v>418</v>
      </c>
      <c r="D526" s="81" t="s">
        <v>297</v>
      </c>
      <c r="E526" s="81" t="s">
        <v>138</v>
      </c>
      <c r="F526" s="705" t="s">
        <v>118</v>
      </c>
      <c r="G526" s="706" t="s">
        <v>97</v>
      </c>
      <c r="H526" s="706" t="s">
        <v>91</v>
      </c>
      <c r="I526" s="707" t="s">
        <v>96</v>
      </c>
      <c r="J526" s="81"/>
      <c r="K526" s="550">
        <f t="shared" si="146"/>
        <v>180</v>
      </c>
      <c r="L526" s="93">
        <f>L527</f>
        <v>0</v>
      </c>
      <c r="M526" s="93">
        <f t="shared" si="146"/>
        <v>180</v>
      </c>
    </row>
    <row r="527" spans="1:13" s="94" customFormat="1" ht="56.25">
      <c r="A527" s="82"/>
      <c r="B527" s="97" t="s">
        <v>284</v>
      </c>
      <c r="C527" s="92" t="s">
        <v>418</v>
      </c>
      <c r="D527" s="81" t="s">
        <v>297</v>
      </c>
      <c r="E527" s="81" t="s">
        <v>138</v>
      </c>
      <c r="F527" s="705" t="s">
        <v>118</v>
      </c>
      <c r="G527" s="706" t="s">
        <v>97</v>
      </c>
      <c r="H527" s="706" t="s">
        <v>91</v>
      </c>
      <c r="I527" s="707" t="s">
        <v>358</v>
      </c>
      <c r="J527" s="81"/>
      <c r="K527" s="550">
        <f t="shared" si="146"/>
        <v>180</v>
      </c>
      <c r="L527" s="93">
        <f>L528</f>
        <v>0</v>
      </c>
      <c r="M527" s="93">
        <f t="shared" si="146"/>
        <v>180</v>
      </c>
    </row>
    <row r="528" spans="1:13" s="94" customFormat="1" ht="37.5">
      <c r="A528" s="82"/>
      <c r="B528" s="97" t="s">
        <v>182</v>
      </c>
      <c r="C528" s="92" t="s">
        <v>418</v>
      </c>
      <c r="D528" s="81" t="s">
        <v>297</v>
      </c>
      <c r="E528" s="81" t="s">
        <v>138</v>
      </c>
      <c r="F528" s="705" t="s">
        <v>118</v>
      </c>
      <c r="G528" s="706" t="s">
        <v>97</v>
      </c>
      <c r="H528" s="706" t="s">
        <v>91</v>
      </c>
      <c r="I528" s="707" t="s">
        <v>358</v>
      </c>
      <c r="J528" s="81" t="s">
        <v>183</v>
      </c>
      <c r="K528" s="550">
        <v>180</v>
      </c>
      <c r="L528" s="93">
        <f>M528-K528</f>
        <v>0</v>
      </c>
      <c r="M528" s="93">
        <v>180</v>
      </c>
    </row>
    <row r="529" spans="1:13" s="94" customFormat="1" ht="18.75">
      <c r="A529" s="82"/>
      <c r="B529" s="91" t="s">
        <v>256</v>
      </c>
      <c r="C529" s="92" t="s">
        <v>418</v>
      </c>
      <c r="D529" s="81" t="s">
        <v>299</v>
      </c>
      <c r="E529" s="81"/>
      <c r="F529" s="705"/>
      <c r="G529" s="706"/>
      <c r="H529" s="706"/>
      <c r="I529" s="707"/>
      <c r="J529" s="81"/>
      <c r="K529" s="550">
        <f>K530+K558</f>
        <v>33774.400000000001</v>
      </c>
      <c r="L529" s="93">
        <f>L530+L558</f>
        <v>147</v>
      </c>
      <c r="M529" s="93">
        <f>M530+M558</f>
        <v>33921.4</v>
      </c>
    </row>
    <row r="530" spans="1:13" s="94" customFormat="1" ht="18.75">
      <c r="A530" s="82"/>
      <c r="B530" s="91" t="s">
        <v>258</v>
      </c>
      <c r="C530" s="92" t="s">
        <v>418</v>
      </c>
      <c r="D530" s="81" t="s">
        <v>299</v>
      </c>
      <c r="E530" s="81" t="s">
        <v>89</v>
      </c>
      <c r="F530" s="705"/>
      <c r="G530" s="706"/>
      <c r="H530" s="706"/>
      <c r="I530" s="707"/>
      <c r="J530" s="81"/>
      <c r="K530" s="550">
        <f>K531+K553</f>
        <v>23957.200000000001</v>
      </c>
      <c r="L530" s="93">
        <f>L531+L553</f>
        <v>57</v>
      </c>
      <c r="M530" s="93">
        <f>M531+M553</f>
        <v>24014.2</v>
      </c>
    </row>
    <row r="531" spans="1:13" s="94" customFormat="1" ht="56.25">
      <c r="A531" s="82"/>
      <c r="B531" s="99" t="s">
        <v>286</v>
      </c>
      <c r="C531" s="92" t="s">
        <v>418</v>
      </c>
      <c r="D531" s="81" t="s">
        <v>299</v>
      </c>
      <c r="E531" s="81" t="s">
        <v>89</v>
      </c>
      <c r="F531" s="705" t="s">
        <v>118</v>
      </c>
      <c r="G531" s="706" t="s">
        <v>94</v>
      </c>
      <c r="H531" s="706" t="s">
        <v>95</v>
      </c>
      <c r="I531" s="707" t="s">
        <v>96</v>
      </c>
      <c r="J531" s="81"/>
      <c r="K531" s="550">
        <f>K532+K547</f>
        <v>23557.200000000001</v>
      </c>
      <c r="L531" s="93">
        <f>L532+L547</f>
        <v>0</v>
      </c>
      <c r="M531" s="93">
        <f>M532+M547</f>
        <v>23557.200000000001</v>
      </c>
    </row>
    <row r="532" spans="1:13" s="78" customFormat="1" ht="75">
      <c r="A532" s="82"/>
      <c r="B532" s="99" t="s">
        <v>287</v>
      </c>
      <c r="C532" s="92" t="s">
        <v>418</v>
      </c>
      <c r="D532" s="81" t="s">
        <v>299</v>
      </c>
      <c r="E532" s="81" t="s">
        <v>89</v>
      </c>
      <c r="F532" s="117" t="s">
        <v>118</v>
      </c>
      <c r="G532" s="122" t="s">
        <v>97</v>
      </c>
      <c r="H532" s="122" t="s">
        <v>95</v>
      </c>
      <c r="I532" s="127" t="s">
        <v>96</v>
      </c>
      <c r="J532" s="126"/>
      <c r="K532" s="550">
        <f>K533+K542</f>
        <v>23497.200000000001</v>
      </c>
      <c r="L532" s="93">
        <f>L533+L542</f>
        <v>0</v>
      </c>
      <c r="M532" s="93">
        <f>M533+M542</f>
        <v>23497.200000000001</v>
      </c>
    </row>
    <row r="533" spans="1:13" s="78" customFormat="1" ht="18.75">
      <c r="A533" s="82"/>
      <c r="B533" s="91" t="s">
        <v>422</v>
      </c>
      <c r="C533" s="92" t="s">
        <v>418</v>
      </c>
      <c r="D533" s="81" t="s">
        <v>299</v>
      </c>
      <c r="E533" s="81" t="s">
        <v>89</v>
      </c>
      <c r="F533" s="117" t="s">
        <v>118</v>
      </c>
      <c r="G533" s="122" t="s">
        <v>97</v>
      </c>
      <c r="H533" s="122" t="s">
        <v>118</v>
      </c>
      <c r="I533" s="127" t="s">
        <v>96</v>
      </c>
      <c r="J533" s="126"/>
      <c r="K533" s="550">
        <f>K534+K536+K538+K540</f>
        <v>11442.400000000001</v>
      </c>
      <c r="L533" s="93">
        <f>L534+L536+L538+L540</f>
        <v>-922.39999999999964</v>
      </c>
      <c r="M533" s="93">
        <f>M534+M536+M538+M540</f>
        <v>10520.000000000002</v>
      </c>
    </row>
    <row r="534" spans="1:13" s="78" customFormat="1" ht="72.599999999999994" customHeight="1">
      <c r="A534" s="82"/>
      <c r="B534" s="96" t="s">
        <v>423</v>
      </c>
      <c r="C534" s="92" t="s">
        <v>418</v>
      </c>
      <c r="D534" s="81" t="s">
        <v>299</v>
      </c>
      <c r="E534" s="81" t="s">
        <v>89</v>
      </c>
      <c r="F534" s="117" t="s">
        <v>118</v>
      </c>
      <c r="G534" s="122" t="s">
        <v>97</v>
      </c>
      <c r="H534" s="122" t="s">
        <v>118</v>
      </c>
      <c r="I534" s="127" t="s">
        <v>152</v>
      </c>
      <c r="J534" s="126"/>
      <c r="K534" s="550">
        <f t="shared" ref="K534:M534" si="147">K535</f>
        <v>10638.1</v>
      </c>
      <c r="L534" s="93">
        <f>L535</f>
        <v>-922.39999999999964</v>
      </c>
      <c r="M534" s="93">
        <f t="shared" si="147"/>
        <v>9715.7000000000007</v>
      </c>
    </row>
    <row r="535" spans="1:13" s="94" customFormat="1" ht="56.25">
      <c r="A535" s="82"/>
      <c r="B535" s="97" t="s">
        <v>134</v>
      </c>
      <c r="C535" s="92" t="s">
        <v>418</v>
      </c>
      <c r="D535" s="81" t="s">
        <v>299</v>
      </c>
      <c r="E535" s="81" t="s">
        <v>89</v>
      </c>
      <c r="F535" s="705" t="s">
        <v>118</v>
      </c>
      <c r="G535" s="706" t="s">
        <v>97</v>
      </c>
      <c r="H535" s="706" t="s">
        <v>118</v>
      </c>
      <c r="I535" s="707" t="s">
        <v>152</v>
      </c>
      <c r="J535" s="81" t="s">
        <v>135</v>
      </c>
      <c r="K535" s="550">
        <f>11185.9-97.6+38.2-512.3+23.9</f>
        <v>10638.1</v>
      </c>
      <c r="L535" s="93">
        <f>M535-K535</f>
        <v>-922.39999999999964</v>
      </c>
      <c r="M535" s="93">
        <f>11185.9-97.6+38.2-512.3+23.9-945.5+23.1</f>
        <v>9715.7000000000007</v>
      </c>
    </row>
    <row r="536" spans="1:13" s="78" customFormat="1" ht="37.5">
      <c r="A536" s="82"/>
      <c r="B536" s="97" t="s">
        <v>420</v>
      </c>
      <c r="C536" s="92" t="s">
        <v>418</v>
      </c>
      <c r="D536" s="81" t="s">
        <v>299</v>
      </c>
      <c r="E536" s="81" t="s">
        <v>89</v>
      </c>
      <c r="F536" s="117" t="s">
        <v>118</v>
      </c>
      <c r="G536" s="122" t="s">
        <v>97</v>
      </c>
      <c r="H536" s="122" t="s">
        <v>118</v>
      </c>
      <c r="I536" s="127" t="s">
        <v>421</v>
      </c>
      <c r="J536" s="126"/>
      <c r="K536" s="550">
        <f>K537</f>
        <v>297.45699999999999</v>
      </c>
      <c r="L536" s="93">
        <f>L537</f>
        <v>0</v>
      </c>
      <c r="M536" s="93">
        <f>M537</f>
        <v>297.45699999999999</v>
      </c>
    </row>
    <row r="537" spans="1:13" s="78" customFormat="1" ht="56.25">
      <c r="A537" s="82"/>
      <c r="B537" s="97" t="s">
        <v>134</v>
      </c>
      <c r="C537" s="92" t="s">
        <v>418</v>
      </c>
      <c r="D537" s="81" t="s">
        <v>299</v>
      </c>
      <c r="E537" s="81" t="s">
        <v>89</v>
      </c>
      <c r="F537" s="117" t="s">
        <v>118</v>
      </c>
      <c r="G537" s="122" t="s">
        <v>97</v>
      </c>
      <c r="H537" s="122" t="s">
        <v>118</v>
      </c>
      <c r="I537" s="127" t="s">
        <v>421</v>
      </c>
      <c r="J537" s="126" t="s">
        <v>135</v>
      </c>
      <c r="K537" s="550">
        <f>300.8-3.343</f>
        <v>297.45699999999999</v>
      </c>
      <c r="L537" s="93">
        <f>M537-K537</f>
        <v>0</v>
      </c>
      <c r="M537" s="93">
        <f>300.8-3.343</f>
        <v>297.45699999999999</v>
      </c>
    </row>
    <row r="538" spans="1:13" s="94" customFormat="1" ht="56.25">
      <c r="A538" s="82"/>
      <c r="B538" s="97" t="s">
        <v>288</v>
      </c>
      <c r="C538" s="92" t="s">
        <v>418</v>
      </c>
      <c r="D538" s="81" t="s">
        <v>299</v>
      </c>
      <c r="E538" s="81" t="s">
        <v>89</v>
      </c>
      <c r="F538" s="705" t="s">
        <v>118</v>
      </c>
      <c r="G538" s="706" t="s">
        <v>97</v>
      </c>
      <c r="H538" s="706" t="s">
        <v>118</v>
      </c>
      <c r="I538" s="707" t="s">
        <v>424</v>
      </c>
      <c r="J538" s="81"/>
      <c r="K538" s="550">
        <f>K539</f>
        <v>440</v>
      </c>
      <c r="L538" s="93">
        <f>L539</f>
        <v>0</v>
      </c>
      <c r="M538" s="93">
        <f>M539</f>
        <v>440</v>
      </c>
    </row>
    <row r="539" spans="1:13" s="78" customFormat="1" ht="56.25">
      <c r="A539" s="82"/>
      <c r="B539" s="97" t="s">
        <v>134</v>
      </c>
      <c r="C539" s="92" t="s">
        <v>418</v>
      </c>
      <c r="D539" s="81" t="s">
        <v>299</v>
      </c>
      <c r="E539" s="81" t="s">
        <v>89</v>
      </c>
      <c r="F539" s="705" t="s">
        <v>118</v>
      </c>
      <c r="G539" s="706" t="s">
        <v>97</v>
      </c>
      <c r="H539" s="706" t="s">
        <v>118</v>
      </c>
      <c r="I539" s="707" t="s">
        <v>424</v>
      </c>
      <c r="J539" s="81" t="s">
        <v>135</v>
      </c>
      <c r="K539" s="550">
        <f>415+25</f>
        <v>440</v>
      </c>
      <c r="L539" s="93">
        <f>M539-K539</f>
        <v>0</v>
      </c>
      <c r="M539" s="93">
        <f>415+25</f>
        <v>440</v>
      </c>
    </row>
    <row r="540" spans="1:13" s="78" customFormat="1" ht="18.75">
      <c r="A540" s="82"/>
      <c r="B540" s="97" t="s">
        <v>712</v>
      </c>
      <c r="C540" s="92" t="s">
        <v>418</v>
      </c>
      <c r="D540" s="81" t="s">
        <v>299</v>
      </c>
      <c r="E540" s="81" t="s">
        <v>89</v>
      </c>
      <c r="F540" s="705" t="s">
        <v>118</v>
      </c>
      <c r="G540" s="706" t="s">
        <v>97</v>
      </c>
      <c r="H540" s="706" t="s">
        <v>118</v>
      </c>
      <c r="I540" s="707" t="s">
        <v>710</v>
      </c>
      <c r="J540" s="81"/>
      <c r="K540" s="550">
        <f>K541</f>
        <v>66.843000000000004</v>
      </c>
      <c r="L540" s="93">
        <f>L541</f>
        <v>0</v>
      </c>
      <c r="M540" s="93">
        <f>M541</f>
        <v>66.843000000000004</v>
      </c>
    </row>
    <row r="541" spans="1:13" s="78" customFormat="1" ht="56.25">
      <c r="A541" s="82"/>
      <c r="B541" s="97" t="s">
        <v>134</v>
      </c>
      <c r="C541" s="92" t="s">
        <v>418</v>
      </c>
      <c r="D541" s="81" t="s">
        <v>299</v>
      </c>
      <c r="E541" s="81" t="s">
        <v>89</v>
      </c>
      <c r="F541" s="705" t="s">
        <v>118</v>
      </c>
      <c r="G541" s="706" t="s">
        <v>97</v>
      </c>
      <c r="H541" s="706" t="s">
        <v>118</v>
      </c>
      <c r="I541" s="707" t="s">
        <v>710</v>
      </c>
      <c r="J541" s="81" t="s">
        <v>135</v>
      </c>
      <c r="K541" s="550">
        <v>66.843000000000004</v>
      </c>
      <c r="L541" s="93">
        <f>M541-K541</f>
        <v>0</v>
      </c>
      <c r="M541" s="93">
        <v>66.843000000000004</v>
      </c>
    </row>
    <row r="542" spans="1:13" s="78" customFormat="1" ht="37.5">
      <c r="A542" s="82"/>
      <c r="B542" s="97" t="s">
        <v>425</v>
      </c>
      <c r="C542" s="92" t="s">
        <v>418</v>
      </c>
      <c r="D542" s="81" t="s">
        <v>299</v>
      </c>
      <c r="E542" s="81" t="s">
        <v>89</v>
      </c>
      <c r="F542" s="117" t="s">
        <v>118</v>
      </c>
      <c r="G542" s="122" t="s">
        <v>97</v>
      </c>
      <c r="H542" s="122" t="s">
        <v>104</v>
      </c>
      <c r="I542" s="707" t="s">
        <v>96</v>
      </c>
      <c r="J542" s="81"/>
      <c r="K542" s="550">
        <f>K543</f>
        <v>12054.8</v>
      </c>
      <c r="L542" s="93">
        <f>L543</f>
        <v>922.39999999999952</v>
      </c>
      <c r="M542" s="93">
        <f>M543</f>
        <v>12977.199999999999</v>
      </c>
    </row>
    <row r="543" spans="1:13" s="78" customFormat="1" ht="72" customHeight="1">
      <c r="A543" s="82"/>
      <c r="B543" s="96" t="s">
        <v>423</v>
      </c>
      <c r="C543" s="92" t="s">
        <v>418</v>
      </c>
      <c r="D543" s="81" t="s">
        <v>299</v>
      </c>
      <c r="E543" s="81" t="s">
        <v>89</v>
      </c>
      <c r="F543" s="117" t="s">
        <v>118</v>
      </c>
      <c r="G543" s="122" t="s">
        <v>97</v>
      </c>
      <c r="H543" s="122" t="s">
        <v>104</v>
      </c>
      <c r="I543" s="127" t="s">
        <v>152</v>
      </c>
      <c r="J543" s="126"/>
      <c r="K543" s="550">
        <f t="shared" ref="K543:M543" si="148">SUM(K544:K546)</f>
        <v>12054.8</v>
      </c>
      <c r="L543" s="93">
        <f>SUM(L544:L546)</f>
        <v>922.39999999999952</v>
      </c>
      <c r="M543" s="93">
        <f t="shared" si="148"/>
        <v>12977.199999999999</v>
      </c>
    </row>
    <row r="544" spans="1:13" s="94" customFormat="1" ht="94.15" customHeight="1">
      <c r="A544" s="82"/>
      <c r="B544" s="91" t="s">
        <v>101</v>
      </c>
      <c r="C544" s="92" t="s">
        <v>418</v>
      </c>
      <c r="D544" s="81" t="s">
        <v>299</v>
      </c>
      <c r="E544" s="81" t="s">
        <v>89</v>
      </c>
      <c r="F544" s="705" t="s">
        <v>118</v>
      </c>
      <c r="G544" s="706" t="s">
        <v>97</v>
      </c>
      <c r="H544" s="706" t="s">
        <v>104</v>
      </c>
      <c r="I544" s="707" t="s">
        <v>152</v>
      </c>
      <c r="J544" s="81" t="s">
        <v>102</v>
      </c>
      <c r="K544" s="550">
        <f>11254.8-85</f>
        <v>11169.8</v>
      </c>
      <c r="L544" s="93">
        <f>M544-K544</f>
        <v>655.39999999999964</v>
      </c>
      <c r="M544" s="93">
        <f>11254.8-85+655.4</f>
        <v>11825.199999999999</v>
      </c>
    </row>
    <row r="545" spans="1:13" s="94" customFormat="1" ht="54" customHeight="1">
      <c r="A545" s="82"/>
      <c r="B545" s="91" t="s">
        <v>107</v>
      </c>
      <c r="C545" s="92" t="s">
        <v>418</v>
      </c>
      <c r="D545" s="81" t="s">
        <v>299</v>
      </c>
      <c r="E545" s="81" t="s">
        <v>89</v>
      </c>
      <c r="F545" s="705" t="s">
        <v>118</v>
      </c>
      <c r="G545" s="706" t="s">
        <v>97</v>
      </c>
      <c r="H545" s="706" t="s">
        <v>104</v>
      </c>
      <c r="I545" s="707" t="s">
        <v>152</v>
      </c>
      <c r="J545" s="81" t="s">
        <v>108</v>
      </c>
      <c r="K545" s="550">
        <v>863.6</v>
      </c>
      <c r="L545" s="93">
        <f>M545-K545</f>
        <v>266.49999999999989</v>
      </c>
      <c r="M545" s="93">
        <f>863.6+266.5</f>
        <v>1130.0999999999999</v>
      </c>
    </row>
    <row r="546" spans="1:13" s="94" customFormat="1" ht="18.75">
      <c r="A546" s="82"/>
      <c r="B546" s="91" t="s">
        <v>109</v>
      </c>
      <c r="C546" s="92" t="s">
        <v>418</v>
      </c>
      <c r="D546" s="81" t="s">
        <v>299</v>
      </c>
      <c r="E546" s="81" t="s">
        <v>89</v>
      </c>
      <c r="F546" s="705" t="s">
        <v>118</v>
      </c>
      <c r="G546" s="706" t="s">
        <v>97</v>
      </c>
      <c r="H546" s="706" t="s">
        <v>104</v>
      </c>
      <c r="I546" s="707" t="s">
        <v>152</v>
      </c>
      <c r="J546" s="81" t="s">
        <v>110</v>
      </c>
      <c r="K546" s="550">
        <v>21.4</v>
      </c>
      <c r="L546" s="93">
        <f>M546-K546</f>
        <v>0.5</v>
      </c>
      <c r="M546" s="93">
        <f>21.4+0.5</f>
        <v>21.9</v>
      </c>
    </row>
    <row r="547" spans="1:13" s="78" customFormat="1" ht="38.450000000000003" customHeight="1">
      <c r="A547" s="82"/>
      <c r="B547" s="91" t="s">
        <v>434</v>
      </c>
      <c r="C547" s="92" t="s">
        <v>418</v>
      </c>
      <c r="D547" s="81" t="s">
        <v>299</v>
      </c>
      <c r="E547" s="81" t="s">
        <v>89</v>
      </c>
      <c r="F547" s="117" t="s">
        <v>118</v>
      </c>
      <c r="G547" s="122" t="s">
        <v>149</v>
      </c>
      <c r="H547" s="122" t="s">
        <v>95</v>
      </c>
      <c r="I547" s="707" t="s">
        <v>96</v>
      </c>
      <c r="J547" s="81"/>
      <c r="K547" s="550">
        <f>K548</f>
        <v>60</v>
      </c>
      <c r="L547" s="93">
        <f>L548</f>
        <v>0</v>
      </c>
      <c r="M547" s="93">
        <f>M548</f>
        <v>60</v>
      </c>
    </row>
    <row r="548" spans="1:13" s="78" customFormat="1" ht="112.5">
      <c r="A548" s="82"/>
      <c r="B548" s="97" t="s">
        <v>426</v>
      </c>
      <c r="C548" s="92" t="s">
        <v>418</v>
      </c>
      <c r="D548" s="81" t="s">
        <v>299</v>
      </c>
      <c r="E548" s="81" t="s">
        <v>89</v>
      </c>
      <c r="F548" s="117" t="s">
        <v>118</v>
      </c>
      <c r="G548" s="122" t="s">
        <v>149</v>
      </c>
      <c r="H548" s="122" t="s">
        <v>118</v>
      </c>
      <c r="I548" s="707" t="s">
        <v>96</v>
      </c>
      <c r="J548" s="81"/>
      <c r="K548" s="550">
        <f>K549+K551</f>
        <v>60</v>
      </c>
      <c r="L548" s="93">
        <f>L549+L551</f>
        <v>0</v>
      </c>
      <c r="M548" s="93">
        <f>M549+M551</f>
        <v>60</v>
      </c>
    </row>
    <row r="549" spans="1:13" s="78" customFormat="1" ht="37.5">
      <c r="A549" s="82"/>
      <c r="B549" s="97" t="s">
        <v>420</v>
      </c>
      <c r="C549" s="92" t="s">
        <v>418</v>
      </c>
      <c r="D549" s="81" t="s">
        <v>299</v>
      </c>
      <c r="E549" s="81" t="s">
        <v>89</v>
      </c>
      <c r="F549" s="117" t="s">
        <v>118</v>
      </c>
      <c r="G549" s="122" t="s">
        <v>149</v>
      </c>
      <c r="H549" s="122" t="s">
        <v>118</v>
      </c>
      <c r="I549" s="127" t="s">
        <v>421</v>
      </c>
      <c r="J549" s="126"/>
      <c r="K549" s="550">
        <f>SUM(K550:K550)</f>
        <v>17.893999999999998</v>
      </c>
      <c r="L549" s="93">
        <f>SUM(L550:L550)</f>
        <v>0</v>
      </c>
      <c r="M549" s="93">
        <f>SUM(M550:M550)</f>
        <v>17.893999999999998</v>
      </c>
    </row>
    <row r="550" spans="1:13" s="94" customFormat="1" ht="56.25">
      <c r="A550" s="82"/>
      <c r="B550" s="97" t="s">
        <v>134</v>
      </c>
      <c r="C550" s="92" t="s">
        <v>418</v>
      </c>
      <c r="D550" s="81" t="s">
        <v>299</v>
      </c>
      <c r="E550" s="81" t="s">
        <v>89</v>
      </c>
      <c r="F550" s="705" t="s">
        <v>118</v>
      </c>
      <c r="G550" s="706" t="s">
        <v>149</v>
      </c>
      <c r="H550" s="706" t="s">
        <v>118</v>
      </c>
      <c r="I550" s="707" t="s">
        <v>421</v>
      </c>
      <c r="J550" s="81" t="s">
        <v>135</v>
      </c>
      <c r="K550" s="550">
        <f>20-2.106</f>
        <v>17.893999999999998</v>
      </c>
      <c r="L550" s="93">
        <f>M550-K550</f>
        <v>0</v>
      </c>
      <c r="M550" s="93">
        <f>20-2.106</f>
        <v>17.893999999999998</v>
      </c>
    </row>
    <row r="551" spans="1:13" s="94" customFormat="1" ht="56.25">
      <c r="A551" s="82"/>
      <c r="B551" s="97" t="s">
        <v>745</v>
      </c>
      <c r="C551" s="92" t="s">
        <v>418</v>
      </c>
      <c r="D551" s="81" t="s">
        <v>299</v>
      </c>
      <c r="E551" s="81" t="s">
        <v>89</v>
      </c>
      <c r="F551" s="705" t="s">
        <v>118</v>
      </c>
      <c r="G551" s="706" t="s">
        <v>149</v>
      </c>
      <c r="H551" s="706" t="s">
        <v>118</v>
      </c>
      <c r="I551" s="707" t="s">
        <v>746</v>
      </c>
      <c r="J551" s="81"/>
      <c r="K551" s="550">
        <f>K552</f>
        <v>42.106000000000002</v>
      </c>
      <c r="L551" s="93">
        <f t="shared" ref="L551:L552" si="149">M551-K551</f>
        <v>0</v>
      </c>
      <c r="M551" s="93">
        <f>M552</f>
        <v>42.106000000000002</v>
      </c>
    </row>
    <row r="552" spans="1:13" s="94" customFormat="1" ht="56.25">
      <c r="A552" s="82"/>
      <c r="B552" s="97" t="s">
        <v>134</v>
      </c>
      <c r="C552" s="92" t="s">
        <v>418</v>
      </c>
      <c r="D552" s="81" t="s">
        <v>299</v>
      </c>
      <c r="E552" s="81" t="s">
        <v>89</v>
      </c>
      <c r="F552" s="705" t="s">
        <v>118</v>
      </c>
      <c r="G552" s="706" t="s">
        <v>149</v>
      </c>
      <c r="H552" s="706" t="s">
        <v>118</v>
      </c>
      <c r="I552" s="707" t="s">
        <v>746</v>
      </c>
      <c r="J552" s="81" t="s">
        <v>135</v>
      </c>
      <c r="K552" s="550">
        <f>40+2.106</f>
        <v>42.106000000000002</v>
      </c>
      <c r="L552" s="93">
        <f t="shared" si="149"/>
        <v>0</v>
      </c>
      <c r="M552" s="93">
        <f>40+2.106</f>
        <v>42.106000000000002</v>
      </c>
    </row>
    <row r="553" spans="1:13" s="95" customFormat="1" ht="59.45" customHeight="1">
      <c r="A553" s="82"/>
      <c r="B553" s="463" t="s">
        <v>178</v>
      </c>
      <c r="C553" s="92" t="s">
        <v>418</v>
      </c>
      <c r="D553" s="81" t="s">
        <v>299</v>
      </c>
      <c r="E553" s="81" t="s">
        <v>89</v>
      </c>
      <c r="F553" s="705" t="s">
        <v>148</v>
      </c>
      <c r="G553" s="706" t="s">
        <v>94</v>
      </c>
      <c r="H553" s="706" t="s">
        <v>95</v>
      </c>
      <c r="I553" s="707" t="s">
        <v>96</v>
      </c>
      <c r="J553" s="81"/>
      <c r="K553" s="550">
        <f t="shared" ref="K553:M556" si="150">K554</f>
        <v>400</v>
      </c>
      <c r="L553" s="93">
        <f t="shared" si="150"/>
        <v>57</v>
      </c>
      <c r="M553" s="93">
        <f t="shared" si="150"/>
        <v>457</v>
      </c>
    </row>
    <row r="554" spans="1:13" s="95" customFormat="1" ht="37.5">
      <c r="A554" s="82"/>
      <c r="B554" s="91" t="s">
        <v>455</v>
      </c>
      <c r="C554" s="92" t="s">
        <v>418</v>
      </c>
      <c r="D554" s="81" t="s">
        <v>299</v>
      </c>
      <c r="E554" s="81" t="s">
        <v>89</v>
      </c>
      <c r="F554" s="705" t="s">
        <v>148</v>
      </c>
      <c r="G554" s="706" t="s">
        <v>97</v>
      </c>
      <c r="H554" s="706" t="s">
        <v>95</v>
      </c>
      <c r="I554" s="707" t="s">
        <v>96</v>
      </c>
      <c r="J554" s="81"/>
      <c r="K554" s="550">
        <f t="shared" si="150"/>
        <v>400</v>
      </c>
      <c r="L554" s="93">
        <f t="shared" si="150"/>
        <v>57</v>
      </c>
      <c r="M554" s="93">
        <f t="shared" si="150"/>
        <v>457</v>
      </c>
    </row>
    <row r="555" spans="1:13" s="78" customFormat="1" ht="75">
      <c r="A555" s="82"/>
      <c r="B555" s="98" t="s">
        <v>403</v>
      </c>
      <c r="C555" s="92" t="s">
        <v>418</v>
      </c>
      <c r="D555" s="81" t="s">
        <v>299</v>
      </c>
      <c r="E555" s="81" t="s">
        <v>89</v>
      </c>
      <c r="F555" s="705" t="s">
        <v>148</v>
      </c>
      <c r="G555" s="706" t="s">
        <v>97</v>
      </c>
      <c r="H555" s="706" t="s">
        <v>89</v>
      </c>
      <c r="I555" s="707" t="s">
        <v>96</v>
      </c>
      <c r="J555" s="81"/>
      <c r="K555" s="550">
        <f>K556</f>
        <v>400</v>
      </c>
      <c r="L555" s="93">
        <f>L556</f>
        <v>57</v>
      </c>
      <c r="M555" s="93">
        <f>M556</f>
        <v>457</v>
      </c>
    </row>
    <row r="556" spans="1:13" s="95" customFormat="1" ht="56.25">
      <c r="A556" s="82"/>
      <c r="B556" s="98" t="s">
        <v>179</v>
      </c>
      <c r="C556" s="92" t="s">
        <v>418</v>
      </c>
      <c r="D556" s="81" t="s">
        <v>299</v>
      </c>
      <c r="E556" s="81" t="s">
        <v>89</v>
      </c>
      <c r="F556" s="705" t="s">
        <v>148</v>
      </c>
      <c r="G556" s="706" t="s">
        <v>97</v>
      </c>
      <c r="H556" s="706" t="s">
        <v>89</v>
      </c>
      <c r="I556" s="707" t="s">
        <v>180</v>
      </c>
      <c r="J556" s="81"/>
      <c r="K556" s="550">
        <f t="shared" si="150"/>
        <v>400</v>
      </c>
      <c r="L556" s="93">
        <f t="shared" si="150"/>
        <v>57</v>
      </c>
      <c r="M556" s="93">
        <f t="shared" si="150"/>
        <v>457</v>
      </c>
    </row>
    <row r="557" spans="1:13" s="78" customFormat="1" ht="40.15" customHeight="1">
      <c r="A557" s="82"/>
      <c r="B557" s="463" t="s">
        <v>107</v>
      </c>
      <c r="C557" s="92" t="s">
        <v>418</v>
      </c>
      <c r="D557" s="81" t="s">
        <v>299</v>
      </c>
      <c r="E557" s="81" t="s">
        <v>89</v>
      </c>
      <c r="F557" s="705" t="s">
        <v>148</v>
      </c>
      <c r="G557" s="706" t="s">
        <v>97</v>
      </c>
      <c r="H557" s="706" t="s">
        <v>89</v>
      </c>
      <c r="I557" s="707" t="s">
        <v>180</v>
      </c>
      <c r="J557" s="81" t="s">
        <v>108</v>
      </c>
      <c r="K557" s="550">
        <f>400</f>
        <v>400</v>
      </c>
      <c r="L557" s="93">
        <f>M557-K557</f>
        <v>57</v>
      </c>
      <c r="M557" s="93">
        <f>400+57</f>
        <v>457</v>
      </c>
    </row>
    <row r="558" spans="1:13" s="78" customFormat="1" ht="37.5">
      <c r="A558" s="82"/>
      <c r="B558" s="91" t="s">
        <v>427</v>
      </c>
      <c r="C558" s="92" t="s">
        <v>418</v>
      </c>
      <c r="D558" s="81" t="s">
        <v>299</v>
      </c>
      <c r="E558" s="81" t="s">
        <v>104</v>
      </c>
      <c r="F558" s="117"/>
      <c r="G558" s="122"/>
      <c r="H558" s="122"/>
      <c r="I558" s="127"/>
      <c r="J558" s="126"/>
      <c r="K558" s="550">
        <f t="shared" ref="K558:M558" si="151">K559</f>
        <v>9817.1999999999989</v>
      </c>
      <c r="L558" s="93">
        <f>L559</f>
        <v>90</v>
      </c>
      <c r="M558" s="93">
        <f t="shared" si="151"/>
        <v>9907.1999999999989</v>
      </c>
    </row>
    <row r="559" spans="1:13" s="78" customFormat="1" ht="56.25">
      <c r="A559" s="82"/>
      <c r="B559" s="99" t="s">
        <v>286</v>
      </c>
      <c r="C559" s="92" t="s">
        <v>418</v>
      </c>
      <c r="D559" s="81" t="s">
        <v>299</v>
      </c>
      <c r="E559" s="81" t="s">
        <v>104</v>
      </c>
      <c r="F559" s="117" t="s">
        <v>118</v>
      </c>
      <c r="G559" s="122" t="s">
        <v>94</v>
      </c>
      <c r="H559" s="122" t="s">
        <v>95</v>
      </c>
      <c r="I559" s="127" t="s">
        <v>96</v>
      </c>
      <c r="J559" s="126"/>
      <c r="K559" s="550">
        <f>K564+K560</f>
        <v>9817.1999999999989</v>
      </c>
      <c r="L559" s="93">
        <f>L564+L560</f>
        <v>90</v>
      </c>
      <c r="M559" s="93">
        <f>M564+M560</f>
        <v>9907.1999999999989</v>
      </c>
    </row>
    <row r="560" spans="1:13" s="94" customFormat="1" ht="36" customHeight="1">
      <c r="A560" s="82"/>
      <c r="B560" s="91" t="s">
        <v>434</v>
      </c>
      <c r="C560" s="92" t="s">
        <v>418</v>
      </c>
      <c r="D560" s="81" t="s">
        <v>299</v>
      </c>
      <c r="E560" s="81" t="s">
        <v>104</v>
      </c>
      <c r="F560" s="705" t="s">
        <v>118</v>
      </c>
      <c r="G560" s="706" t="s">
        <v>149</v>
      </c>
      <c r="H560" s="706" t="s">
        <v>95</v>
      </c>
      <c r="I560" s="707" t="s">
        <v>96</v>
      </c>
      <c r="J560" s="81"/>
      <c r="K560" s="550">
        <f>K561</f>
        <v>960.8</v>
      </c>
      <c r="L560" s="93">
        <f>L561</f>
        <v>90</v>
      </c>
      <c r="M560" s="93">
        <f>M561</f>
        <v>1050.8</v>
      </c>
    </row>
    <row r="561" spans="1:13" s="94" customFormat="1" ht="112.5">
      <c r="A561" s="82"/>
      <c r="B561" s="97" t="s">
        <v>426</v>
      </c>
      <c r="C561" s="92" t="s">
        <v>418</v>
      </c>
      <c r="D561" s="81" t="s">
        <v>299</v>
      </c>
      <c r="E561" s="81" t="s">
        <v>104</v>
      </c>
      <c r="F561" s="705" t="s">
        <v>118</v>
      </c>
      <c r="G561" s="706" t="s">
        <v>149</v>
      </c>
      <c r="H561" s="706" t="s">
        <v>118</v>
      </c>
      <c r="I561" s="707" t="s">
        <v>96</v>
      </c>
      <c r="J561" s="81"/>
      <c r="K561" s="550">
        <f t="shared" ref="K561:M562" si="152">K562</f>
        <v>960.8</v>
      </c>
      <c r="L561" s="93">
        <f>L562</f>
        <v>90</v>
      </c>
      <c r="M561" s="93">
        <f t="shared" si="152"/>
        <v>1050.8</v>
      </c>
    </row>
    <row r="562" spans="1:13" s="94" customFormat="1" ht="37.5">
      <c r="A562" s="82"/>
      <c r="B562" s="97" t="s">
        <v>420</v>
      </c>
      <c r="C562" s="92" t="s">
        <v>418</v>
      </c>
      <c r="D562" s="81" t="s">
        <v>299</v>
      </c>
      <c r="E562" s="81" t="s">
        <v>104</v>
      </c>
      <c r="F562" s="705" t="s">
        <v>118</v>
      </c>
      <c r="G562" s="706" t="s">
        <v>149</v>
      </c>
      <c r="H562" s="706" t="s">
        <v>118</v>
      </c>
      <c r="I562" s="707" t="s">
        <v>421</v>
      </c>
      <c r="J562" s="81"/>
      <c r="K562" s="550">
        <f t="shared" si="152"/>
        <v>960.8</v>
      </c>
      <c r="L562" s="93">
        <f>L563</f>
        <v>90</v>
      </c>
      <c r="M562" s="93">
        <f t="shared" si="152"/>
        <v>1050.8</v>
      </c>
    </row>
    <row r="563" spans="1:13" s="94" customFormat="1" ht="50.45" customHeight="1">
      <c r="A563" s="82"/>
      <c r="B563" s="91" t="s">
        <v>107</v>
      </c>
      <c r="C563" s="92" t="s">
        <v>418</v>
      </c>
      <c r="D563" s="81" t="s">
        <v>299</v>
      </c>
      <c r="E563" s="81" t="s">
        <v>104</v>
      </c>
      <c r="F563" s="705" t="s">
        <v>118</v>
      </c>
      <c r="G563" s="706" t="s">
        <v>149</v>
      </c>
      <c r="H563" s="706" t="s">
        <v>118</v>
      </c>
      <c r="I563" s="707" t="s">
        <v>421</v>
      </c>
      <c r="J563" s="81" t="s">
        <v>108</v>
      </c>
      <c r="K563" s="550">
        <f>542.8+220+99+99</f>
        <v>960.8</v>
      </c>
      <c r="L563" s="93">
        <f>M563-K563</f>
        <v>90</v>
      </c>
      <c r="M563" s="93">
        <f>542.8+220+99+99+90</f>
        <v>1050.8</v>
      </c>
    </row>
    <row r="564" spans="1:13" s="94" customFormat="1" ht="56.25">
      <c r="A564" s="82"/>
      <c r="B564" s="91" t="s">
        <v>289</v>
      </c>
      <c r="C564" s="92" t="s">
        <v>418</v>
      </c>
      <c r="D564" s="81" t="s">
        <v>299</v>
      </c>
      <c r="E564" s="81" t="s">
        <v>104</v>
      </c>
      <c r="F564" s="705" t="s">
        <v>118</v>
      </c>
      <c r="G564" s="706" t="s">
        <v>82</v>
      </c>
      <c r="H564" s="706" t="s">
        <v>95</v>
      </c>
      <c r="I564" s="707" t="s">
        <v>96</v>
      </c>
      <c r="J564" s="81"/>
      <c r="K564" s="550">
        <f t="shared" ref="K564:M564" si="153">K565</f>
        <v>8856.4</v>
      </c>
      <c r="L564" s="93">
        <f>L565</f>
        <v>0</v>
      </c>
      <c r="M564" s="93">
        <f t="shared" si="153"/>
        <v>8856.4</v>
      </c>
    </row>
    <row r="565" spans="1:13" s="94" customFormat="1" ht="37.5">
      <c r="A565" s="82"/>
      <c r="B565" s="91" t="s">
        <v>361</v>
      </c>
      <c r="C565" s="92" t="s">
        <v>418</v>
      </c>
      <c r="D565" s="81" t="s">
        <v>299</v>
      </c>
      <c r="E565" s="81" t="s">
        <v>104</v>
      </c>
      <c r="F565" s="705" t="s">
        <v>118</v>
      </c>
      <c r="G565" s="706" t="s">
        <v>82</v>
      </c>
      <c r="H565" s="706" t="s">
        <v>89</v>
      </c>
      <c r="I565" s="707" t="s">
        <v>96</v>
      </c>
      <c r="J565" s="81"/>
      <c r="K565" s="550">
        <f>K566+K570</f>
        <v>8856.4</v>
      </c>
      <c r="L565" s="93">
        <f>L566+L570</f>
        <v>0</v>
      </c>
      <c r="M565" s="93">
        <f>M566+M570</f>
        <v>8856.4</v>
      </c>
    </row>
    <row r="566" spans="1:13" s="78" customFormat="1" ht="37.9" customHeight="1">
      <c r="A566" s="82"/>
      <c r="B566" s="91" t="s">
        <v>99</v>
      </c>
      <c r="C566" s="92" t="s">
        <v>418</v>
      </c>
      <c r="D566" s="81" t="s">
        <v>299</v>
      </c>
      <c r="E566" s="81" t="s">
        <v>104</v>
      </c>
      <c r="F566" s="705" t="s">
        <v>118</v>
      </c>
      <c r="G566" s="706" t="s">
        <v>82</v>
      </c>
      <c r="H566" s="706" t="s">
        <v>89</v>
      </c>
      <c r="I566" s="707" t="s">
        <v>100</v>
      </c>
      <c r="J566" s="126"/>
      <c r="K566" s="550">
        <f t="shared" ref="K566:M566" si="154">K567+K568+K569</f>
        <v>2800.2</v>
      </c>
      <c r="L566" s="93">
        <f>L567+L568+L569</f>
        <v>0</v>
      </c>
      <c r="M566" s="93">
        <f t="shared" si="154"/>
        <v>2800.2</v>
      </c>
    </row>
    <row r="567" spans="1:13" s="78" customFormat="1" ht="90" customHeight="1">
      <c r="A567" s="82"/>
      <c r="B567" s="91" t="s">
        <v>101</v>
      </c>
      <c r="C567" s="92" t="s">
        <v>418</v>
      </c>
      <c r="D567" s="81" t="s">
        <v>299</v>
      </c>
      <c r="E567" s="81" t="s">
        <v>104</v>
      </c>
      <c r="F567" s="705" t="s">
        <v>118</v>
      </c>
      <c r="G567" s="706" t="s">
        <v>82</v>
      </c>
      <c r="H567" s="706" t="s">
        <v>89</v>
      </c>
      <c r="I567" s="707" t="s">
        <v>100</v>
      </c>
      <c r="J567" s="126" t="s">
        <v>102</v>
      </c>
      <c r="K567" s="550">
        <f>2413.2+22.3+89</f>
        <v>2524.5</v>
      </c>
      <c r="L567" s="93">
        <f>M567-K567</f>
        <v>0</v>
      </c>
      <c r="M567" s="93">
        <f>2413.2+22.3+89</f>
        <v>2524.5</v>
      </c>
    </row>
    <row r="568" spans="1:13" s="78" customFormat="1" ht="51" customHeight="1">
      <c r="A568" s="82"/>
      <c r="B568" s="91" t="s">
        <v>107</v>
      </c>
      <c r="C568" s="92" t="s">
        <v>418</v>
      </c>
      <c r="D568" s="81" t="s">
        <v>299</v>
      </c>
      <c r="E568" s="81" t="s">
        <v>104</v>
      </c>
      <c r="F568" s="705" t="s">
        <v>118</v>
      </c>
      <c r="G568" s="706" t="s">
        <v>82</v>
      </c>
      <c r="H568" s="706" t="s">
        <v>89</v>
      </c>
      <c r="I568" s="707" t="s">
        <v>100</v>
      </c>
      <c r="J568" s="126" t="s">
        <v>108</v>
      </c>
      <c r="K568" s="550">
        <f>202.2+49+20</f>
        <v>271.2</v>
      </c>
      <c r="L568" s="93">
        <f>M568-K568</f>
        <v>0</v>
      </c>
      <c r="M568" s="93">
        <f>202.2+49+20</f>
        <v>271.2</v>
      </c>
    </row>
    <row r="569" spans="1:13" s="78" customFormat="1" ht="18.75">
      <c r="A569" s="82"/>
      <c r="B569" s="91" t="s">
        <v>109</v>
      </c>
      <c r="C569" s="92" t="s">
        <v>418</v>
      </c>
      <c r="D569" s="81" t="s">
        <v>299</v>
      </c>
      <c r="E569" s="81" t="s">
        <v>104</v>
      </c>
      <c r="F569" s="705" t="s">
        <v>118</v>
      </c>
      <c r="G569" s="706" t="s">
        <v>82</v>
      </c>
      <c r="H569" s="706" t="s">
        <v>89</v>
      </c>
      <c r="I569" s="707" t="s">
        <v>100</v>
      </c>
      <c r="J569" s="81" t="s">
        <v>110</v>
      </c>
      <c r="K569" s="550">
        <v>4.5</v>
      </c>
      <c r="L569" s="93">
        <f>M569-K569</f>
        <v>0</v>
      </c>
      <c r="M569" s="93">
        <v>4.5</v>
      </c>
    </row>
    <row r="570" spans="1:13" s="94" customFormat="1" ht="71.45" customHeight="1">
      <c r="A570" s="82"/>
      <c r="B570" s="96" t="s">
        <v>423</v>
      </c>
      <c r="C570" s="92" t="s">
        <v>418</v>
      </c>
      <c r="D570" s="81" t="s">
        <v>299</v>
      </c>
      <c r="E570" s="81" t="s">
        <v>104</v>
      </c>
      <c r="F570" s="705" t="s">
        <v>118</v>
      </c>
      <c r="G570" s="706" t="s">
        <v>82</v>
      </c>
      <c r="H570" s="706" t="s">
        <v>89</v>
      </c>
      <c r="I570" s="707" t="s">
        <v>152</v>
      </c>
      <c r="J570" s="81"/>
      <c r="K570" s="550">
        <f>K571+K572+K573</f>
        <v>6056.2</v>
      </c>
      <c r="L570" s="93">
        <f>L571+L572+L573</f>
        <v>0</v>
      </c>
      <c r="M570" s="93">
        <f>M571+M572+M573</f>
        <v>6056.2</v>
      </c>
    </row>
    <row r="571" spans="1:13" s="78" customFormat="1" ht="108" customHeight="1">
      <c r="A571" s="82"/>
      <c r="B571" s="91" t="s">
        <v>101</v>
      </c>
      <c r="C571" s="125" t="s">
        <v>418</v>
      </c>
      <c r="D571" s="126" t="s">
        <v>299</v>
      </c>
      <c r="E571" s="126" t="s">
        <v>104</v>
      </c>
      <c r="F571" s="705" t="s">
        <v>118</v>
      </c>
      <c r="G571" s="706" t="s">
        <v>82</v>
      </c>
      <c r="H571" s="706" t="s">
        <v>89</v>
      </c>
      <c r="I571" s="707" t="s">
        <v>152</v>
      </c>
      <c r="J571" s="126" t="s">
        <v>102</v>
      </c>
      <c r="K571" s="550">
        <f>5519.4+14.8</f>
        <v>5534.2</v>
      </c>
      <c r="L571" s="93">
        <f>M571-K571</f>
        <v>0</v>
      </c>
      <c r="M571" s="93">
        <f>5519.4+14.8</f>
        <v>5534.2</v>
      </c>
    </row>
    <row r="572" spans="1:13" s="78" customFormat="1" ht="51.6" customHeight="1">
      <c r="A572" s="82"/>
      <c r="B572" s="91" t="s">
        <v>107</v>
      </c>
      <c r="C572" s="125" t="s">
        <v>418</v>
      </c>
      <c r="D572" s="126" t="s">
        <v>299</v>
      </c>
      <c r="E572" s="126" t="s">
        <v>104</v>
      </c>
      <c r="F572" s="705" t="s">
        <v>118</v>
      </c>
      <c r="G572" s="706" t="s">
        <v>82</v>
      </c>
      <c r="H572" s="706" t="s">
        <v>89</v>
      </c>
      <c r="I572" s="707" t="s">
        <v>152</v>
      </c>
      <c r="J572" s="126" t="s">
        <v>108</v>
      </c>
      <c r="K572" s="550">
        <f>419.8+6.6+8.6+85.2</f>
        <v>520.20000000000005</v>
      </c>
      <c r="L572" s="93">
        <f>M572-K572</f>
        <v>0</v>
      </c>
      <c r="M572" s="93">
        <f>419.8+6.6+8.6+85.2</f>
        <v>520.20000000000005</v>
      </c>
    </row>
    <row r="573" spans="1:13" s="94" customFormat="1" ht="18.75">
      <c r="A573" s="82"/>
      <c r="B573" s="91" t="s">
        <v>109</v>
      </c>
      <c r="C573" s="125" t="s">
        <v>418</v>
      </c>
      <c r="D573" s="126" t="s">
        <v>299</v>
      </c>
      <c r="E573" s="126" t="s">
        <v>104</v>
      </c>
      <c r="F573" s="705" t="s">
        <v>118</v>
      </c>
      <c r="G573" s="706" t="s">
        <v>82</v>
      </c>
      <c r="H573" s="706" t="s">
        <v>89</v>
      </c>
      <c r="I573" s="707" t="s">
        <v>152</v>
      </c>
      <c r="J573" s="81" t="s">
        <v>110</v>
      </c>
      <c r="K573" s="550">
        <v>1.8</v>
      </c>
      <c r="L573" s="93">
        <f>M573-K573</f>
        <v>0</v>
      </c>
      <c r="M573" s="93">
        <v>1.8</v>
      </c>
    </row>
    <row r="574" spans="1:13" s="94" customFormat="1" ht="18.75">
      <c r="A574" s="82"/>
      <c r="B574" s="91"/>
      <c r="C574" s="125"/>
      <c r="D574" s="126"/>
      <c r="E574" s="126"/>
      <c r="F574" s="705"/>
      <c r="G574" s="706"/>
      <c r="H574" s="706"/>
      <c r="I574" s="707"/>
      <c r="J574" s="81"/>
      <c r="K574" s="550"/>
      <c r="L574" s="93"/>
      <c r="M574" s="93"/>
    </row>
    <row r="575" spans="1:13" s="90" customFormat="1" ht="56.25">
      <c r="A575" s="83">
        <v>7</v>
      </c>
      <c r="B575" s="84" t="s">
        <v>57</v>
      </c>
      <c r="C575" s="85" t="s">
        <v>370</v>
      </c>
      <c r="D575" s="86"/>
      <c r="E575" s="86"/>
      <c r="F575" s="87"/>
      <c r="G575" s="88"/>
      <c r="H575" s="88"/>
      <c r="I575" s="89"/>
      <c r="J575" s="86"/>
      <c r="K575" s="549">
        <f t="shared" ref="K575:M575" si="155">K576</f>
        <v>27275.473299999994</v>
      </c>
      <c r="L575" s="156">
        <f>L576</f>
        <v>4239.0999999999976</v>
      </c>
      <c r="M575" s="156">
        <f t="shared" si="155"/>
        <v>31514.573299999996</v>
      </c>
    </row>
    <row r="576" spans="1:13" s="94" customFormat="1" ht="18.75">
      <c r="A576" s="82"/>
      <c r="B576" s="99" t="s">
        <v>428</v>
      </c>
      <c r="C576" s="92" t="s">
        <v>370</v>
      </c>
      <c r="D576" s="81" t="s">
        <v>122</v>
      </c>
      <c r="E576" s="81"/>
      <c r="F576" s="705"/>
      <c r="G576" s="706"/>
      <c r="H576" s="706"/>
      <c r="I576" s="707"/>
      <c r="J576" s="81"/>
      <c r="K576" s="550">
        <f>K577+K601+K612</f>
        <v>27275.473299999994</v>
      </c>
      <c r="L576" s="93">
        <f>L577+L601+L612</f>
        <v>4239.0999999999976</v>
      </c>
      <c r="M576" s="93">
        <f>M577+M601+M612</f>
        <v>31514.573299999996</v>
      </c>
    </row>
    <row r="577" spans="1:13" s="90" customFormat="1" ht="18.75">
      <c r="A577" s="82"/>
      <c r="B577" s="99" t="s">
        <v>500</v>
      </c>
      <c r="C577" s="92" t="s">
        <v>370</v>
      </c>
      <c r="D577" s="81" t="s">
        <v>122</v>
      </c>
      <c r="E577" s="81" t="s">
        <v>89</v>
      </c>
      <c r="F577" s="705"/>
      <c r="G577" s="706"/>
      <c r="H577" s="706"/>
      <c r="I577" s="707"/>
      <c r="J577" s="81"/>
      <c r="K577" s="550">
        <f t="shared" ref="K577:M577" si="156">K578</f>
        <v>23205.073299999996</v>
      </c>
      <c r="L577" s="93">
        <f>L578</f>
        <v>4197.5999999999976</v>
      </c>
      <c r="M577" s="93">
        <f t="shared" si="156"/>
        <v>27402.673299999999</v>
      </c>
    </row>
    <row r="578" spans="1:13" s="90" customFormat="1" ht="52.9" customHeight="1">
      <c r="A578" s="82"/>
      <c r="B578" s="91" t="s">
        <v>290</v>
      </c>
      <c r="C578" s="92" t="s">
        <v>370</v>
      </c>
      <c r="D578" s="81" t="s">
        <v>122</v>
      </c>
      <c r="E578" s="81" t="s">
        <v>89</v>
      </c>
      <c r="F578" s="705" t="s">
        <v>104</v>
      </c>
      <c r="G578" s="706" t="s">
        <v>94</v>
      </c>
      <c r="H578" s="706" t="s">
        <v>95</v>
      </c>
      <c r="I578" s="707" t="s">
        <v>96</v>
      </c>
      <c r="J578" s="81"/>
      <c r="K578" s="550">
        <f t="shared" ref="K578:M578" si="157">K579+K583</f>
        <v>23205.073299999996</v>
      </c>
      <c r="L578" s="93">
        <f>L579+L583</f>
        <v>4197.5999999999976</v>
      </c>
      <c r="M578" s="93">
        <f t="shared" si="157"/>
        <v>27402.673299999999</v>
      </c>
    </row>
    <row r="579" spans="1:13" s="90" customFormat="1" ht="37.5">
      <c r="A579" s="82"/>
      <c r="B579" s="99" t="s">
        <v>291</v>
      </c>
      <c r="C579" s="92" t="s">
        <v>370</v>
      </c>
      <c r="D579" s="81" t="s">
        <v>122</v>
      </c>
      <c r="E579" s="81" t="s">
        <v>89</v>
      </c>
      <c r="F579" s="705" t="s">
        <v>104</v>
      </c>
      <c r="G579" s="706" t="s">
        <v>97</v>
      </c>
      <c r="H579" s="706" t="s">
        <v>95</v>
      </c>
      <c r="I579" s="707" t="s">
        <v>96</v>
      </c>
      <c r="J579" s="81"/>
      <c r="K579" s="550">
        <f t="shared" ref="K579:M581" si="158">K580</f>
        <v>171</v>
      </c>
      <c r="L579" s="93">
        <f>L580</f>
        <v>-6</v>
      </c>
      <c r="M579" s="93">
        <f t="shared" si="158"/>
        <v>165</v>
      </c>
    </row>
    <row r="580" spans="1:13" s="90" customFormat="1" ht="18.75">
      <c r="A580" s="82"/>
      <c r="B580" s="91" t="s">
        <v>356</v>
      </c>
      <c r="C580" s="92" t="s">
        <v>370</v>
      </c>
      <c r="D580" s="81" t="s">
        <v>122</v>
      </c>
      <c r="E580" s="81" t="s">
        <v>89</v>
      </c>
      <c r="F580" s="705" t="s">
        <v>104</v>
      </c>
      <c r="G580" s="706" t="s">
        <v>97</v>
      </c>
      <c r="H580" s="706" t="s">
        <v>89</v>
      </c>
      <c r="I580" s="707" t="s">
        <v>96</v>
      </c>
      <c r="J580" s="81"/>
      <c r="K580" s="550">
        <f t="shared" si="158"/>
        <v>171</v>
      </c>
      <c r="L580" s="93">
        <f t="shared" si="158"/>
        <v>-6</v>
      </c>
      <c r="M580" s="93">
        <f t="shared" si="158"/>
        <v>165</v>
      </c>
    </row>
    <row r="581" spans="1:13" s="90" customFormat="1" ht="56.25">
      <c r="A581" s="82"/>
      <c r="B581" s="91" t="s">
        <v>357</v>
      </c>
      <c r="C581" s="92" t="s">
        <v>370</v>
      </c>
      <c r="D581" s="81" t="s">
        <v>122</v>
      </c>
      <c r="E581" s="81" t="s">
        <v>89</v>
      </c>
      <c r="F581" s="705" t="s">
        <v>104</v>
      </c>
      <c r="G581" s="706" t="s">
        <v>97</v>
      </c>
      <c r="H581" s="706" t="s">
        <v>89</v>
      </c>
      <c r="I581" s="707" t="s">
        <v>358</v>
      </c>
      <c r="J581" s="81"/>
      <c r="K581" s="550">
        <f t="shared" si="158"/>
        <v>171</v>
      </c>
      <c r="L581" s="93">
        <f t="shared" si="158"/>
        <v>-6</v>
      </c>
      <c r="M581" s="93">
        <f t="shared" si="158"/>
        <v>165</v>
      </c>
    </row>
    <row r="582" spans="1:13" s="90" customFormat="1" ht="37.5">
      <c r="A582" s="82"/>
      <c r="B582" s="91" t="s">
        <v>182</v>
      </c>
      <c r="C582" s="92" t="s">
        <v>370</v>
      </c>
      <c r="D582" s="81" t="s">
        <v>122</v>
      </c>
      <c r="E582" s="81" t="s">
        <v>89</v>
      </c>
      <c r="F582" s="705" t="s">
        <v>104</v>
      </c>
      <c r="G582" s="706" t="s">
        <v>97</v>
      </c>
      <c r="H582" s="706" t="s">
        <v>89</v>
      </c>
      <c r="I582" s="707" t="s">
        <v>358</v>
      </c>
      <c r="J582" s="81" t="s">
        <v>183</v>
      </c>
      <c r="K582" s="550">
        <v>171</v>
      </c>
      <c r="L582" s="93">
        <f>M582-K582</f>
        <v>-6</v>
      </c>
      <c r="M582" s="93">
        <f>171-6</f>
        <v>165</v>
      </c>
    </row>
    <row r="583" spans="1:13" s="94" customFormat="1" ht="37.5">
      <c r="A583" s="82"/>
      <c r="B583" s="91" t="s">
        <v>293</v>
      </c>
      <c r="C583" s="92" t="s">
        <v>370</v>
      </c>
      <c r="D583" s="81" t="s">
        <v>122</v>
      </c>
      <c r="E583" s="81" t="s">
        <v>89</v>
      </c>
      <c r="F583" s="705" t="s">
        <v>104</v>
      </c>
      <c r="G583" s="706" t="s">
        <v>149</v>
      </c>
      <c r="H583" s="706" t="s">
        <v>95</v>
      </c>
      <c r="I583" s="707" t="s">
        <v>96</v>
      </c>
      <c r="J583" s="81"/>
      <c r="K583" s="550">
        <f t="shared" ref="K583:M583" si="159">K584</f>
        <v>23034.073299999996</v>
      </c>
      <c r="L583" s="93">
        <f t="shared" si="159"/>
        <v>4203.5999999999976</v>
      </c>
      <c r="M583" s="93">
        <f t="shared" si="159"/>
        <v>27237.673299999999</v>
      </c>
    </row>
    <row r="584" spans="1:13" s="90" customFormat="1" ht="37.5">
      <c r="A584" s="82"/>
      <c r="B584" s="91" t="s">
        <v>503</v>
      </c>
      <c r="C584" s="92" t="s">
        <v>370</v>
      </c>
      <c r="D584" s="81" t="s">
        <v>122</v>
      </c>
      <c r="E584" s="81" t="s">
        <v>89</v>
      </c>
      <c r="F584" s="705" t="s">
        <v>104</v>
      </c>
      <c r="G584" s="706" t="s">
        <v>149</v>
      </c>
      <c r="H584" s="706" t="s">
        <v>91</v>
      </c>
      <c r="I584" s="707" t="s">
        <v>96</v>
      </c>
      <c r="J584" s="81"/>
      <c r="K584" s="550">
        <f>K585+K590+K592</f>
        <v>23034.073299999996</v>
      </c>
      <c r="L584" s="93">
        <f>L585+L590+L592+L595+L599+L597</f>
        <v>4203.5999999999976</v>
      </c>
      <c r="M584" s="93">
        <f>M585+M590+M592+M595+M599+M597</f>
        <v>27237.673299999999</v>
      </c>
    </row>
    <row r="585" spans="1:13" s="90" customFormat="1" ht="69.599999999999994" customHeight="1">
      <c r="A585" s="82"/>
      <c r="B585" s="91" t="s">
        <v>150</v>
      </c>
      <c r="C585" s="92" t="s">
        <v>370</v>
      </c>
      <c r="D585" s="81" t="s">
        <v>122</v>
      </c>
      <c r="E585" s="81" t="s">
        <v>89</v>
      </c>
      <c r="F585" s="705" t="s">
        <v>104</v>
      </c>
      <c r="G585" s="706" t="s">
        <v>149</v>
      </c>
      <c r="H585" s="706" t="s">
        <v>91</v>
      </c>
      <c r="I585" s="707" t="s">
        <v>152</v>
      </c>
      <c r="J585" s="81"/>
      <c r="K585" s="550">
        <f t="shared" ref="K585" si="160">K586+K587+K589</f>
        <v>22260.973299999998</v>
      </c>
      <c r="L585" s="93">
        <f>L586+L587+L589+L588</f>
        <v>-1.8118839761882555E-12</v>
      </c>
      <c r="M585" s="93">
        <f>M586+M587+M589+M588</f>
        <v>22260.973299999998</v>
      </c>
    </row>
    <row r="586" spans="1:13" s="90" customFormat="1" ht="106.15" customHeight="1">
      <c r="A586" s="82"/>
      <c r="B586" s="91" t="s">
        <v>101</v>
      </c>
      <c r="C586" s="92" t="s">
        <v>370</v>
      </c>
      <c r="D586" s="81" t="s">
        <v>122</v>
      </c>
      <c r="E586" s="81" t="s">
        <v>89</v>
      </c>
      <c r="F586" s="705" t="s">
        <v>104</v>
      </c>
      <c r="G586" s="706" t="s">
        <v>149</v>
      </c>
      <c r="H586" s="706" t="s">
        <v>91</v>
      </c>
      <c r="I586" s="707" t="s">
        <v>152</v>
      </c>
      <c r="J586" s="81" t="s">
        <v>102</v>
      </c>
      <c r="K586" s="550">
        <f>21275.2+1081.3+200-1003.5-399.5-1202.2+163.8+158.5+38.9+0.0733</f>
        <v>20312.5733</v>
      </c>
      <c r="L586" s="93">
        <f>M586-K586</f>
        <v>-16.746040000001813</v>
      </c>
      <c r="M586" s="93">
        <f>21275.2+1081.3+200-1003.5-399.5-1202.2+163.8+158.5+38.9+0.0733-16.74604</f>
        <v>20295.827259999998</v>
      </c>
    </row>
    <row r="587" spans="1:13" s="94" customFormat="1" ht="57.6" customHeight="1">
      <c r="A587" s="82"/>
      <c r="B587" s="91" t="s">
        <v>107</v>
      </c>
      <c r="C587" s="92" t="s">
        <v>370</v>
      </c>
      <c r="D587" s="81" t="s">
        <v>122</v>
      </c>
      <c r="E587" s="81" t="s">
        <v>89</v>
      </c>
      <c r="F587" s="705" t="s">
        <v>104</v>
      </c>
      <c r="G587" s="706" t="s">
        <v>149</v>
      </c>
      <c r="H587" s="706" t="s">
        <v>91</v>
      </c>
      <c r="I587" s="707" t="s">
        <v>152</v>
      </c>
      <c r="J587" s="81" t="s">
        <v>108</v>
      </c>
      <c r="K587" s="550">
        <f>5935.8-1032-1203.5-479-1438+81.1-7.1</f>
        <v>1857.3000000000002</v>
      </c>
      <c r="L587" s="93">
        <f>M587-K587</f>
        <v>0</v>
      </c>
      <c r="M587" s="93">
        <f>5935.8-1032-1203.5-479-1438+81.1-7.1</f>
        <v>1857.3000000000002</v>
      </c>
    </row>
    <row r="588" spans="1:13" s="94" customFormat="1" ht="39.75" customHeight="1">
      <c r="A588" s="82"/>
      <c r="B588" s="463" t="s">
        <v>182</v>
      </c>
      <c r="C588" s="92" t="s">
        <v>370</v>
      </c>
      <c r="D588" s="81" t="s">
        <v>122</v>
      </c>
      <c r="E588" s="81" t="s">
        <v>89</v>
      </c>
      <c r="F588" s="705" t="s">
        <v>104</v>
      </c>
      <c r="G588" s="706" t="s">
        <v>149</v>
      </c>
      <c r="H588" s="706" t="s">
        <v>91</v>
      </c>
      <c r="I588" s="707" t="s">
        <v>152</v>
      </c>
      <c r="J588" s="81" t="s">
        <v>183</v>
      </c>
      <c r="K588" s="550"/>
      <c r="L588" s="93">
        <f>M588-K588</f>
        <v>16.746040000000001</v>
      </c>
      <c r="M588" s="93">
        <f>16.74604</f>
        <v>16.746040000000001</v>
      </c>
    </row>
    <row r="589" spans="1:13" s="90" customFormat="1" ht="18.75">
      <c r="A589" s="82"/>
      <c r="B589" s="91" t="s">
        <v>109</v>
      </c>
      <c r="C589" s="92" t="s">
        <v>370</v>
      </c>
      <c r="D589" s="81" t="s">
        <v>122</v>
      </c>
      <c r="E589" s="81" t="s">
        <v>89</v>
      </c>
      <c r="F589" s="705" t="s">
        <v>104</v>
      </c>
      <c r="G589" s="706" t="s">
        <v>149</v>
      </c>
      <c r="H589" s="706" t="s">
        <v>91</v>
      </c>
      <c r="I589" s="707" t="s">
        <v>152</v>
      </c>
      <c r="J589" s="81" t="s">
        <v>110</v>
      </c>
      <c r="K589" s="550">
        <f>2358.3-876.8-349-1048.5+7.1</f>
        <v>91.100000000000222</v>
      </c>
      <c r="L589" s="93">
        <f t="shared" ref="L589" si="161">M589-K589</f>
        <v>0</v>
      </c>
      <c r="M589" s="93">
        <f>2358.3-876.8-349-1048.5+7.1</f>
        <v>91.100000000000222</v>
      </c>
    </row>
    <row r="590" spans="1:13" s="90" customFormat="1" ht="37.5">
      <c r="A590" s="82"/>
      <c r="B590" s="91" t="s">
        <v>570</v>
      </c>
      <c r="C590" s="92" t="s">
        <v>370</v>
      </c>
      <c r="D590" s="81" t="s">
        <v>122</v>
      </c>
      <c r="E590" s="81" t="s">
        <v>89</v>
      </c>
      <c r="F590" s="705" t="s">
        <v>104</v>
      </c>
      <c r="G590" s="706" t="s">
        <v>149</v>
      </c>
      <c r="H590" s="706" t="s">
        <v>91</v>
      </c>
      <c r="I590" s="707" t="s">
        <v>569</v>
      </c>
      <c r="J590" s="81"/>
      <c r="K590" s="550">
        <f>K591</f>
        <v>619.99999999999955</v>
      </c>
      <c r="L590" s="93">
        <f>L591</f>
        <v>0</v>
      </c>
      <c r="M590" s="93">
        <f>M591</f>
        <v>619.99999999999955</v>
      </c>
    </row>
    <row r="591" spans="1:13" s="90" customFormat="1" ht="56.25">
      <c r="A591" s="82"/>
      <c r="B591" s="91" t="s">
        <v>107</v>
      </c>
      <c r="C591" s="92" t="s">
        <v>370</v>
      </c>
      <c r="D591" s="81" t="s">
        <v>122</v>
      </c>
      <c r="E591" s="81" t="s">
        <v>89</v>
      </c>
      <c r="F591" s="705" t="s">
        <v>104</v>
      </c>
      <c r="G591" s="706" t="s">
        <v>149</v>
      </c>
      <c r="H591" s="706" t="s">
        <v>91</v>
      </c>
      <c r="I591" s="707" t="s">
        <v>569</v>
      </c>
      <c r="J591" s="81" t="s">
        <v>108</v>
      </c>
      <c r="K591" s="550">
        <f>6926.7+945-5214.1-2037.6</f>
        <v>619.99999999999955</v>
      </c>
      <c r="L591" s="93">
        <f>M591-K591</f>
        <v>0</v>
      </c>
      <c r="M591" s="93">
        <f>6926.7+945-5214.1-2037.6</f>
        <v>619.99999999999955</v>
      </c>
    </row>
    <row r="592" spans="1:13" s="90" customFormat="1" ht="56.25">
      <c r="A592" s="82"/>
      <c r="B592" s="91" t="s">
        <v>292</v>
      </c>
      <c r="C592" s="92" t="s">
        <v>370</v>
      </c>
      <c r="D592" s="81" t="s">
        <v>122</v>
      </c>
      <c r="E592" s="81" t="s">
        <v>89</v>
      </c>
      <c r="F592" s="705" t="s">
        <v>104</v>
      </c>
      <c r="G592" s="706" t="s">
        <v>149</v>
      </c>
      <c r="H592" s="706" t="s">
        <v>91</v>
      </c>
      <c r="I592" s="707" t="s">
        <v>372</v>
      </c>
      <c r="J592" s="81"/>
      <c r="K592" s="550">
        <f>K594+K593</f>
        <v>153.1</v>
      </c>
      <c r="L592" s="93">
        <f>L593+L594</f>
        <v>-153.1</v>
      </c>
      <c r="M592" s="93">
        <f>M594+M593</f>
        <v>0</v>
      </c>
    </row>
    <row r="593" spans="1:13" s="90" customFormat="1" ht="112.5">
      <c r="A593" s="82"/>
      <c r="B593" s="91" t="s">
        <v>101</v>
      </c>
      <c r="C593" s="92" t="s">
        <v>370</v>
      </c>
      <c r="D593" s="81" t="s">
        <v>122</v>
      </c>
      <c r="E593" s="81" t="s">
        <v>89</v>
      </c>
      <c r="F593" s="705" t="s">
        <v>104</v>
      </c>
      <c r="G593" s="706" t="s">
        <v>149</v>
      </c>
      <c r="H593" s="706" t="s">
        <v>91</v>
      </c>
      <c r="I593" s="707" t="s">
        <v>372</v>
      </c>
      <c r="J593" s="81" t="s">
        <v>102</v>
      </c>
      <c r="K593" s="550">
        <v>14</v>
      </c>
      <c r="L593" s="93">
        <f>M593-K593</f>
        <v>-14</v>
      </c>
      <c r="M593" s="93">
        <f>14-14</f>
        <v>0</v>
      </c>
    </row>
    <row r="594" spans="1:13" s="90" customFormat="1" ht="54.6" customHeight="1">
      <c r="A594" s="82"/>
      <c r="B594" s="91" t="s">
        <v>107</v>
      </c>
      <c r="C594" s="92" t="s">
        <v>370</v>
      </c>
      <c r="D594" s="81" t="s">
        <v>122</v>
      </c>
      <c r="E594" s="81" t="s">
        <v>89</v>
      </c>
      <c r="F594" s="705" t="s">
        <v>104</v>
      </c>
      <c r="G594" s="706" t="s">
        <v>149</v>
      </c>
      <c r="H594" s="706" t="s">
        <v>91</v>
      </c>
      <c r="I594" s="707" t="s">
        <v>372</v>
      </c>
      <c r="J594" s="81" t="s">
        <v>108</v>
      </c>
      <c r="K594" s="550">
        <f>105.9+71.1-8.5-29.4</f>
        <v>139.1</v>
      </c>
      <c r="L594" s="93">
        <f>M594-K594</f>
        <v>-139.1</v>
      </c>
      <c r="M594" s="93">
        <f>105.9+71.1-8.5-29.4-139.1</f>
        <v>0</v>
      </c>
    </row>
    <row r="595" spans="1:13" s="90" customFormat="1" ht="117" customHeight="1">
      <c r="A595" s="82"/>
      <c r="B595" s="91" t="s">
        <v>777</v>
      </c>
      <c r="C595" s="92" t="s">
        <v>370</v>
      </c>
      <c r="D595" s="81" t="s">
        <v>122</v>
      </c>
      <c r="E595" s="81" t="s">
        <v>89</v>
      </c>
      <c r="F595" s="705" t="s">
        <v>104</v>
      </c>
      <c r="G595" s="706" t="s">
        <v>149</v>
      </c>
      <c r="H595" s="706" t="s">
        <v>91</v>
      </c>
      <c r="I595" s="707" t="s">
        <v>775</v>
      </c>
      <c r="J595" s="81"/>
      <c r="K595" s="550">
        <f>K596</f>
        <v>0</v>
      </c>
      <c r="L595" s="93">
        <f>L596</f>
        <v>833.80000000000007</v>
      </c>
      <c r="M595" s="93">
        <f>M596</f>
        <v>833.80000000000007</v>
      </c>
    </row>
    <row r="596" spans="1:13" s="90" customFormat="1" ht="54.6" customHeight="1">
      <c r="A596" s="82"/>
      <c r="B596" s="91" t="s">
        <v>107</v>
      </c>
      <c r="C596" s="92" t="s">
        <v>370</v>
      </c>
      <c r="D596" s="81" t="s">
        <v>122</v>
      </c>
      <c r="E596" s="81" t="s">
        <v>89</v>
      </c>
      <c r="F596" s="705" t="s">
        <v>104</v>
      </c>
      <c r="G596" s="706" t="s">
        <v>149</v>
      </c>
      <c r="H596" s="706" t="s">
        <v>91</v>
      </c>
      <c r="I596" s="707" t="s">
        <v>775</v>
      </c>
      <c r="J596" s="81" t="s">
        <v>108</v>
      </c>
      <c r="K596" s="550"/>
      <c r="L596" s="93">
        <f t="shared" ref="L596:L600" si="162">M596-K596</f>
        <v>833.80000000000007</v>
      </c>
      <c r="M596" s="93">
        <f>41.7+792.1</f>
        <v>833.80000000000007</v>
      </c>
    </row>
    <row r="597" spans="1:13" s="90" customFormat="1" ht="54.6" customHeight="1">
      <c r="A597" s="82"/>
      <c r="B597" s="91" t="s">
        <v>782</v>
      </c>
      <c r="C597" s="92" t="s">
        <v>370</v>
      </c>
      <c r="D597" s="81" t="s">
        <v>122</v>
      </c>
      <c r="E597" s="81" t="s">
        <v>89</v>
      </c>
      <c r="F597" s="705" t="s">
        <v>104</v>
      </c>
      <c r="G597" s="706" t="s">
        <v>149</v>
      </c>
      <c r="H597" s="706" t="s">
        <v>91</v>
      </c>
      <c r="I597" s="707" t="s">
        <v>776</v>
      </c>
      <c r="J597" s="81"/>
      <c r="K597" s="550"/>
      <c r="L597" s="93">
        <f>L598</f>
        <v>278.39999999999998</v>
      </c>
      <c r="M597" s="93">
        <f>M598</f>
        <v>278.39999999999998</v>
      </c>
    </row>
    <row r="598" spans="1:13" s="90" customFormat="1" ht="121.5" customHeight="1">
      <c r="A598" s="82"/>
      <c r="B598" s="91" t="s">
        <v>101</v>
      </c>
      <c r="C598" s="92" t="s">
        <v>370</v>
      </c>
      <c r="D598" s="81" t="s">
        <v>122</v>
      </c>
      <c r="E598" s="81" t="s">
        <v>89</v>
      </c>
      <c r="F598" s="705" t="s">
        <v>104</v>
      </c>
      <c r="G598" s="706" t="s">
        <v>149</v>
      </c>
      <c r="H598" s="706" t="s">
        <v>91</v>
      </c>
      <c r="I598" s="707" t="s">
        <v>781</v>
      </c>
      <c r="J598" s="81" t="s">
        <v>102</v>
      </c>
      <c r="K598" s="550"/>
      <c r="L598" s="93">
        <f t="shared" si="162"/>
        <v>278.39999999999998</v>
      </c>
      <c r="M598" s="93">
        <f>264.4+14</f>
        <v>278.39999999999998</v>
      </c>
    </row>
    <row r="599" spans="1:13" s="90" customFormat="1" ht="154.5" customHeight="1">
      <c r="A599" s="82"/>
      <c r="B599" s="91" t="s">
        <v>778</v>
      </c>
      <c r="C599" s="92" t="s">
        <v>370</v>
      </c>
      <c r="D599" s="81" t="s">
        <v>122</v>
      </c>
      <c r="E599" s="81" t="s">
        <v>89</v>
      </c>
      <c r="F599" s="705" t="s">
        <v>104</v>
      </c>
      <c r="G599" s="706" t="s">
        <v>149</v>
      </c>
      <c r="H599" s="706" t="s">
        <v>91</v>
      </c>
      <c r="I599" s="707" t="s">
        <v>776</v>
      </c>
      <c r="J599" s="81"/>
      <c r="K599" s="550">
        <f>K600</f>
        <v>0</v>
      </c>
      <c r="L599" s="93">
        <f>L600</f>
        <v>3244.5</v>
      </c>
      <c r="M599" s="93">
        <f>M600</f>
        <v>3244.5</v>
      </c>
    </row>
    <row r="600" spans="1:13" s="90" customFormat="1" ht="54.6" customHeight="1">
      <c r="A600" s="82"/>
      <c r="B600" s="91" t="s">
        <v>107</v>
      </c>
      <c r="C600" s="92" t="s">
        <v>370</v>
      </c>
      <c r="D600" s="81" t="s">
        <v>122</v>
      </c>
      <c r="E600" s="81" t="s">
        <v>89</v>
      </c>
      <c r="F600" s="705" t="s">
        <v>104</v>
      </c>
      <c r="G600" s="706" t="s">
        <v>149</v>
      </c>
      <c r="H600" s="706" t="s">
        <v>91</v>
      </c>
      <c r="I600" s="707" t="s">
        <v>776</v>
      </c>
      <c r="J600" s="81" t="s">
        <v>108</v>
      </c>
      <c r="K600" s="550"/>
      <c r="L600" s="93">
        <f t="shared" si="162"/>
        <v>3244.5</v>
      </c>
      <c r="M600" s="93">
        <f>97.4+3147.1</f>
        <v>3244.5</v>
      </c>
    </row>
    <row r="601" spans="1:13" s="94" customFormat="1" ht="18.75">
      <c r="A601" s="82"/>
      <c r="B601" s="99" t="s">
        <v>373</v>
      </c>
      <c r="C601" s="92" t="s">
        <v>370</v>
      </c>
      <c r="D601" s="81" t="s">
        <v>122</v>
      </c>
      <c r="E601" s="81" t="s">
        <v>91</v>
      </c>
      <c r="F601" s="705"/>
      <c r="G601" s="706"/>
      <c r="H601" s="706"/>
      <c r="I601" s="707"/>
      <c r="J601" s="81"/>
      <c r="K601" s="550">
        <f t="shared" ref="K601:M601" si="163">K602</f>
        <v>1720.3</v>
      </c>
      <c r="L601" s="93">
        <f>L602</f>
        <v>41.5</v>
      </c>
      <c r="M601" s="93">
        <f t="shared" si="163"/>
        <v>1761.8</v>
      </c>
    </row>
    <row r="602" spans="1:13" s="94" customFormat="1" ht="56.25">
      <c r="A602" s="82"/>
      <c r="B602" s="91" t="s">
        <v>290</v>
      </c>
      <c r="C602" s="92" t="s">
        <v>370</v>
      </c>
      <c r="D602" s="81" t="s">
        <v>122</v>
      </c>
      <c r="E602" s="81" t="s">
        <v>91</v>
      </c>
      <c r="F602" s="705" t="s">
        <v>104</v>
      </c>
      <c r="G602" s="706" t="s">
        <v>94</v>
      </c>
      <c r="H602" s="706" t="s">
        <v>95</v>
      </c>
      <c r="I602" s="707" t="s">
        <v>96</v>
      </c>
      <c r="J602" s="81"/>
      <c r="K602" s="550">
        <f t="shared" ref="K602:M602" si="164">K603+K608</f>
        <v>1720.3</v>
      </c>
      <c r="L602" s="93">
        <f>L603</f>
        <v>41.5</v>
      </c>
      <c r="M602" s="93">
        <f t="shared" si="164"/>
        <v>1761.8</v>
      </c>
    </row>
    <row r="603" spans="1:13" s="94" customFormat="1" ht="37.5">
      <c r="A603" s="82"/>
      <c r="B603" s="99" t="s">
        <v>291</v>
      </c>
      <c r="C603" s="92" t="s">
        <v>370</v>
      </c>
      <c r="D603" s="81" t="s">
        <v>122</v>
      </c>
      <c r="E603" s="81" t="s">
        <v>91</v>
      </c>
      <c r="F603" s="705" t="s">
        <v>104</v>
      </c>
      <c r="G603" s="706" t="s">
        <v>97</v>
      </c>
      <c r="H603" s="706" t="s">
        <v>95</v>
      </c>
      <c r="I603" s="707" t="s">
        <v>96</v>
      </c>
      <c r="J603" s="81"/>
      <c r="K603" s="550">
        <f t="shared" ref="K603:M604" si="165">K604</f>
        <v>697.09999999999991</v>
      </c>
      <c r="L603" s="93">
        <f>L604</f>
        <v>41.5</v>
      </c>
      <c r="M603" s="93">
        <f t="shared" si="165"/>
        <v>738.59999999999991</v>
      </c>
    </row>
    <row r="604" spans="1:13" s="94" customFormat="1" ht="56.25">
      <c r="A604" s="82"/>
      <c r="B604" s="91" t="s">
        <v>371</v>
      </c>
      <c r="C604" s="92" t="s">
        <v>370</v>
      </c>
      <c r="D604" s="81" t="s">
        <v>122</v>
      </c>
      <c r="E604" s="81" t="s">
        <v>91</v>
      </c>
      <c r="F604" s="705" t="s">
        <v>104</v>
      </c>
      <c r="G604" s="706" t="s">
        <v>97</v>
      </c>
      <c r="H604" s="706" t="s">
        <v>91</v>
      </c>
      <c r="I604" s="707" t="s">
        <v>96</v>
      </c>
      <c r="J604" s="81"/>
      <c r="K604" s="550">
        <f t="shared" si="165"/>
        <v>697.09999999999991</v>
      </c>
      <c r="L604" s="93">
        <f>L605</f>
        <v>41.5</v>
      </c>
      <c r="M604" s="93">
        <f t="shared" si="165"/>
        <v>738.59999999999991</v>
      </c>
    </row>
    <row r="605" spans="1:13" s="94" customFormat="1" ht="56.25">
      <c r="A605" s="82"/>
      <c r="B605" s="91" t="s">
        <v>292</v>
      </c>
      <c r="C605" s="92" t="s">
        <v>370</v>
      </c>
      <c r="D605" s="81" t="s">
        <v>122</v>
      </c>
      <c r="E605" s="81" t="s">
        <v>91</v>
      </c>
      <c r="F605" s="705" t="s">
        <v>104</v>
      </c>
      <c r="G605" s="706" t="s">
        <v>97</v>
      </c>
      <c r="H605" s="706" t="s">
        <v>91</v>
      </c>
      <c r="I605" s="707" t="s">
        <v>372</v>
      </c>
      <c r="J605" s="81"/>
      <c r="K605" s="550">
        <f t="shared" ref="K605:M605" si="166">SUM(K606:K607)</f>
        <v>697.09999999999991</v>
      </c>
      <c r="L605" s="93">
        <f>SUM(L606:L607)</f>
        <v>41.5</v>
      </c>
      <c r="M605" s="93">
        <f t="shared" si="166"/>
        <v>738.59999999999991</v>
      </c>
    </row>
    <row r="606" spans="1:13" s="94" customFormat="1" ht="103.15" customHeight="1">
      <c r="A606" s="82"/>
      <c r="B606" s="91" t="s">
        <v>101</v>
      </c>
      <c r="C606" s="92" t="s">
        <v>370</v>
      </c>
      <c r="D606" s="81" t="s">
        <v>122</v>
      </c>
      <c r="E606" s="81" t="s">
        <v>91</v>
      </c>
      <c r="F606" s="705" t="s">
        <v>104</v>
      </c>
      <c r="G606" s="706" t="s">
        <v>97</v>
      </c>
      <c r="H606" s="706" t="s">
        <v>91</v>
      </c>
      <c r="I606" s="707" t="s">
        <v>372</v>
      </c>
      <c r="J606" s="81" t="s">
        <v>102</v>
      </c>
      <c r="K606" s="550">
        <f>439.8+110+100</f>
        <v>649.79999999999995</v>
      </c>
      <c r="L606" s="93">
        <f>M606-K606</f>
        <v>41.5</v>
      </c>
      <c r="M606" s="93">
        <f>439.8+110+100+41.5</f>
        <v>691.3</v>
      </c>
    </row>
    <row r="607" spans="1:13" s="94" customFormat="1" ht="52.9" customHeight="1">
      <c r="A607" s="82"/>
      <c r="B607" s="91" t="s">
        <v>107</v>
      </c>
      <c r="C607" s="92" t="s">
        <v>370</v>
      </c>
      <c r="D607" s="81" t="s">
        <v>122</v>
      </c>
      <c r="E607" s="81" t="s">
        <v>91</v>
      </c>
      <c r="F607" s="705" t="s">
        <v>104</v>
      </c>
      <c r="G607" s="706" t="s">
        <v>97</v>
      </c>
      <c r="H607" s="706" t="s">
        <v>91</v>
      </c>
      <c r="I607" s="707" t="s">
        <v>372</v>
      </c>
      <c r="J607" s="81" t="s">
        <v>108</v>
      </c>
      <c r="K607" s="550">
        <v>47.3</v>
      </c>
      <c r="L607" s="93">
        <f t="shared" ref="L607" si="167">M607-K607</f>
        <v>0</v>
      </c>
      <c r="M607" s="93">
        <v>47.3</v>
      </c>
    </row>
    <row r="608" spans="1:13" s="94" customFormat="1" ht="37.5">
      <c r="A608" s="82"/>
      <c r="B608" s="100" t="s">
        <v>455</v>
      </c>
      <c r="C608" s="92" t="s">
        <v>370</v>
      </c>
      <c r="D608" s="81" t="s">
        <v>122</v>
      </c>
      <c r="E608" s="81" t="s">
        <v>91</v>
      </c>
      <c r="F608" s="705" t="s">
        <v>104</v>
      </c>
      <c r="G608" s="706" t="s">
        <v>83</v>
      </c>
      <c r="H608" s="706" t="s">
        <v>95</v>
      </c>
      <c r="I608" s="707" t="s">
        <v>96</v>
      </c>
      <c r="J608" s="81"/>
      <c r="K608" s="550">
        <f t="shared" ref="K608:M610" si="168">K609</f>
        <v>1023.2</v>
      </c>
      <c r="L608" s="93">
        <f t="shared" si="168"/>
        <v>0</v>
      </c>
      <c r="M608" s="93">
        <f t="shared" si="168"/>
        <v>1023.2</v>
      </c>
    </row>
    <row r="609" spans="1:13" s="94" customFormat="1" ht="75">
      <c r="A609" s="82"/>
      <c r="B609" s="91" t="s">
        <v>530</v>
      </c>
      <c r="C609" s="92" t="s">
        <v>370</v>
      </c>
      <c r="D609" s="81" t="s">
        <v>122</v>
      </c>
      <c r="E609" s="81" t="s">
        <v>91</v>
      </c>
      <c r="F609" s="705" t="s">
        <v>104</v>
      </c>
      <c r="G609" s="706" t="s">
        <v>83</v>
      </c>
      <c r="H609" s="706" t="s">
        <v>104</v>
      </c>
      <c r="I609" s="707" t="s">
        <v>96</v>
      </c>
      <c r="J609" s="81"/>
      <c r="K609" s="550">
        <f t="shared" si="168"/>
        <v>1023.2</v>
      </c>
      <c r="L609" s="93">
        <f t="shared" si="168"/>
        <v>0</v>
      </c>
      <c r="M609" s="93">
        <f t="shared" si="168"/>
        <v>1023.2</v>
      </c>
    </row>
    <row r="610" spans="1:13" s="94" customFormat="1" ht="41.45" customHeight="1">
      <c r="A610" s="82"/>
      <c r="B610" s="91" t="s">
        <v>132</v>
      </c>
      <c r="C610" s="92" t="s">
        <v>370</v>
      </c>
      <c r="D610" s="81" t="s">
        <v>122</v>
      </c>
      <c r="E610" s="81" t="s">
        <v>91</v>
      </c>
      <c r="F610" s="705" t="s">
        <v>104</v>
      </c>
      <c r="G610" s="706" t="s">
        <v>83</v>
      </c>
      <c r="H610" s="706" t="s">
        <v>104</v>
      </c>
      <c r="I610" s="707" t="s">
        <v>133</v>
      </c>
      <c r="J610" s="81"/>
      <c r="K610" s="550">
        <f t="shared" si="168"/>
        <v>1023.2</v>
      </c>
      <c r="L610" s="93">
        <f t="shared" si="168"/>
        <v>0</v>
      </c>
      <c r="M610" s="93">
        <f t="shared" si="168"/>
        <v>1023.2</v>
      </c>
    </row>
    <row r="611" spans="1:13" s="94" customFormat="1" ht="56.25">
      <c r="A611" s="82"/>
      <c r="B611" s="101" t="s">
        <v>134</v>
      </c>
      <c r="C611" s="92" t="s">
        <v>370</v>
      </c>
      <c r="D611" s="81" t="s">
        <v>122</v>
      </c>
      <c r="E611" s="81" t="s">
        <v>91</v>
      </c>
      <c r="F611" s="705" t="s">
        <v>104</v>
      </c>
      <c r="G611" s="706" t="s">
        <v>83</v>
      </c>
      <c r="H611" s="706" t="s">
        <v>104</v>
      </c>
      <c r="I611" s="707" t="s">
        <v>133</v>
      </c>
      <c r="J611" s="81" t="s">
        <v>135</v>
      </c>
      <c r="K611" s="550">
        <v>1023.2</v>
      </c>
      <c r="L611" s="93">
        <f>M611-K611</f>
        <v>0</v>
      </c>
      <c r="M611" s="93">
        <v>1023.2</v>
      </c>
    </row>
    <row r="612" spans="1:13" s="94" customFormat="1" ht="37.5">
      <c r="A612" s="82"/>
      <c r="B612" s="99" t="s">
        <v>271</v>
      </c>
      <c r="C612" s="92" t="s">
        <v>370</v>
      </c>
      <c r="D612" s="81" t="s">
        <v>122</v>
      </c>
      <c r="E612" s="81" t="s">
        <v>120</v>
      </c>
      <c r="F612" s="705"/>
      <c r="G612" s="706"/>
      <c r="H612" s="706"/>
      <c r="I612" s="707"/>
      <c r="J612" s="81"/>
      <c r="K612" s="550">
        <f t="shared" ref="K612:M615" si="169">K613</f>
        <v>2350.1</v>
      </c>
      <c r="L612" s="93">
        <f t="shared" si="169"/>
        <v>0</v>
      </c>
      <c r="M612" s="93">
        <f t="shared" si="169"/>
        <v>2350.1</v>
      </c>
    </row>
    <row r="613" spans="1:13" s="94" customFormat="1" ht="56.25">
      <c r="A613" s="82"/>
      <c r="B613" s="91" t="s">
        <v>290</v>
      </c>
      <c r="C613" s="92" t="s">
        <v>370</v>
      </c>
      <c r="D613" s="81" t="s">
        <v>122</v>
      </c>
      <c r="E613" s="81" t="s">
        <v>120</v>
      </c>
      <c r="F613" s="705" t="s">
        <v>104</v>
      </c>
      <c r="G613" s="706" t="s">
        <v>94</v>
      </c>
      <c r="H613" s="706" t="s">
        <v>95</v>
      </c>
      <c r="I613" s="707" t="s">
        <v>96</v>
      </c>
      <c r="J613" s="81"/>
      <c r="K613" s="550">
        <f t="shared" si="169"/>
        <v>2350.1</v>
      </c>
      <c r="L613" s="93">
        <f t="shared" si="169"/>
        <v>0</v>
      </c>
      <c r="M613" s="93">
        <f t="shared" si="169"/>
        <v>2350.1</v>
      </c>
    </row>
    <row r="614" spans="1:13" s="94" customFormat="1" ht="37.5">
      <c r="A614" s="82"/>
      <c r="B614" s="97" t="s">
        <v>293</v>
      </c>
      <c r="C614" s="92" t="s">
        <v>370</v>
      </c>
      <c r="D614" s="81" t="s">
        <v>122</v>
      </c>
      <c r="E614" s="81" t="s">
        <v>120</v>
      </c>
      <c r="F614" s="705" t="s">
        <v>104</v>
      </c>
      <c r="G614" s="706" t="s">
        <v>149</v>
      </c>
      <c r="H614" s="706" t="s">
        <v>95</v>
      </c>
      <c r="I614" s="707" t="s">
        <v>96</v>
      </c>
      <c r="J614" s="81"/>
      <c r="K614" s="550">
        <f t="shared" si="169"/>
        <v>2350.1</v>
      </c>
      <c r="L614" s="93">
        <f t="shared" si="169"/>
        <v>0</v>
      </c>
      <c r="M614" s="93">
        <f t="shared" si="169"/>
        <v>2350.1</v>
      </c>
    </row>
    <row r="615" spans="1:13" s="94" customFormat="1" ht="37.5">
      <c r="A615" s="82"/>
      <c r="B615" s="91" t="s">
        <v>361</v>
      </c>
      <c r="C615" s="92" t="s">
        <v>370</v>
      </c>
      <c r="D615" s="81" t="s">
        <v>122</v>
      </c>
      <c r="E615" s="81" t="s">
        <v>120</v>
      </c>
      <c r="F615" s="705" t="s">
        <v>104</v>
      </c>
      <c r="G615" s="706" t="s">
        <v>149</v>
      </c>
      <c r="H615" s="706" t="s">
        <v>89</v>
      </c>
      <c r="I615" s="707" t="s">
        <v>96</v>
      </c>
      <c r="J615" s="81"/>
      <c r="K615" s="550">
        <f t="shared" si="169"/>
        <v>2350.1</v>
      </c>
      <c r="L615" s="93">
        <f t="shared" si="169"/>
        <v>0</v>
      </c>
      <c r="M615" s="93">
        <f t="shared" si="169"/>
        <v>2350.1</v>
      </c>
    </row>
    <row r="616" spans="1:13" s="94" customFormat="1" ht="37.5">
      <c r="A616" s="82"/>
      <c r="B616" s="91" t="s">
        <v>99</v>
      </c>
      <c r="C616" s="92" t="s">
        <v>370</v>
      </c>
      <c r="D616" s="81" t="s">
        <v>122</v>
      </c>
      <c r="E616" s="81" t="s">
        <v>120</v>
      </c>
      <c r="F616" s="705" t="s">
        <v>104</v>
      </c>
      <c r="G616" s="706" t="s">
        <v>149</v>
      </c>
      <c r="H616" s="706" t="s">
        <v>89</v>
      </c>
      <c r="I616" s="707" t="s">
        <v>100</v>
      </c>
      <c r="J616" s="81"/>
      <c r="K616" s="550">
        <f t="shared" ref="K616" si="170">K617+K618+K619</f>
        <v>2350.1</v>
      </c>
      <c r="L616" s="93">
        <f t="shared" ref="L616:M616" si="171">L617+L618+L619</f>
        <v>0</v>
      </c>
      <c r="M616" s="93">
        <f t="shared" si="171"/>
        <v>2350.1</v>
      </c>
    </row>
    <row r="617" spans="1:13" s="94" customFormat="1" ht="87.6" customHeight="1">
      <c r="A617" s="82"/>
      <c r="B617" s="91" t="s">
        <v>101</v>
      </c>
      <c r="C617" s="92" t="s">
        <v>370</v>
      </c>
      <c r="D617" s="81" t="s">
        <v>122</v>
      </c>
      <c r="E617" s="81" t="s">
        <v>120</v>
      </c>
      <c r="F617" s="705" t="s">
        <v>104</v>
      </c>
      <c r="G617" s="706" t="s">
        <v>149</v>
      </c>
      <c r="H617" s="706" t="s">
        <v>89</v>
      </c>
      <c r="I617" s="707" t="s">
        <v>100</v>
      </c>
      <c r="J617" s="81" t="s">
        <v>102</v>
      </c>
      <c r="K617" s="550">
        <v>2262.1</v>
      </c>
      <c r="L617" s="93">
        <f t="shared" ref="L617:L619" si="172">M617-K617</f>
        <v>0</v>
      </c>
      <c r="M617" s="93">
        <v>2262.1</v>
      </c>
    </row>
    <row r="618" spans="1:13" s="94" customFormat="1" ht="56.45" customHeight="1">
      <c r="A618" s="82"/>
      <c r="B618" s="463" t="s">
        <v>107</v>
      </c>
      <c r="C618" s="92" t="s">
        <v>370</v>
      </c>
      <c r="D618" s="81" t="s">
        <v>122</v>
      </c>
      <c r="E618" s="81" t="s">
        <v>120</v>
      </c>
      <c r="F618" s="705" t="s">
        <v>104</v>
      </c>
      <c r="G618" s="706" t="s">
        <v>149</v>
      </c>
      <c r="H618" s="706" t="s">
        <v>89</v>
      </c>
      <c r="I618" s="707" t="s">
        <v>100</v>
      </c>
      <c r="J618" s="81" t="s">
        <v>108</v>
      </c>
      <c r="K618" s="550">
        <v>85.8</v>
      </c>
      <c r="L618" s="93">
        <f t="shared" si="172"/>
        <v>0</v>
      </c>
      <c r="M618" s="93">
        <v>85.8</v>
      </c>
    </row>
    <row r="619" spans="1:13" s="94" customFormat="1" ht="18.75">
      <c r="A619" s="82"/>
      <c r="B619" s="91" t="s">
        <v>109</v>
      </c>
      <c r="C619" s="92" t="s">
        <v>370</v>
      </c>
      <c r="D619" s="81" t="s">
        <v>122</v>
      </c>
      <c r="E619" s="81" t="s">
        <v>120</v>
      </c>
      <c r="F619" s="705" t="s">
        <v>104</v>
      </c>
      <c r="G619" s="706" t="s">
        <v>149</v>
      </c>
      <c r="H619" s="706" t="s">
        <v>89</v>
      </c>
      <c r="I619" s="707" t="s">
        <v>100</v>
      </c>
      <c r="J619" s="81" t="s">
        <v>110</v>
      </c>
      <c r="K619" s="550">
        <v>2.2000000000000002</v>
      </c>
      <c r="L619" s="93">
        <f t="shared" si="172"/>
        <v>0</v>
      </c>
      <c r="M619" s="93">
        <v>2.2000000000000002</v>
      </c>
    </row>
    <row r="620" spans="1:13" s="94" customFormat="1" ht="18.75">
      <c r="A620" s="82"/>
      <c r="B620" s="91"/>
      <c r="C620" s="92"/>
      <c r="D620" s="81"/>
      <c r="E620" s="81"/>
      <c r="F620" s="705"/>
      <c r="G620" s="706"/>
      <c r="H620" s="706"/>
      <c r="I620" s="707"/>
      <c r="J620" s="81"/>
      <c r="K620" s="550"/>
      <c r="L620" s="93"/>
      <c r="M620" s="93"/>
    </row>
    <row r="621" spans="1:13" s="90" customFormat="1" ht="56.25">
      <c r="A621" s="83">
        <v>8</v>
      </c>
      <c r="B621" s="84" t="s">
        <v>58</v>
      </c>
      <c r="C621" s="85" t="s">
        <v>366</v>
      </c>
      <c r="D621" s="86"/>
      <c r="E621" s="86"/>
      <c r="F621" s="87"/>
      <c r="G621" s="88"/>
      <c r="H621" s="88"/>
      <c r="I621" s="89"/>
      <c r="J621" s="86"/>
      <c r="K621" s="549">
        <f>K622</f>
        <v>5680.2</v>
      </c>
      <c r="L621" s="156">
        <f>L622</f>
        <v>0</v>
      </c>
      <c r="M621" s="156">
        <f>M622</f>
        <v>5680.2</v>
      </c>
    </row>
    <row r="622" spans="1:13" s="94" customFormat="1" ht="18.75">
      <c r="A622" s="83"/>
      <c r="B622" s="91" t="s">
        <v>247</v>
      </c>
      <c r="C622" s="92" t="s">
        <v>366</v>
      </c>
      <c r="D622" s="81" t="s">
        <v>297</v>
      </c>
      <c r="E622" s="81"/>
      <c r="F622" s="705"/>
      <c r="G622" s="706"/>
      <c r="H622" s="706"/>
      <c r="I622" s="707"/>
      <c r="J622" s="81"/>
      <c r="K622" s="550">
        <f>K623+K632</f>
        <v>5680.2</v>
      </c>
      <c r="L622" s="93">
        <f>L623+L632</f>
        <v>0</v>
      </c>
      <c r="M622" s="93">
        <f>M623+M632</f>
        <v>5680.2</v>
      </c>
    </row>
    <row r="623" spans="1:13" s="95" customFormat="1" ht="18.75">
      <c r="A623" s="83"/>
      <c r="B623" s="91" t="s">
        <v>482</v>
      </c>
      <c r="C623" s="92" t="s">
        <v>366</v>
      </c>
      <c r="D623" s="81" t="s">
        <v>297</v>
      </c>
      <c r="E623" s="81" t="s">
        <v>297</v>
      </c>
      <c r="F623" s="705"/>
      <c r="G623" s="706"/>
      <c r="H623" s="706"/>
      <c r="I623" s="707"/>
      <c r="J623" s="81"/>
      <c r="K623" s="550">
        <f t="shared" ref="K623:M625" si="173">K624</f>
        <v>2751.7</v>
      </c>
      <c r="L623" s="93">
        <f t="shared" si="173"/>
        <v>0</v>
      </c>
      <c r="M623" s="93">
        <f t="shared" si="173"/>
        <v>2751.7</v>
      </c>
    </row>
    <row r="624" spans="1:13" s="95" customFormat="1" ht="56.25">
      <c r="A624" s="83"/>
      <c r="B624" s="91" t="s">
        <v>294</v>
      </c>
      <c r="C624" s="92" t="s">
        <v>366</v>
      </c>
      <c r="D624" s="81" t="s">
        <v>297</v>
      </c>
      <c r="E624" s="81" t="s">
        <v>297</v>
      </c>
      <c r="F624" s="705" t="s">
        <v>120</v>
      </c>
      <c r="G624" s="706" t="s">
        <v>94</v>
      </c>
      <c r="H624" s="706" t="s">
        <v>95</v>
      </c>
      <c r="I624" s="707" t="s">
        <v>96</v>
      </c>
      <c r="J624" s="81"/>
      <c r="K624" s="550">
        <f t="shared" si="173"/>
        <v>2751.7</v>
      </c>
      <c r="L624" s="93">
        <f t="shared" si="173"/>
        <v>0</v>
      </c>
      <c r="M624" s="93">
        <f t="shared" si="173"/>
        <v>2751.7</v>
      </c>
    </row>
    <row r="625" spans="1:13" s="95" customFormat="1" ht="18.75">
      <c r="A625" s="83"/>
      <c r="B625" s="91" t="s">
        <v>295</v>
      </c>
      <c r="C625" s="92" t="s">
        <v>366</v>
      </c>
      <c r="D625" s="81" t="s">
        <v>297</v>
      </c>
      <c r="E625" s="81" t="s">
        <v>297</v>
      </c>
      <c r="F625" s="705" t="s">
        <v>120</v>
      </c>
      <c r="G625" s="706" t="s">
        <v>97</v>
      </c>
      <c r="H625" s="706" t="s">
        <v>95</v>
      </c>
      <c r="I625" s="707" t="s">
        <v>96</v>
      </c>
      <c r="J625" s="81"/>
      <c r="K625" s="550">
        <f t="shared" si="173"/>
        <v>2751.7</v>
      </c>
      <c r="L625" s="93">
        <f t="shared" si="173"/>
        <v>0</v>
      </c>
      <c r="M625" s="93">
        <f t="shared" si="173"/>
        <v>2751.7</v>
      </c>
    </row>
    <row r="626" spans="1:13" s="95" customFormat="1" ht="93.75">
      <c r="A626" s="83"/>
      <c r="B626" s="91" t="s">
        <v>367</v>
      </c>
      <c r="C626" s="92" t="s">
        <v>366</v>
      </c>
      <c r="D626" s="81" t="s">
        <v>297</v>
      </c>
      <c r="E626" s="81" t="s">
        <v>297</v>
      </c>
      <c r="F626" s="705" t="s">
        <v>120</v>
      </c>
      <c r="G626" s="706" t="s">
        <v>97</v>
      </c>
      <c r="H626" s="706" t="s">
        <v>89</v>
      </c>
      <c r="I626" s="707" t="s">
        <v>96</v>
      </c>
      <c r="J626" s="81"/>
      <c r="K626" s="550">
        <f>K627+K630</f>
        <v>2751.7</v>
      </c>
      <c r="L626" s="93">
        <f>L627+L630</f>
        <v>0</v>
      </c>
      <c r="M626" s="93">
        <f>M627+M630</f>
        <v>2751.7</v>
      </c>
    </row>
    <row r="627" spans="1:13" s="95" customFormat="1" ht="77.45" customHeight="1">
      <c r="A627" s="83"/>
      <c r="B627" s="463" t="s">
        <v>150</v>
      </c>
      <c r="C627" s="92" t="s">
        <v>366</v>
      </c>
      <c r="D627" s="81" t="s">
        <v>297</v>
      </c>
      <c r="E627" s="81" t="s">
        <v>297</v>
      </c>
      <c r="F627" s="705" t="s">
        <v>120</v>
      </c>
      <c r="G627" s="706" t="s">
        <v>97</v>
      </c>
      <c r="H627" s="706" t="s">
        <v>89</v>
      </c>
      <c r="I627" s="707" t="s">
        <v>152</v>
      </c>
      <c r="J627" s="81"/>
      <c r="K627" s="550">
        <f>K628+K629</f>
        <v>2141.9</v>
      </c>
      <c r="L627" s="93">
        <f>L628+L629</f>
        <v>0</v>
      </c>
      <c r="M627" s="93">
        <f>M628+M629</f>
        <v>2141.9</v>
      </c>
    </row>
    <row r="628" spans="1:13" s="95" customFormat="1" ht="41.45" customHeight="1">
      <c r="A628" s="82"/>
      <c r="B628" s="463" t="s">
        <v>101</v>
      </c>
      <c r="C628" s="92" t="s">
        <v>366</v>
      </c>
      <c r="D628" s="81" t="s">
        <v>297</v>
      </c>
      <c r="E628" s="81" t="s">
        <v>297</v>
      </c>
      <c r="F628" s="705" t="s">
        <v>120</v>
      </c>
      <c r="G628" s="706" t="s">
        <v>97</v>
      </c>
      <c r="H628" s="706" t="s">
        <v>89</v>
      </c>
      <c r="I628" s="707" t="s">
        <v>152</v>
      </c>
      <c r="J628" s="81" t="s">
        <v>102</v>
      </c>
      <c r="K628" s="550">
        <v>2114.5</v>
      </c>
      <c r="L628" s="93">
        <f t="shared" ref="L628:L629" si="174">M628-K628</f>
        <v>0</v>
      </c>
      <c r="M628" s="93">
        <v>2114.5</v>
      </c>
    </row>
    <row r="629" spans="1:13" s="94" customFormat="1" ht="59.45" customHeight="1">
      <c r="A629" s="82"/>
      <c r="B629" s="463" t="s">
        <v>107</v>
      </c>
      <c r="C629" s="92" t="s">
        <v>366</v>
      </c>
      <c r="D629" s="81" t="s">
        <v>297</v>
      </c>
      <c r="E629" s="81" t="s">
        <v>297</v>
      </c>
      <c r="F629" s="705" t="s">
        <v>120</v>
      </c>
      <c r="G629" s="706" t="s">
        <v>97</v>
      </c>
      <c r="H629" s="706" t="s">
        <v>89</v>
      </c>
      <c r="I629" s="707" t="s">
        <v>152</v>
      </c>
      <c r="J629" s="81" t="s">
        <v>108</v>
      </c>
      <c r="K629" s="550">
        <v>27.4</v>
      </c>
      <c r="L629" s="93">
        <f t="shared" si="174"/>
        <v>0</v>
      </c>
      <c r="M629" s="93">
        <v>27.4</v>
      </c>
    </row>
    <row r="630" spans="1:13" s="78" customFormat="1" ht="56.25">
      <c r="A630" s="82"/>
      <c r="B630" s="91" t="s">
        <v>368</v>
      </c>
      <c r="C630" s="92" t="s">
        <v>366</v>
      </c>
      <c r="D630" s="81" t="s">
        <v>297</v>
      </c>
      <c r="E630" s="81" t="s">
        <v>297</v>
      </c>
      <c r="F630" s="705" t="s">
        <v>120</v>
      </c>
      <c r="G630" s="706" t="s">
        <v>97</v>
      </c>
      <c r="H630" s="706" t="s">
        <v>89</v>
      </c>
      <c r="I630" s="707" t="s">
        <v>369</v>
      </c>
      <c r="J630" s="81"/>
      <c r="K630" s="550">
        <f>K631</f>
        <v>609.79999999999995</v>
      </c>
      <c r="L630" s="93">
        <f>L631</f>
        <v>0</v>
      </c>
      <c r="M630" s="93">
        <f>M631</f>
        <v>609.79999999999995</v>
      </c>
    </row>
    <row r="631" spans="1:13" s="78" customFormat="1" ht="54" customHeight="1">
      <c r="A631" s="82"/>
      <c r="B631" s="91" t="s">
        <v>107</v>
      </c>
      <c r="C631" s="92" t="s">
        <v>366</v>
      </c>
      <c r="D631" s="81" t="s">
        <v>297</v>
      </c>
      <c r="E631" s="81" t="s">
        <v>297</v>
      </c>
      <c r="F631" s="705" t="s">
        <v>120</v>
      </c>
      <c r="G631" s="706" t="s">
        <v>97</v>
      </c>
      <c r="H631" s="706" t="s">
        <v>89</v>
      </c>
      <c r="I631" s="707" t="s">
        <v>369</v>
      </c>
      <c r="J631" s="81" t="s">
        <v>108</v>
      </c>
      <c r="K631" s="550">
        <f>397.3+167.5+45</f>
        <v>609.79999999999995</v>
      </c>
      <c r="L631" s="93">
        <f>M631-K631</f>
        <v>0</v>
      </c>
      <c r="M631" s="93">
        <f>397.3+167.5+45</f>
        <v>609.79999999999995</v>
      </c>
    </row>
    <row r="632" spans="1:13" s="94" customFormat="1" ht="18.75">
      <c r="A632" s="82"/>
      <c r="B632" s="91" t="s">
        <v>254</v>
      </c>
      <c r="C632" s="129" t="s">
        <v>366</v>
      </c>
      <c r="D632" s="81" t="s">
        <v>297</v>
      </c>
      <c r="E632" s="81" t="s">
        <v>138</v>
      </c>
      <c r="F632" s="130"/>
      <c r="G632" s="131"/>
      <c r="H632" s="131"/>
      <c r="I632" s="132"/>
      <c r="J632" s="133"/>
      <c r="K632" s="550">
        <f t="shared" ref="K632:M635" si="175">K633</f>
        <v>2928.5</v>
      </c>
      <c r="L632" s="93">
        <f t="shared" si="175"/>
        <v>0</v>
      </c>
      <c r="M632" s="93">
        <f t="shared" si="175"/>
        <v>2928.5</v>
      </c>
    </row>
    <row r="633" spans="1:13" s="94" customFormat="1" ht="56.25">
      <c r="A633" s="82"/>
      <c r="B633" s="91" t="s">
        <v>294</v>
      </c>
      <c r="C633" s="129" t="s">
        <v>366</v>
      </c>
      <c r="D633" s="81" t="s">
        <v>297</v>
      </c>
      <c r="E633" s="81" t="s">
        <v>138</v>
      </c>
      <c r="F633" s="130" t="s">
        <v>120</v>
      </c>
      <c r="G633" s="131" t="s">
        <v>94</v>
      </c>
      <c r="H633" s="131" t="s">
        <v>95</v>
      </c>
      <c r="I633" s="132" t="s">
        <v>96</v>
      </c>
      <c r="J633" s="133"/>
      <c r="K633" s="550">
        <f t="shared" si="175"/>
        <v>2928.5</v>
      </c>
      <c r="L633" s="93">
        <f t="shared" si="175"/>
        <v>0</v>
      </c>
      <c r="M633" s="93">
        <f t="shared" si="175"/>
        <v>2928.5</v>
      </c>
    </row>
    <row r="634" spans="1:13" s="78" customFormat="1" ht="37.5">
      <c r="A634" s="82"/>
      <c r="B634" s="91" t="s">
        <v>293</v>
      </c>
      <c r="C634" s="92" t="s">
        <v>366</v>
      </c>
      <c r="D634" s="81" t="s">
        <v>297</v>
      </c>
      <c r="E634" s="81" t="s">
        <v>138</v>
      </c>
      <c r="F634" s="705" t="s">
        <v>120</v>
      </c>
      <c r="G634" s="706" t="s">
        <v>149</v>
      </c>
      <c r="H634" s="706" t="s">
        <v>95</v>
      </c>
      <c r="I634" s="707" t="s">
        <v>96</v>
      </c>
      <c r="J634" s="81"/>
      <c r="K634" s="550">
        <f t="shared" si="175"/>
        <v>2928.5</v>
      </c>
      <c r="L634" s="93">
        <f t="shared" si="175"/>
        <v>0</v>
      </c>
      <c r="M634" s="93">
        <f t="shared" si="175"/>
        <v>2928.5</v>
      </c>
    </row>
    <row r="635" spans="1:13" s="95" customFormat="1" ht="37.5">
      <c r="A635" s="82"/>
      <c r="B635" s="91" t="s">
        <v>361</v>
      </c>
      <c r="C635" s="92" t="s">
        <v>366</v>
      </c>
      <c r="D635" s="81" t="s">
        <v>297</v>
      </c>
      <c r="E635" s="81" t="s">
        <v>138</v>
      </c>
      <c r="F635" s="705" t="s">
        <v>120</v>
      </c>
      <c r="G635" s="706" t="s">
        <v>149</v>
      </c>
      <c r="H635" s="706" t="s">
        <v>89</v>
      </c>
      <c r="I635" s="707" t="s">
        <v>96</v>
      </c>
      <c r="J635" s="81"/>
      <c r="K635" s="550">
        <f t="shared" si="175"/>
        <v>2928.5</v>
      </c>
      <c r="L635" s="93">
        <f t="shared" si="175"/>
        <v>0</v>
      </c>
      <c r="M635" s="93">
        <f t="shared" si="175"/>
        <v>2928.5</v>
      </c>
    </row>
    <row r="636" spans="1:13" s="94" customFormat="1" ht="37.5">
      <c r="A636" s="82"/>
      <c r="B636" s="91" t="s">
        <v>99</v>
      </c>
      <c r="C636" s="92" t="s">
        <v>366</v>
      </c>
      <c r="D636" s="81" t="s">
        <v>297</v>
      </c>
      <c r="E636" s="81" t="s">
        <v>138</v>
      </c>
      <c r="F636" s="705" t="s">
        <v>120</v>
      </c>
      <c r="G636" s="706" t="s">
        <v>149</v>
      </c>
      <c r="H636" s="706" t="s">
        <v>89</v>
      </c>
      <c r="I636" s="707" t="s">
        <v>100</v>
      </c>
      <c r="J636" s="81"/>
      <c r="K636" s="550">
        <f>K637+K638+K639</f>
        <v>2928.5</v>
      </c>
      <c r="L636" s="93">
        <f>L637+L638+L639</f>
        <v>0</v>
      </c>
      <c r="M636" s="93">
        <f>M637+M638+M639</f>
        <v>2928.5</v>
      </c>
    </row>
    <row r="637" spans="1:13" s="94" customFormat="1" ht="111" customHeight="1">
      <c r="A637" s="82"/>
      <c r="B637" s="91" t="s">
        <v>101</v>
      </c>
      <c r="C637" s="92" t="s">
        <v>366</v>
      </c>
      <c r="D637" s="81" t="s">
        <v>297</v>
      </c>
      <c r="E637" s="81" t="s">
        <v>138</v>
      </c>
      <c r="F637" s="705" t="s">
        <v>120</v>
      </c>
      <c r="G637" s="706" t="s">
        <v>149</v>
      </c>
      <c r="H637" s="706" t="s">
        <v>89</v>
      </c>
      <c r="I637" s="707" t="s">
        <v>100</v>
      </c>
      <c r="J637" s="81" t="s">
        <v>102</v>
      </c>
      <c r="K637" s="550">
        <v>2534.1</v>
      </c>
      <c r="L637" s="93">
        <f t="shared" ref="L637:L639" si="176">M637-K637</f>
        <v>0</v>
      </c>
      <c r="M637" s="93">
        <v>2534.1</v>
      </c>
    </row>
    <row r="638" spans="1:13" s="94" customFormat="1" ht="57.6" customHeight="1">
      <c r="A638" s="82"/>
      <c r="B638" s="91" t="s">
        <v>107</v>
      </c>
      <c r="C638" s="125" t="s">
        <v>366</v>
      </c>
      <c r="D638" s="126" t="s">
        <v>297</v>
      </c>
      <c r="E638" s="126" t="s">
        <v>138</v>
      </c>
      <c r="F638" s="705" t="s">
        <v>120</v>
      </c>
      <c r="G638" s="706" t="s">
        <v>149</v>
      </c>
      <c r="H638" s="706" t="s">
        <v>89</v>
      </c>
      <c r="I638" s="707" t="s">
        <v>100</v>
      </c>
      <c r="J638" s="81" t="s">
        <v>108</v>
      </c>
      <c r="K638" s="550">
        <f>335.8+55</f>
        <v>390.8</v>
      </c>
      <c r="L638" s="93">
        <f t="shared" si="176"/>
        <v>0</v>
      </c>
      <c r="M638" s="93">
        <f>335.8+55</f>
        <v>390.8</v>
      </c>
    </row>
    <row r="639" spans="1:13" s="94" customFormat="1" ht="18.75">
      <c r="A639" s="82"/>
      <c r="B639" s="91" t="s">
        <v>109</v>
      </c>
      <c r="C639" s="125" t="s">
        <v>366</v>
      </c>
      <c r="D639" s="126" t="s">
        <v>297</v>
      </c>
      <c r="E639" s="126" t="s">
        <v>138</v>
      </c>
      <c r="F639" s="705" t="s">
        <v>120</v>
      </c>
      <c r="G639" s="706" t="s">
        <v>149</v>
      </c>
      <c r="H639" s="706" t="s">
        <v>89</v>
      </c>
      <c r="I639" s="707" t="s">
        <v>100</v>
      </c>
      <c r="J639" s="81" t="s">
        <v>110</v>
      </c>
      <c r="K639" s="550">
        <v>3.6</v>
      </c>
      <c r="L639" s="93">
        <f t="shared" si="176"/>
        <v>0</v>
      </c>
      <c r="M639" s="93">
        <v>3.6</v>
      </c>
    </row>
    <row r="640" spans="1:13" ht="18.75">
      <c r="A640" s="82"/>
      <c r="B640" s="91"/>
      <c r="C640" s="125"/>
      <c r="D640" s="126"/>
      <c r="E640" s="126"/>
      <c r="F640" s="117"/>
      <c r="G640" s="122"/>
      <c r="H640" s="122"/>
      <c r="I640" s="127"/>
      <c r="J640" s="126"/>
      <c r="K640" s="550"/>
      <c r="L640" s="93"/>
      <c r="M640" s="93"/>
    </row>
    <row r="641" spans="1:13" s="90" customFormat="1" ht="56.25">
      <c r="A641" s="83">
        <v>9</v>
      </c>
      <c r="B641" s="84" t="s">
        <v>59</v>
      </c>
      <c r="C641" s="85" t="s">
        <v>378</v>
      </c>
      <c r="D641" s="86"/>
      <c r="E641" s="86"/>
      <c r="F641" s="87"/>
      <c r="G641" s="88"/>
      <c r="H641" s="88"/>
      <c r="I641" s="89"/>
      <c r="J641" s="86"/>
      <c r="K641" s="549">
        <f>K642+K649</f>
        <v>66569.8</v>
      </c>
      <c r="L641" s="156">
        <f>L642+L649</f>
        <v>0</v>
      </c>
      <c r="M641" s="156">
        <f>M642+M649</f>
        <v>66569.8</v>
      </c>
    </row>
    <row r="642" spans="1:13" s="94" customFormat="1" ht="18.75">
      <c r="A642" s="82"/>
      <c r="B642" s="99" t="s">
        <v>247</v>
      </c>
      <c r="C642" s="92" t="s">
        <v>378</v>
      </c>
      <c r="D642" s="81" t="s">
        <v>297</v>
      </c>
      <c r="E642" s="81"/>
      <c r="F642" s="705"/>
      <c r="G642" s="706"/>
      <c r="H642" s="706"/>
      <c r="I642" s="707"/>
      <c r="J642" s="81"/>
      <c r="K642" s="550">
        <f t="shared" ref="K642:M647" si="177">K643</f>
        <v>15.6</v>
      </c>
      <c r="L642" s="93">
        <f t="shared" si="177"/>
        <v>0</v>
      </c>
      <c r="M642" s="93">
        <f t="shared" si="177"/>
        <v>15.6</v>
      </c>
    </row>
    <row r="643" spans="1:13" s="95" customFormat="1" ht="18.75">
      <c r="A643" s="82"/>
      <c r="B643" s="91" t="s">
        <v>482</v>
      </c>
      <c r="C643" s="92" t="s">
        <v>378</v>
      </c>
      <c r="D643" s="81" t="s">
        <v>297</v>
      </c>
      <c r="E643" s="81" t="s">
        <v>297</v>
      </c>
      <c r="F643" s="705"/>
      <c r="G643" s="706"/>
      <c r="H643" s="706"/>
      <c r="I643" s="707"/>
      <c r="J643" s="81"/>
      <c r="K643" s="550">
        <f t="shared" si="177"/>
        <v>15.6</v>
      </c>
      <c r="L643" s="93">
        <f t="shared" si="177"/>
        <v>0</v>
      </c>
      <c r="M643" s="93">
        <f t="shared" si="177"/>
        <v>15.6</v>
      </c>
    </row>
    <row r="644" spans="1:13" s="95" customFormat="1" ht="56.25">
      <c r="A644" s="82"/>
      <c r="B644" s="91" t="s">
        <v>379</v>
      </c>
      <c r="C644" s="92" t="s">
        <v>378</v>
      </c>
      <c r="D644" s="81" t="s">
        <v>297</v>
      </c>
      <c r="E644" s="81" t="s">
        <v>297</v>
      </c>
      <c r="F644" s="705" t="s">
        <v>138</v>
      </c>
      <c r="G644" s="706" t="s">
        <v>94</v>
      </c>
      <c r="H644" s="706" t="s">
        <v>95</v>
      </c>
      <c r="I644" s="707" t="s">
        <v>96</v>
      </c>
      <c r="J644" s="81"/>
      <c r="K644" s="550">
        <f t="shared" si="177"/>
        <v>15.6</v>
      </c>
      <c r="L644" s="93">
        <f t="shared" si="177"/>
        <v>0</v>
      </c>
      <c r="M644" s="93">
        <f t="shared" si="177"/>
        <v>15.6</v>
      </c>
    </row>
    <row r="645" spans="1:13" s="95" customFormat="1" ht="37.5">
      <c r="A645" s="82"/>
      <c r="B645" s="91" t="s">
        <v>455</v>
      </c>
      <c r="C645" s="92" t="s">
        <v>378</v>
      </c>
      <c r="D645" s="81" t="s">
        <v>297</v>
      </c>
      <c r="E645" s="81" t="s">
        <v>297</v>
      </c>
      <c r="F645" s="705" t="s">
        <v>138</v>
      </c>
      <c r="G645" s="706" t="s">
        <v>97</v>
      </c>
      <c r="H645" s="706" t="s">
        <v>95</v>
      </c>
      <c r="I645" s="707" t="s">
        <v>96</v>
      </c>
      <c r="J645" s="81"/>
      <c r="K645" s="550">
        <f t="shared" si="177"/>
        <v>15.6</v>
      </c>
      <c r="L645" s="93">
        <f t="shared" si="177"/>
        <v>0</v>
      </c>
      <c r="M645" s="93">
        <f t="shared" si="177"/>
        <v>15.6</v>
      </c>
    </row>
    <row r="646" spans="1:13" s="95" customFormat="1" ht="37.5">
      <c r="A646" s="82"/>
      <c r="B646" s="91" t="s">
        <v>364</v>
      </c>
      <c r="C646" s="92" t="s">
        <v>378</v>
      </c>
      <c r="D646" s="81" t="s">
        <v>297</v>
      </c>
      <c r="E646" s="81" t="s">
        <v>297</v>
      </c>
      <c r="F646" s="705" t="s">
        <v>138</v>
      </c>
      <c r="G646" s="706" t="s">
        <v>97</v>
      </c>
      <c r="H646" s="706" t="s">
        <v>89</v>
      </c>
      <c r="I646" s="707" t="s">
        <v>96</v>
      </c>
      <c r="J646" s="81"/>
      <c r="K646" s="550">
        <f t="shared" si="177"/>
        <v>15.6</v>
      </c>
      <c r="L646" s="93">
        <f t="shared" si="177"/>
        <v>0</v>
      </c>
      <c r="M646" s="93">
        <f t="shared" si="177"/>
        <v>15.6</v>
      </c>
    </row>
    <row r="647" spans="1:13" s="95" customFormat="1" ht="168.75">
      <c r="A647" s="82"/>
      <c r="B647" s="134" t="s">
        <v>496</v>
      </c>
      <c r="C647" s="92" t="s">
        <v>378</v>
      </c>
      <c r="D647" s="81" t="s">
        <v>297</v>
      </c>
      <c r="E647" s="81" t="s">
        <v>297</v>
      </c>
      <c r="F647" s="705" t="s">
        <v>138</v>
      </c>
      <c r="G647" s="706" t="s">
        <v>97</v>
      </c>
      <c r="H647" s="706" t="s">
        <v>89</v>
      </c>
      <c r="I647" s="707" t="s">
        <v>380</v>
      </c>
      <c r="J647" s="81"/>
      <c r="K647" s="550">
        <f t="shared" si="177"/>
        <v>15.6</v>
      </c>
      <c r="L647" s="93">
        <f t="shared" si="177"/>
        <v>0</v>
      </c>
      <c r="M647" s="93">
        <f t="shared" si="177"/>
        <v>15.6</v>
      </c>
    </row>
    <row r="648" spans="1:13" s="95" customFormat="1" ht="37.5">
      <c r="A648" s="82"/>
      <c r="B648" s="100" t="s">
        <v>182</v>
      </c>
      <c r="C648" s="92" t="s">
        <v>378</v>
      </c>
      <c r="D648" s="81" t="s">
        <v>297</v>
      </c>
      <c r="E648" s="81" t="s">
        <v>297</v>
      </c>
      <c r="F648" s="705" t="s">
        <v>138</v>
      </c>
      <c r="G648" s="706" t="s">
        <v>97</v>
      </c>
      <c r="H648" s="706" t="s">
        <v>89</v>
      </c>
      <c r="I648" s="707" t="s">
        <v>380</v>
      </c>
      <c r="J648" s="81" t="s">
        <v>183</v>
      </c>
      <c r="K648" s="550">
        <v>15.6</v>
      </c>
      <c r="L648" s="93">
        <f>M648-K648</f>
        <v>0</v>
      </c>
      <c r="M648" s="93">
        <v>15.6</v>
      </c>
    </row>
    <row r="649" spans="1:13" s="94" customFormat="1" ht="18.75">
      <c r="A649" s="82"/>
      <c r="B649" s="99" t="s">
        <v>181</v>
      </c>
      <c r="C649" s="92" t="s">
        <v>378</v>
      </c>
      <c r="D649" s="81" t="s">
        <v>166</v>
      </c>
      <c r="E649" s="81"/>
      <c r="F649" s="705"/>
      <c r="G649" s="706"/>
      <c r="H649" s="706"/>
      <c r="I649" s="707"/>
      <c r="J649" s="81"/>
      <c r="K649" s="550">
        <f t="shared" ref="K649" si="178">K650+K671</f>
        <v>66554.2</v>
      </c>
      <c r="L649" s="93">
        <f t="shared" ref="L649:M649" si="179">L650+L671</f>
        <v>0</v>
      </c>
      <c r="M649" s="93">
        <f t="shared" si="179"/>
        <v>66554.2</v>
      </c>
    </row>
    <row r="650" spans="1:13" s="94" customFormat="1" ht="18.75">
      <c r="A650" s="82"/>
      <c r="B650" s="91" t="s">
        <v>265</v>
      </c>
      <c r="C650" s="92" t="s">
        <v>378</v>
      </c>
      <c r="D650" s="81" t="s">
        <v>166</v>
      </c>
      <c r="E650" s="81" t="s">
        <v>104</v>
      </c>
      <c r="F650" s="705"/>
      <c r="G650" s="706"/>
      <c r="H650" s="706"/>
      <c r="I650" s="707"/>
      <c r="J650" s="81"/>
      <c r="K650" s="550">
        <f t="shared" ref="K650:M650" si="180">K651</f>
        <v>60305.4</v>
      </c>
      <c r="L650" s="93">
        <f t="shared" si="180"/>
        <v>0</v>
      </c>
      <c r="M650" s="93">
        <f t="shared" si="180"/>
        <v>60305.4</v>
      </c>
    </row>
    <row r="651" spans="1:13" s="78" customFormat="1" ht="56.25">
      <c r="A651" s="82"/>
      <c r="B651" s="97" t="s">
        <v>303</v>
      </c>
      <c r="C651" s="92" t="s">
        <v>378</v>
      </c>
      <c r="D651" s="81" t="s">
        <v>166</v>
      </c>
      <c r="E651" s="81" t="s">
        <v>104</v>
      </c>
      <c r="F651" s="705" t="s">
        <v>138</v>
      </c>
      <c r="G651" s="706" t="s">
        <v>94</v>
      </c>
      <c r="H651" s="706" t="s">
        <v>95</v>
      </c>
      <c r="I651" s="707" t="s">
        <v>96</v>
      </c>
      <c r="J651" s="81"/>
      <c r="K651" s="550">
        <f t="shared" ref="K651:M651" si="181">K652</f>
        <v>60305.4</v>
      </c>
      <c r="L651" s="93">
        <f t="shared" si="181"/>
        <v>0</v>
      </c>
      <c r="M651" s="93">
        <f t="shared" si="181"/>
        <v>60305.4</v>
      </c>
    </row>
    <row r="652" spans="1:13" s="78" customFormat="1" ht="37.5">
      <c r="A652" s="82"/>
      <c r="B652" s="91" t="s">
        <v>455</v>
      </c>
      <c r="C652" s="92" t="s">
        <v>378</v>
      </c>
      <c r="D652" s="81" t="s">
        <v>166</v>
      </c>
      <c r="E652" s="81" t="s">
        <v>104</v>
      </c>
      <c r="F652" s="705" t="s">
        <v>138</v>
      </c>
      <c r="G652" s="706" t="s">
        <v>97</v>
      </c>
      <c r="H652" s="706" t="s">
        <v>95</v>
      </c>
      <c r="I652" s="707" t="s">
        <v>96</v>
      </c>
      <c r="J652" s="81"/>
      <c r="K652" s="550">
        <f t="shared" ref="K652" si="182">K653+K666</f>
        <v>60305.4</v>
      </c>
      <c r="L652" s="93">
        <f t="shared" ref="L652:M652" si="183">L653+L666</f>
        <v>0</v>
      </c>
      <c r="M652" s="93">
        <f t="shared" si="183"/>
        <v>60305.4</v>
      </c>
    </row>
    <row r="653" spans="1:13" s="95" customFormat="1" ht="37.5">
      <c r="A653" s="82"/>
      <c r="B653" s="91" t="s">
        <v>364</v>
      </c>
      <c r="C653" s="92" t="s">
        <v>378</v>
      </c>
      <c r="D653" s="81" t="s">
        <v>166</v>
      </c>
      <c r="E653" s="81" t="s">
        <v>104</v>
      </c>
      <c r="F653" s="705" t="s">
        <v>138</v>
      </c>
      <c r="G653" s="706" t="s">
        <v>97</v>
      </c>
      <c r="H653" s="706" t="s">
        <v>89</v>
      </c>
      <c r="I653" s="707" t="s">
        <v>96</v>
      </c>
      <c r="J653" s="81"/>
      <c r="K653" s="550">
        <f t="shared" ref="K653" si="184">K654+K657+K660+K663</f>
        <v>60135.200000000004</v>
      </c>
      <c r="L653" s="93">
        <f t="shared" ref="L653:M653" si="185">L654+L657+L660+L663</f>
        <v>0</v>
      </c>
      <c r="M653" s="93">
        <f t="shared" si="185"/>
        <v>60135.200000000004</v>
      </c>
    </row>
    <row r="654" spans="1:13" s="95" customFormat="1" ht="168.75">
      <c r="A654" s="82"/>
      <c r="B654" s="137" t="s">
        <v>497</v>
      </c>
      <c r="C654" s="92" t="s">
        <v>378</v>
      </c>
      <c r="D654" s="81" t="s">
        <v>166</v>
      </c>
      <c r="E654" s="81" t="s">
        <v>104</v>
      </c>
      <c r="F654" s="705" t="s">
        <v>138</v>
      </c>
      <c r="G654" s="706" t="s">
        <v>97</v>
      </c>
      <c r="H654" s="706" t="s">
        <v>89</v>
      </c>
      <c r="I654" s="707" t="s">
        <v>381</v>
      </c>
      <c r="J654" s="81"/>
      <c r="K654" s="550">
        <f t="shared" ref="K654" si="186">SUM(K655:K656)</f>
        <v>33015.800000000003</v>
      </c>
      <c r="L654" s="93">
        <f t="shared" ref="L654:M654" si="187">SUM(L655:L656)</f>
        <v>0</v>
      </c>
      <c r="M654" s="93">
        <f t="shared" si="187"/>
        <v>33015.800000000003</v>
      </c>
    </row>
    <row r="655" spans="1:13" s="95" customFormat="1" ht="53.45" customHeight="1">
      <c r="A655" s="82"/>
      <c r="B655" s="91" t="s">
        <v>107</v>
      </c>
      <c r="C655" s="92" t="s">
        <v>378</v>
      </c>
      <c r="D655" s="81" t="s">
        <v>166</v>
      </c>
      <c r="E655" s="81" t="s">
        <v>104</v>
      </c>
      <c r="F655" s="705" t="s">
        <v>138</v>
      </c>
      <c r="G655" s="706" t="s">
        <v>97</v>
      </c>
      <c r="H655" s="706" t="s">
        <v>89</v>
      </c>
      <c r="I655" s="707" t="s">
        <v>381</v>
      </c>
      <c r="J655" s="81" t="s">
        <v>108</v>
      </c>
      <c r="K655" s="550">
        <v>164.3</v>
      </c>
      <c r="L655" s="93">
        <f t="shared" ref="L655:L656" si="188">M655-K655</f>
        <v>0</v>
      </c>
      <c r="M655" s="93">
        <v>164.3</v>
      </c>
    </row>
    <row r="656" spans="1:13" s="95" customFormat="1" ht="37.5">
      <c r="A656" s="82"/>
      <c r="B656" s="91" t="s">
        <v>182</v>
      </c>
      <c r="C656" s="92" t="s">
        <v>378</v>
      </c>
      <c r="D656" s="81" t="s">
        <v>166</v>
      </c>
      <c r="E656" s="81" t="s">
        <v>104</v>
      </c>
      <c r="F656" s="705" t="s">
        <v>138</v>
      </c>
      <c r="G656" s="706" t="s">
        <v>97</v>
      </c>
      <c r="H656" s="706" t="s">
        <v>89</v>
      </c>
      <c r="I656" s="707" t="s">
        <v>381</v>
      </c>
      <c r="J656" s="81" t="s">
        <v>183</v>
      </c>
      <c r="K656" s="550">
        <v>32851.5</v>
      </c>
      <c r="L656" s="93">
        <f t="shared" si="188"/>
        <v>0</v>
      </c>
      <c r="M656" s="93">
        <v>32851.5</v>
      </c>
    </row>
    <row r="657" spans="1:13" s="95" customFormat="1" ht="93.75">
      <c r="A657" s="82"/>
      <c r="B657" s="91" t="s">
        <v>498</v>
      </c>
      <c r="C657" s="92" t="s">
        <v>378</v>
      </c>
      <c r="D657" s="81" t="s">
        <v>166</v>
      </c>
      <c r="E657" s="81" t="s">
        <v>104</v>
      </c>
      <c r="F657" s="705" t="s">
        <v>138</v>
      </c>
      <c r="G657" s="706" t="s">
        <v>97</v>
      </c>
      <c r="H657" s="706" t="s">
        <v>89</v>
      </c>
      <c r="I657" s="707" t="s">
        <v>382</v>
      </c>
      <c r="J657" s="81"/>
      <c r="K657" s="550">
        <f>SUM(K658:K659)</f>
        <v>26177</v>
      </c>
      <c r="L657" s="93">
        <f>SUM(L658:L659)</f>
        <v>0</v>
      </c>
      <c r="M657" s="93">
        <f>SUM(M658:M659)</f>
        <v>26177</v>
      </c>
    </row>
    <row r="658" spans="1:13" s="95" customFormat="1" ht="63" customHeight="1">
      <c r="A658" s="82"/>
      <c r="B658" s="91" t="s">
        <v>107</v>
      </c>
      <c r="C658" s="92" t="s">
        <v>378</v>
      </c>
      <c r="D658" s="81" t="s">
        <v>166</v>
      </c>
      <c r="E658" s="81" t="s">
        <v>104</v>
      </c>
      <c r="F658" s="705" t="s">
        <v>138</v>
      </c>
      <c r="G658" s="706" t="s">
        <v>97</v>
      </c>
      <c r="H658" s="706" t="s">
        <v>89</v>
      </c>
      <c r="I658" s="707" t="s">
        <v>382</v>
      </c>
      <c r="J658" s="81" t="s">
        <v>108</v>
      </c>
      <c r="K658" s="550">
        <v>130.19999999999999</v>
      </c>
      <c r="L658" s="93">
        <f t="shared" ref="L658:L659" si="189">M658-K658</f>
        <v>0</v>
      </c>
      <c r="M658" s="93">
        <v>130.19999999999999</v>
      </c>
    </row>
    <row r="659" spans="1:13" s="95" customFormat="1" ht="37.5">
      <c r="A659" s="82"/>
      <c r="B659" s="91" t="s">
        <v>182</v>
      </c>
      <c r="C659" s="92" t="s">
        <v>378</v>
      </c>
      <c r="D659" s="81" t="s">
        <v>166</v>
      </c>
      <c r="E659" s="81" t="s">
        <v>104</v>
      </c>
      <c r="F659" s="705" t="s">
        <v>138</v>
      </c>
      <c r="G659" s="706" t="s">
        <v>97</v>
      </c>
      <c r="H659" s="706" t="s">
        <v>89</v>
      </c>
      <c r="I659" s="707" t="s">
        <v>382</v>
      </c>
      <c r="J659" s="81" t="s">
        <v>183</v>
      </c>
      <c r="K659" s="550">
        <v>26046.799999999999</v>
      </c>
      <c r="L659" s="93">
        <f t="shared" si="189"/>
        <v>0</v>
      </c>
      <c r="M659" s="93">
        <v>26046.799999999999</v>
      </c>
    </row>
    <row r="660" spans="1:13" s="95" customFormat="1" ht="93.75">
      <c r="A660" s="82"/>
      <c r="B660" s="91" t="s">
        <v>499</v>
      </c>
      <c r="C660" s="92" t="s">
        <v>378</v>
      </c>
      <c r="D660" s="81" t="s">
        <v>166</v>
      </c>
      <c r="E660" s="81" t="s">
        <v>104</v>
      </c>
      <c r="F660" s="705" t="s">
        <v>138</v>
      </c>
      <c r="G660" s="706" t="s">
        <v>97</v>
      </c>
      <c r="H660" s="706" t="s">
        <v>89</v>
      </c>
      <c r="I660" s="707" t="s">
        <v>383</v>
      </c>
      <c r="J660" s="81"/>
      <c r="K660" s="550">
        <f>SUM(K661:K662)</f>
        <v>449.4</v>
      </c>
      <c r="L660" s="93">
        <f>SUM(L661:L662)</f>
        <v>0</v>
      </c>
      <c r="M660" s="93">
        <f>SUM(M661:M662)</f>
        <v>449.4</v>
      </c>
    </row>
    <row r="661" spans="1:13" s="95" customFormat="1" ht="52.9" customHeight="1">
      <c r="A661" s="82"/>
      <c r="B661" s="91" t="s">
        <v>107</v>
      </c>
      <c r="C661" s="92" t="s">
        <v>378</v>
      </c>
      <c r="D661" s="81" t="s">
        <v>166</v>
      </c>
      <c r="E661" s="81" t="s">
        <v>104</v>
      </c>
      <c r="F661" s="705" t="s">
        <v>138</v>
      </c>
      <c r="G661" s="706" t="s">
        <v>97</v>
      </c>
      <c r="H661" s="706" t="s">
        <v>89</v>
      </c>
      <c r="I661" s="707" t="s">
        <v>383</v>
      </c>
      <c r="J661" s="81" t="s">
        <v>108</v>
      </c>
      <c r="K661" s="550">
        <v>2.2000000000000002</v>
      </c>
      <c r="L661" s="93">
        <f t="shared" ref="L661:L662" si="190">M661-K661</f>
        <v>0</v>
      </c>
      <c r="M661" s="93">
        <v>2.2000000000000002</v>
      </c>
    </row>
    <row r="662" spans="1:13" s="95" customFormat="1" ht="37.5">
      <c r="A662" s="82"/>
      <c r="B662" s="91" t="s">
        <v>182</v>
      </c>
      <c r="C662" s="92" t="s">
        <v>378</v>
      </c>
      <c r="D662" s="81" t="s">
        <v>166</v>
      </c>
      <c r="E662" s="81" t="s">
        <v>104</v>
      </c>
      <c r="F662" s="705" t="s">
        <v>138</v>
      </c>
      <c r="G662" s="706" t="s">
        <v>97</v>
      </c>
      <c r="H662" s="706" t="s">
        <v>89</v>
      </c>
      <c r="I662" s="707" t="s">
        <v>383</v>
      </c>
      <c r="J662" s="81" t="s">
        <v>183</v>
      </c>
      <c r="K662" s="550">
        <v>447.2</v>
      </c>
      <c r="L662" s="93">
        <f t="shared" si="190"/>
        <v>0</v>
      </c>
      <c r="M662" s="93">
        <v>447.2</v>
      </c>
    </row>
    <row r="663" spans="1:13" s="95" customFormat="1" ht="131.25">
      <c r="A663" s="82"/>
      <c r="B663" s="91" t="s">
        <v>515</v>
      </c>
      <c r="C663" s="92" t="s">
        <v>378</v>
      </c>
      <c r="D663" s="81" t="s">
        <v>166</v>
      </c>
      <c r="E663" s="81" t="s">
        <v>104</v>
      </c>
      <c r="F663" s="705" t="s">
        <v>138</v>
      </c>
      <c r="G663" s="706" t="s">
        <v>97</v>
      </c>
      <c r="H663" s="706" t="s">
        <v>89</v>
      </c>
      <c r="I663" s="707" t="s">
        <v>384</v>
      </c>
      <c r="J663" s="81"/>
      <c r="K663" s="550">
        <f>SUM(K664:K665)</f>
        <v>493</v>
      </c>
      <c r="L663" s="93">
        <f>SUM(L664:L665)</f>
        <v>0</v>
      </c>
      <c r="M663" s="93">
        <f>SUM(M664:M665)</f>
        <v>493</v>
      </c>
    </row>
    <row r="664" spans="1:13" s="95" customFormat="1" ht="48" customHeight="1">
      <c r="A664" s="82"/>
      <c r="B664" s="91" t="s">
        <v>107</v>
      </c>
      <c r="C664" s="92" t="s">
        <v>378</v>
      </c>
      <c r="D664" s="81" t="s">
        <v>166</v>
      </c>
      <c r="E664" s="81" t="s">
        <v>104</v>
      </c>
      <c r="F664" s="705" t="s">
        <v>138</v>
      </c>
      <c r="G664" s="706" t="s">
        <v>97</v>
      </c>
      <c r="H664" s="706" t="s">
        <v>89</v>
      </c>
      <c r="I664" s="707" t="s">
        <v>384</v>
      </c>
      <c r="J664" s="81" t="s">
        <v>108</v>
      </c>
      <c r="K664" s="550">
        <v>2.5</v>
      </c>
      <c r="L664" s="93">
        <f t="shared" ref="L664:L665" si="191">M664-K664</f>
        <v>0</v>
      </c>
      <c r="M664" s="93">
        <v>2.5</v>
      </c>
    </row>
    <row r="665" spans="1:13" s="95" customFormat="1" ht="37.5">
      <c r="A665" s="82"/>
      <c r="B665" s="91" t="s">
        <v>182</v>
      </c>
      <c r="C665" s="92" t="s">
        <v>378</v>
      </c>
      <c r="D665" s="81" t="s">
        <v>166</v>
      </c>
      <c r="E665" s="81" t="s">
        <v>104</v>
      </c>
      <c r="F665" s="705" t="s">
        <v>138</v>
      </c>
      <c r="G665" s="706" t="s">
        <v>97</v>
      </c>
      <c r="H665" s="706" t="s">
        <v>89</v>
      </c>
      <c r="I665" s="707" t="s">
        <v>384</v>
      </c>
      <c r="J665" s="81" t="s">
        <v>183</v>
      </c>
      <c r="K665" s="550">
        <v>490.5</v>
      </c>
      <c r="L665" s="93">
        <f t="shared" si="191"/>
        <v>0</v>
      </c>
      <c r="M665" s="93">
        <v>490.5</v>
      </c>
    </row>
    <row r="666" spans="1:13" s="90" customFormat="1" ht="75" customHeight="1">
      <c r="A666" s="82"/>
      <c r="B666" s="135" t="s">
        <v>393</v>
      </c>
      <c r="C666" s="92" t="s">
        <v>378</v>
      </c>
      <c r="D666" s="81" t="s">
        <v>166</v>
      </c>
      <c r="E666" s="81" t="s">
        <v>104</v>
      </c>
      <c r="F666" s="706" t="s">
        <v>138</v>
      </c>
      <c r="G666" s="706" t="s">
        <v>97</v>
      </c>
      <c r="H666" s="706" t="s">
        <v>91</v>
      </c>
      <c r="I666" s="707" t="s">
        <v>96</v>
      </c>
      <c r="J666" s="81"/>
      <c r="K666" s="550">
        <f t="shared" ref="K666" si="192">K667+K669</f>
        <v>170.2</v>
      </c>
      <c r="L666" s="93">
        <f t="shared" ref="L666" si="193">L667+L669</f>
        <v>0</v>
      </c>
      <c r="M666" s="93">
        <f t="shared" ref="M666" si="194">M667+M669</f>
        <v>170.2</v>
      </c>
    </row>
    <row r="667" spans="1:13" s="90" customFormat="1" ht="206.25">
      <c r="A667" s="82"/>
      <c r="B667" s="136" t="s">
        <v>505</v>
      </c>
      <c r="C667" s="92" t="s">
        <v>378</v>
      </c>
      <c r="D667" s="81" t="s">
        <v>166</v>
      </c>
      <c r="E667" s="81" t="s">
        <v>104</v>
      </c>
      <c r="F667" s="706" t="s">
        <v>138</v>
      </c>
      <c r="G667" s="706" t="s">
        <v>97</v>
      </c>
      <c r="H667" s="706" t="s">
        <v>91</v>
      </c>
      <c r="I667" s="707" t="s">
        <v>506</v>
      </c>
      <c r="J667" s="81"/>
      <c r="K667" s="550">
        <f t="shared" ref="K667:M667" si="195">K668</f>
        <v>5.2</v>
      </c>
      <c r="L667" s="93">
        <f t="shared" si="195"/>
        <v>0</v>
      </c>
      <c r="M667" s="93">
        <f t="shared" si="195"/>
        <v>5.2</v>
      </c>
    </row>
    <row r="668" spans="1:13" s="90" customFormat="1" ht="37.5">
      <c r="A668" s="82"/>
      <c r="B668" s="100" t="s">
        <v>182</v>
      </c>
      <c r="C668" s="92" t="s">
        <v>378</v>
      </c>
      <c r="D668" s="81" t="s">
        <v>166</v>
      </c>
      <c r="E668" s="81" t="s">
        <v>104</v>
      </c>
      <c r="F668" s="706" t="s">
        <v>138</v>
      </c>
      <c r="G668" s="706" t="s">
        <v>97</v>
      </c>
      <c r="H668" s="706" t="s">
        <v>91</v>
      </c>
      <c r="I668" s="707" t="s">
        <v>506</v>
      </c>
      <c r="J668" s="81" t="s">
        <v>183</v>
      </c>
      <c r="K668" s="550">
        <v>5.2</v>
      </c>
      <c r="L668" s="93">
        <f>M668-K668</f>
        <v>0</v>
      </c>
      <c r="M668" s="93">
        <v>5.2</v>
      </c>
    </row>
    <row r="669" spans="1:13" s="90" customFormat="1" ht="318.75">
      <c r="A669" s="82"/>
      <c r="B669" s="136" t="s">
        <v>514</v>
      </c>
      <c r="C669" s="92" t="s">
        <v>378</v>
      </c>
      <c r="D669" s="81" t="s">
        <v>166</v>
      </c>
      <c r="E669" s="81" t="s">
        <v>104</v>
      </c>
      <c r="F669" s="706" t="s">
        <v>138</v>
      </c>
      <c r="G669" s="706" t="s">
        <v>97</v>
      </c>
      <c r="H669" s="706" t="s">
        <v>91</v>
      </c>
      <c r="I669" s="707" t="s">
        <v>507</v>
      </c>
      <c r="J669" s="81"/>
      <c r="K669" s="550">
        <f>K670</f>
        <v>165</v>
      </c>
      <c r="L669" s="93">
        <f>L670</f>
        <v>0</v>
      </c>
      <c r="M669" s="93">
        <f>M670</f>
        <v>165</v>
      </c>
    </row>
    <row r="670" spans="1:13" s="90" customFormat="1" ht="37.5">
      <c r="A670" s="82"/>
      <c r="B670" s="100" t="s">
        <v>182</v>
      </c>
      <c r="C670" s="92" t="s">
        <v>378</v>
      </c>
      <c r="D670" s="81" t="s">
        <v>166</v>
      </c>
      <c r="E670" s="81" t="s">
        <v>104</v>
      </c>
      <c r="F670" s="706" t="s">
        <v>138</v>
      </c>
      <c r="G670" s="706" t="s">
        <v>97</v>
      </c>
      <c r="H670" s="706" t="s">
        <v>91</v>
      </c>
      <c r="I670" s="707" t="s">
        <v>507</v>
      </c>
      <c r="J670" s="81" t="s">
        <v>183</v>
      </c>
      <c r="K670" s="550">
        <f>231-66</f>
        <v>165</v>
      </c>
      <c r="L670" s="93">
        <f>M670-K670</f>
        <v>0</v>
      </c>
      <c r="M670" s="93">
        <f>231-66</f>
        <v>165</v>
      </c>
    </row>
    <row r="671" spans="1:13" s="94" customFormat="1" ht="37.5">
      <c r="A671" s="82"/>
      <c r="B671" s="91" t="s">
        <v>385</v>
      </c>
      <c r="C671" s="92" t="s">
        <v>378</v>
      </c>
      <c r="D671" s="81" t="s">
        <v>166</v>
      </c>
      <c r="E671" s="81" t="s">
        <v>140</v>
      </c>
      <c r="F671" s="705"/>
      <c r="G671" s="706"/>
      <c r="H671" s="706"/>
      <c r="I671" s="707"/>
      <c r="J671" s="81"/>
      <c r="K671" s="550">
        <f t="shared" ref="K671:M673" si="196">K672</f>
        <v>6248.8</v>
      </c>
      <c r="L671" s="93">
        <f t="shared" si="196"/>
        <v>0</v>
      </c>
      <c r="M671" s="93">
        <f t="shared" si="196"/>
        <v>6248.8</v>
      </c>
    </row>
    <row r="672" spans="1:13" s="78" customFormat="1" ht="56.25">
      <c r="A672" s="82"/>
      <c r="B672" s="97" t="s">
        <v>303</v>
      </c>
      <c r="C672" s="92" t="s">
        <v>378</v>
      </c>
      <c r="D672" s="81" t="s">
        <v>166</v>
      </c>
      <c r="E672" s="81" t="s">
        <v>140</v>
      </c>
      <c r="F672" s="705" t="s">
        <v>138</v>
      </c>
      <c r="G672" s="706" t="s">
        <v>94</v>
      </c>
      <c r="H672" s="706" t="s">
        <v>95</v>
      </c>
      <c r="I672" s="707" t="s">
        <v>96</v>
      </c>
      <c r="J672" s="81"/>
      <c r="K672" s="550">
        <f t="shared" si="196"/>
        <v>6248.8</v>
      </c>
      <c r="L672" s="93">
        <f t="shared" si="196"/>
        <v>0</v>
      </c>
      <c r="M672" s="93">
        <f t="shared" si="196"/>
        <v>6248.8</v>
      </c>
    </row>
    <row r="673" spans="1:13" s="78" customFormat="1" ht="37.5">
      <c r="A673" s="82"/>
      <c r="B673" s="91" t="s">
        <v>455</v>
      </c>
      <c r="C673" s="92" t="s">
        <v>378</v>
      </c>
      <c r="D673" s="81" t="s">
        <v>166</v>
      </c>
      <c r="E673" s="81" t="s">
        <v>140</v>
      </c>
      <c r="F673" s="705" t="s">
        <v>138</v>
      </c>
      <c r="G673" s="706" t="s">
        <v>97</v>
      </c>
      <c r="H673" s="706" t="s">
        <v>95</v>
      </c>
      <c r="I673" s="707" t="s">
        <v>96</v>
      </c>
      <c r="J673" s="81"/>
      <c r="K673" s="550">
        <f t="shared" si="196"/>
        <v>6248.8</v>
      </c>
      <c r="L673" s="93">
        <f t="shared" si="196"/>
        <v>0</v>
      </c>
      <c r="M673" s="93">
        <f t="shared" si="196"/>
        <v>6248.8</v>
      </c>
    </row>
    <row r="674" spans="1:13" s="95" customFormat="1" ht="37.5">
      <c r="A674" s="82"/>
      <c r="B674" s="91" t="s">
        <v>302</v>
      </c>
      <c r="C674" s="92" t="s">
        <v>378</v>
      </c>
      <c r="D674" s="81" t="s">
        <v>166</v>
      </c>
      <c r="E674" s="81" t="s">
        <v>140</v>
      </c>
      <c r="F674" s="705" t="s">
        <v>138</v>
      </c>
      <c r="G674" s="706" t="s">
        <v>97</v>
      </c>
      <c r="H674" s="706" t="s">
        <v>118</v>
      </c>
      <c r="I674" s="707" t="s">
        <v>96</v>
      </c>
      <c r="J674" s="81"/>
      <c r="K674" s="550">
        <f t="shared" ref="K674" si="197">K675+K678+K681</f>
        <v>6248.8</v>
      </c>
      <c r="L674" s="93">
        <f t="shared" ref="L674:M674" si="198">L675+L678+L681</f>
        <v>0</v>
      </c>
      <c r="M674" s="93">
        <f t="shared" si="198"/>
        <v>6248.8</v>
      </c>
    </row>
    <row r="675" spans="1:13" s="95" customFormat="1" ht="93.75">
      <c r="A675" s="82"/>
      <c r="B675" s="91" t="s">
        <v>304</v>
      </c>
      <c r="C675" s="92" t="s">
        <v>378</v>
      </c>
      <c r="D675" s="81" t="s">
        <v>166</v>
      </c>
      <c r="E675" s="81" t="s">
        <v>140</v>
      </c>
      <c r="F675" s="705" t="s">
        <v>138</v>
      </c>
      <c r="G675" s="706" t="s">
        <v>97</v>
      </c>
      <c r="H675" s="706" t="s">
        <v>118</v>
      </c>
      <c r="I675" s="707" t="s">
        <v>386</v>
      </c>
      <c r="J675" s="81"/>
      <c r="K675" s="550">
        <f t="shared" ref="K675" si="199">K676+K677</f>
        <v>4784.5</v>
      </c>
      <c r="L675" s="93">
        <f t="shared" ref="L675:M675" si="200">L676+L677</f>
        <v>0</v>
      </c>
      <c r="M675" s="93">
        <f t="shared" si="200"/>
        <v>4784.5</v>
      </c>
    </row>
    <row r="676" spans="1:13" s="95" customFormat="1" ht="106.15" customHeight="1">
      <c r="A676" s="82"/>
      <c r="B676" s="91" t="s">
        <v>101</v>
      </c>
      <c r="C676" s="92" t="s">
        <v>378</v>
      </c>
      <c r="D676" s="81" t="s">
        <v>166</v>
      </c>
      <c r="E676" s="81" t="s">
        <v>140</v>
      </c>
      <c r="F676" s="705" t="s">
        <v>138</v>
      </c>
      <c r="G676" s="706" t="s">
        <v>97</v>
      </c>
      <c r="H676" s="706" t="s">
        <v>118</v>
      </c>
      <c r="I676" s="707" t="s">
        <v>386</v>
      </c>
      <c r="J676" s="81" t="s">
        <v>102</v>
      </c>
      <c r="K676" s="550">
        <f>4413.5+21</f>
        <v>4434.5</v>
      </c>
      <c r="L676" s="93">
        <f t="shared" ref="L676:L677" si="201">M676-K676</f>
        <v>0</v>
      </c>
      <c r="M676" s="93">
        <f>4413.5+21</f>
        <v>4434.5</v>
      </c>
    </row>
    <row r="677" spans="1:13" s="95" customFormat="1" ht="48.6" customHeight="1">
      <c r="A677" s="82"/>
      <c r="B677" s="91" t="s">
        <v>107</v>
      </c>
      <c r="C677" s="92" t="s">
        <v>378</v>
      </c>
      <c r="D677" s="81" t="s">
        <v>166</v>
      </c>
      <c r="E677" s="81" t="s">
        <v>140</v>
      </c>
      <c r="F677" s="138" t="s">
        <v>138</v>
      </c>
      <c r="G677" s="139" t="s">
        <v>97</v>
      </c>
      <c r="H677" s="139" t="s">
        <v>118</v>
      </c>
      <c r="I677" s="140" t="s">
        <v>386</v>
      </c>
      <c r="J677" s="81" t="s">
        <v>108</v>
      </c>
      <c r="K677" s="550">
        <v>350</v>
      </c>
      <c r="L677" s="93">
        <f t="shared" si="201"/>
        <v>0</v>
      </c>
      <c r="M677" s="93">
        <v>350</v>
      </c>
    </row>
    <row r="678" spans="1:13" s="95" customFormat="1" ht="56.25">
      <c r="A678" s="82"/>
      <c r="B678" s="91" t="s">
        <v>552</v>
      </c>
      <c r="C678" s="92" t="s">
        <v>378</v>
      </c>
      <c r="D678" s="81" t="s">
        <v>166</v>
      </c>
      <c r="E678" s="81" t="s">
        <v>140</v>
      </c>
      <c r="F678" s="705" t="s">
        <v>138</v>
      </c>
      <c r="G678" s="706" t="s">
        <v>97</v>
      </c>
      <c r="H678" s="706" t="s">
        <v>118</v>
      </c>
      <c r="I678" s="707" t="s">
        <v>387</v>
      </c>
      <c r="J678" s="81"/>
      <c r="K678" s="550">
        <f>K679+K680</f>
        <v>617.29999999999995</v>
      </c>
      <c r="L678" s="93">
        <f>L679+L680</f>
        <v>0</v>
      </c>
      <c r="M678" s="93">
        <f>M679+M680</f>
        <v>617.29999999999995</v>
      </c>
    </row>
    <row r="679" spans="1:13" s="95" customFormat="1" ht="106.15" customHeight="1">
      <c r="A679" s="82"/>
      <c r="B679" s="91" t="s">
        <v>101</v>
      </c>
      <c r="C679" s="92" t="s">
        <v>378</v>
      </c>
      <c r="D679" s="81" t="s">
        <v>166</v>
      </c>
      <c r="E679" s="81" t="s">
        <v>140</v>
      </c>
      <c r="F679" s="705" t="s">
        <v>138</v>
      </c>
      <c r="G679" s="706" t="s">
        <v>97</v>
      </c>
      <c r="H679" s="706" t="s">
        <v>118</v>
      </c>
      <c r="I679" s="707" t="s">
        <v>387</v>
      </c>
      <c r="J679" s="81" t="s">
        <v>102</v>
      </c>
      <c r="K679" s="550">
        <f>564.3+3</f>
        <v>567.29999999999995</v>
      </c>
      <c r="L679" s="93">
        <f t="shared" ref="L679:L680" si="202">M679-K679</f>
        <v>0</v>
      </c>
      <c r="M679" s="93">
        <f>564.3+3</f>
        <v>567.29999999999995</v>
      </c>
    </row>
    <row r="680" spans="1:13" s="95" customFormat="1" ht="52.9" customHeight="1">
      <c r="A680" s="82"/>
      <c r="B680" s="91" t="s">
        <v>107</v>
      </c>
      <c r="C680" s="92" t="s">
        <v>378</v>
      </c>
      <c r="D680" s="81" t="s">
        <v>166</v>
      </c>
      <c r="E680" s="81" t="s">
        <v>140</v>
      </c>
      <c r="F680" s="705" t="s">
        <v>138</v>
      </c>
      <c r="G680" s="706" t="s">
        <v>97</v>
      </c>
      <c r="H680" s="706" t="s">
        <v>118</v>
      </c>
      <c r="I680" s="707" t="s">
        <v>387</v>
      </c>
      <c r="J680" s="81" t="s">
        <v>108</v>
      </c>
      <c r="K680" s="550">
        <v>50</v>
      </c>
      <c r="L680" s="93">
        <f t="shared" si="202"/>
        <v>0</v>
      </c>
      <c r="M680" s="93">
        <v>50</v>
      </c>
    </row>
    <row r="681" spans="1:13" s="95" customFormat="1" ht="18.75">
      <c r="A681" s="82"/>
      <c r="B681" s="91" t="s">
        <v>305</v>
      </c>
      <c r="C681" s="92" t="s">
        <v>378</v>
      </c>
      <c r="D681" s="81" t="s">
        <v>166</v>
      </c>
      <c r="E681" s="81" t="s">
        <v>140</v>
      </c>
      <c r="F681" s="705" t="s">
        <v>138</v>
      </c>
      <c r="G681" s="706" t="s">
        <v>97</v>
      </c>
      <c r="H681" s="706" t="s">
        <v>118</v>
      </c>
      <c r="I681" s="707" t="s">
        <v>388</v>
      </c>
      <c r="J681" s="81"/>
      <c r="K681" s="550">
        <f>K682+K683</f>
        <v>847</v>
      </c>
      <c r="L681" s="93">
        <f>L682+L683</f>
        <v>0</v>
      </c>
      <c r="M681" s="93">
        <f>M682+M683</f>
        <v>847</v>
      </c>
    </row>
    <row r="682" spans="1:13" s="95" customFormat="1" ht="112.5">
      <c r="A682" s="82"/>
      <c r="B682" s="91" t="s">
        <v>101</v>
      </c>
      <c r="C682" s="92" t="s">
        <v>378</v>
      </c>
      <c r="D682" s="81" t="s">
        <v>166</v>
      </c>
      <c r="E682" s="81" t="s">
        <v>140</v>
      </c>
      <c r="F682" s="705" t="s">
        <v>138</v>
      </c>
      <c r="G682" s="706" t="s">
        <v>97</v>
      </c>
      <c r="H682" s="706" t="s">
        <v>118</v>
      </c>
      <c r="I682" s="707" t="s">
        <v>388</v>
      </c>
      <c r="J682" s="81" t="s">
        <v>102</v>
      </c>
      <c r="K682" s="550">
        <f>761+6</f>
        <v>767</v>
      </c>
      <c r="L682" s="93">
        <f t="shared" ref="L682:L683" si="203">M682-K682</f>
        <v>0</v>
      </c>
      <c r="M682" s="93">
        <f>761+6</f>
        <v>767</v>
      </c>
    </row>
    <row r="683" spans="1:13" s="95" customFormat="1" ht="53.45" customHeight="1">
      <c r="A683" s="82"/>
      <c r="B683" s="91" t="s">
        <v>107</v>
      </c>
      <c r="C683" s="92" t="s">
        <v>378</v>
      </c>
      <c r="D683" s="81" t="s">
        <v>166</v>
      </c>
      <c r="E683" s="81" t="s">
        <v>140</v>
      </c>
      <c r="F683" s="705" t="s">
        <v>138</v>
      </c>
      <c r="G683" s="706" t="s">
        <v>97</v>
      </c>
      <c r="H683" s="706" t="s">
        <v>118</v>
      </c>
      <c r="I683" s="707" t="s">
        <v>388</v>
      </c>
      <c r="J683" s="81" t="s">
        <v>108</v>
      </c>
      <c r="K683" s="550">
        <v>80</v>
      </c>
      <c r="L683" s="93">
        <f t="shared" si="203"/>
        <v>0</v>
      </c>
      <c r="M683" s="93">
        <v>80</v>
      </c>
    </row>
    <row r="686" spans="1:13" s="147" customFormat="1" ht="18.75">
      <c r="A686" s="141" t="s">
        <v>544</v>
      </c>
      <c r="B686" s="142"/>
      <c r="C686" s="143"/>
      <c r="D686" s="143"/>
      <c r="E686" s="143"/>
      <c r="F686" s="144"/>
      <c r="G686" s="145"/>
      <c r="H686" s="146"/>
      <c r="K686" s="559"/>
      <c r="L686" s="153"/>
      <c r="M686" s="153"/>
    </row>
    <row r="687" spans="1:13" s="147" customFormat="1" ht="18.75">
      <c r="A687" s="141" t="s">
        <v>545</v>
      </c>
      <c r="B687" s="142"/>
      <c r="C687" s="143"/>
      <c r="D687" s="143"/>
      <c r="E687" s="143"/>
      <c r="F687" s="144"/>
      <c r="G687" s="145"/>
      <c r="H687" s="146"/>
      <c r="K687" s="559"/>
      <c r="L687" s="153"/>
      <c r="M687" s="153"/>
    </row>
    <row r="688" spans="1:13" s="147" customFormat="1" ht="18.75">
      <c r="A688" s="148" t="s">
        <v>546</v>
      </c>
      <c r="B688" s="142"/>
      <c r="D688" s="143"/>
      <c r="E688" s="143"/>
      <c r="F688" s="144"/>
      <c r="K688" s="560" t="s">
        <v>592</v>
      </c>
      <c r="L688" s="154"/>
      <c r="M688" s="154" t="s">
        <v>592</v>
      </c>
    </row>
  </sheetData>
  <autoFilter ref="A1:M690"/>
  <mergeCells count="11">
    <mergeCell ref="A7:M7"/>
    <mergeCell ref="L10:M10"/>
    <mergeCell ref="K10:K11"/>
    <mergeCell ref="F12:I12"/>
    <mergeCell ref="A10:A11"/>
    <mergeCell ref="B10:B11"/>
    <mergeCell ref="J10:J11"/>
    <mergeCell ref="F10:I11"/>
    <mergeCell ref="E10:E11"/>
    <mergeCell ref="D10:D11"/>
    <mergeCell ref="C10:C11"/>
  </mergeCells>
  <printOptions horizontalCentered="1"/>
  <pageMargins left="1.1811023622047245" right="0.39370078740157483" top="0.78740157480314965" bottom="0.59055118110236227" header="0.31496062992125984" footer="0.31496062992125984"/>
  <pageSetup paperSize="9" scale="64" fitToHeight="0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Q379"/>
  <sheetViews>
    <sheetView zoomScale="80" zoomScaleNormal="80" workbookViewId="0">
      <selection activeCell="Q384" sqref="Q384"/>
    </sheetView>
  </sheetViews>
  <sheetFormatPr defaultColWidth="8.85546875" defaultRowHeight="15"/>
  <cols>
    <col min="1" max="1" width="4.7109375" style="568" customWidth="1"/>
    <col min="2" max="2" width="54.42578125" style="568" customWidth="1"/>
    <col min="3" max="3" width="5.5703125" style="568" customWidth="1"/>
    <col min="4" max="4" width="3.7109375" style="568" customWidth="1"/>
    <col min="5" max="5" width="4" style="568" customWidth="1"/>
    <col min="6" max="6" width="3.28515625" style="568" customWidth="1"/>
    <col min="7" max="7" width="2.42578125" style="568" customWidth="1"/>
    <col min="8" max="8" width="3.28515625" style="568" customWidth="1"/>
    <col min="9" max="9" width="9.140625" style="568" customWidth="1"/>
    <col min="10" max="10" width="5" style="568" customWidth="1"/>
    <col min="11" max="11" width="15.140625" style="569" hidden="1" customWidth="1"/>
    <col min="12" max="12" width="13.85546875" style="568" customWidth="1"/>
    <col min="13" max="14" width="13.42578125" style="569" customWidth="1"/>
    <col min="15" max="15" width="8.85546875" style="568" customWidth="1"/>
    <col min="16" max="17" width="8.85546875" style="568"/>
    <col min="18" max="18" width="14.28515625" style="568" customWidth="1"/>
    <col min="19" max="16384" width="8.85546875" style="568"/>
  </cols>
  <sheetData>
    <row r="1" spans="1:14" s="53" customFormat="1" ht="18.75">
      <c r="K1" s="1"/>
      <c r="N1" s="1" t="s">
        <v>604</v>
      </c>
    </row>
    <row r="2" spans="1:14" s="53" customFormat="1" ht="18.75">
      <c r="K2" s="1"/>
      <c r="N2" s="163" t="s">
        <v>787</v>
      </c>
    </row>
    <row r="3" spans="1:14" s="53" customFormat="1" ht="18.75">
      <c r="K3" s="1"/>
      <c r="M3" s="1"/>
    </row>
    <row r="4" spans="1:14" ht="18.75">
      <c r="N4" s="1" t="s">
        <v>590</v>
      </c>
    </row>
    <row r="5" spans="1:14" ht="18.75">
      <c r="N5" s="1" t="s">
        <v>703</v>
      </c>
    </row>
    <row r="8" spans="1:14" ht="17.45" customHeight="1">
      <c r="A8" s="785" t="s">
        <v>652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</row>
    <row r="9" spans="1:14" ht="17.45" customHeight="1">
      <c r="A9" s="570"/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</row>
    <row r="10" spans="1:14" ht="17.45" customHeight="1">
      <c r="A10" s="570"/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</row>
    <row r="11" spans="1:14" ht="18.75">
      <c r="A11" s="571"/>
      <c r="B11" s="572"/>
      <c r="C11" s="573"/>
      <c r="D11" s="573"/>
      <c r="E11" s="573"/>
      <c r="F11" s="573"/>
      <c r="G11" s="571"/>
      <c r="H11" s="574"/>
      <c r="I11" s="575"/>
      <c r="J11" s="576"/>
      <c r="L11" s="576"/>
      <c r="N11" s="577" t="s">
        <v>74</v>
      </c>
    </row>
    <row r="12" spans="1:14" ht="18" customHeight="1">
      <c r="A12" s="786" t="s">
        <v>75</v>
      </c>
      <c r="B12" s="787" t="s">
        <v>76</v>
      </c>
      <c r="C12" s="782" t="s">
        <v>77</v>
      </c>
      <c r="D12" s="782" t="s">
        <v>78</v>
      </c>
      <c r="E12" s="782" t="s">
        <v>79</v>
      </c>
      <c r="F12" s="781" t="s">
        <v>80</v>
      </c>
      <c r="G12" s="782"/>
      <c r="H12" s="782"/>
      <c r="I12" s="782"/>
      <c r="J12" s="782" t="s">
        <v>81</v>
      </c>
      <c r="K12" s="779" t="s">
        <v>702</v>
      </c>
      <c r="L12" s="790" t="s">
        <v>547</v>
      </c>
      <c r="M12" s="791"/>
      <c r="N12" s="788" t="s">
        <v>619</v>
      </c>
    </row>
    <row r="13" spans="1:14" ht="34.9" customHeight="1">
      <c r="A13" s="786"/>
      <c r="B13" s="787"/>
      <c r="C13" s="782"/>
      <c r="D13" s="782"/>
      <c r="E13" s="782"/>
      <c r="F13" s="781"/>
      <c r="G13" s="782"/>
      <c r="H13" s="782"/>
      <c r="I13" s="782"/>
      <c r="J13" s="782"/>
      <c r="K13" s="780"/>
      <c r="L13" s="578" t="s">
        <v>557</v>
      </c>
      <c r="M13" s="579" t="s">
        <v>525</v>
      </c>
      <c r="N13" s="789"/>
    </row>
    <row r="14" spans="1:14" ht="18.75">
      <c r="A14" s="580">
        <v>1</v>
      </c>
      <c r="B14" s="581">
        <v>2</v>
      </c>
      <c r="C14" s="457" t="s">
        <v>82</v>
      </c>
      <c r="D14" s="457" t="s">
        <v>83</v>
      </c>
      <c r="E14" s="457" t="s">
        <v>84</v>
      </c>
      <c r="F14" s="783" t="s">
        <v>85</v>
      </c>
      <c r="G14" s="783"/>
      <c r="H14" s="783"/>
      <c r="I14" s="784"/>
      <c r="J14" s="457" t="s">
        <v>86</v>
      </c>
      <c r="K14" s="582">
        <v>9</v>
      </c>
      <c r="L14" s="457" t="s">
        <v>558</v>
      </c>
      <c r="M14" s="582">
        <v>9</v>
      </c>
      <c r="N14" s="582">
        <v>10</v>
      </c>
    </row>
    <row r="15" spans="1:14" ht="25.15" customHeight="1">
      <c r="A15" s="583"/>
      <c r="B15" s="584" t="s">
        <v>274</v>
      </c>
      <c r="C15" s="585"/>
      <c r="D15" s="586"/>
      <c r="E15" s="586"/>
      <c r="F15" s="587"/>
      <c r="G15" s="587"/>
      <c r="H15" s="587"/>
      <c r="I15" s="588"/>
      <c r="J15" s="586"/>
      <c r="K15" s="589">
        <f>K16+K108+K125+K137+K165+K250+K284+K310+K328+K372</f>
        <v>1262652.1999999997</v>
      </c>
      <c r="L15" s="589">
        <f>L16+L108+L125+L137+L165+L250+L284+L310+L328+L372</f>
        <v>-22500.000000000004</v>
      </c>
      <c r="M15" s="589">
        <f>M16+M108+M125+M137+M165+M250+M284+M310+M328+M372</f>
        <v>1240152.1999999997</v>
      </c>
      <c r="N15" s="589">
        <f>N16+N108+N125+N137+N165+N250+N284+N310+N328+N372</f>
        <v>1236516.7</v>
      </c>
    </row>
    <row r="16" spans="1:14" s="597" customFormat="1" ht="37.5">
      <c r="A16" s="590">
        <v>1</v>
      </c>
      <c r="B16" s="591" t="s">
        <v>3</v>
      </c>
      <c r="C16" s="592" t="s">
        <v>12</v>
      </c>
      <c r="D16" s="593"/>
      <c r="E16" s="593"/>
      <c r="F16" s="594"/>
      <c r="G16" s="594"/>
      <c r="H16" s="594"/>
      <c r="I16" s="595"/>
      <c r="J16" s="593"/>
      <c r="K16" s="596">
        <f>K17+K54+K72+K100</f>
        <v>95604.499999999985</v>
      </c>
      <c r="L16" s="596">
        <f>L17+L54+L72+L100</f>
        <v>0</v>
      </c>
      <c r="M16" s="596">
        <f>M17+M54+M72+M100</f>
        <v>95604.499999999985</v>
      </c>
      <c r="N16" s="596">
        <f>N17+N54+N72+N100</f>
        <v>93744.4</v>
      </c>
    </row>
    <row r="17" spans="1:14" s="598" customFormat="1" ht="18.75">
      <c r="A17" s="583"/>
      <c r="B17" s="455" t="s">
        <v>88</v>
      </c>
      <c r="C17" s="456" t="s">
        <v>12</v>
      </c>
      <c r="D17" s="457" t="s">
        <v>89</v>
      </c>
      <c r="E17" s="457"/>
      <c r="F17" s="458"/>
      <c r="G17" s="458"/>
      <c r="H17" s="458"/>
      <c r="I17" s="459"/>
      <c r="J17" s="457"/>
      <c r="K17" s="460">
        <f t="shared" ref="K17" si="0">K18+K24+K48+K42</f>
        <v>66179.199999999997</v>
      </c>
      <c r="L17" s="460">
        <f>L18+L24+L48+L42</f>
        <v>0</v>
      </c>
      <c r="M17" s="460">
        <f t="shared" ref="M17:N17" si="1">M18+M24+M48+M42</f>
        <v>66179.199999999997</v>
      </c>
      <c r="N17" s="460">
        <f t="shared" si="1"/>
        <v>64340.7</v>
      </c>
    </row>
    <row r="18" spans="1:14" s="599" customFormat="1" ht="56.25">
      <c r="A18" s="583"/>
      <c r="B18" s="455" t="s">
        <v>90</v>
      </c>
      <c r="C18" s="456" t="s">
        <v>12</v>
      </c>
      <c r="D18" s="457" t="s">
        <v>89</v>
      </c>
      <c r="E18" s="457" t="s">
        <v>91</v>
      </c>
      <c r="F18" s="458"/>
      <c r="G18" s="458"/>
      <c r="H18" s="458"/>
      <c r="I18" s="459"/>
      <c r="J18" s="457"/>
      <c r="K18" s="460">
        <f t="shared" ref="K18:N22" si="2">K19</f>
        <v>1971.5</v>
      </c>
      <c r="L18" s="460">
        <f t="shared" si="2"/>
        <v>0</v>
      </c>
      <c r="M18" s="460">
        <f t="shared" si="2"/>
        <v>1971.5</v>
      </c>
      <c r="N18" s="460">
        <f t="shared" si="2"/>
        <v>1971.5</v>
      </c>
    </row>
    <row r="19" spans="1:14" s="599" customFormat="1" ht="56.25">
      <c r="A19" s="583"/>
      <c r="B19" s="455" t="s">
        <v>92</v>
      </c>
      <c r="C19" s="456" t="s">
        <v>12</v>
      </c>
      <c r="D19" s="457" t="s">
        <v>89</v>
      </c>
      <c r="E19" s="457" t="s">
        <v>91</v>
      </c>
      <c r="F19" s="458" t="s">
        <v>93</v>
      </c>
      <c r="G19" s="458" t="s">
        <v>94</v>
      </c>
      <c r="H19" s="458" t="s">
        <v>95</v>
      </c>
      <c r="I19" s="459" t="s">
        <v>96</v>
      </c>
      <c r="J19" s="457"/>
      <c r="K19" s="460">
        <f>K20</f>
        <v>1971.5</v>
      </c>
      <c r="L19" s="460">
        <f t="shared" si="2"/>
        <v>0</v>
      </c>
      <c r="M19" s="460">
        <f>M20</f>
        <v>1971.5</v>
      </c>
      <c r="N19" s="460">
        <f t="shared" si="2"/>
        <v>1971.5</v>
      </c>
    </row>
    <row r="20" spans="1:14" s="599" customFormat="1" ht="37.5">
      <c r="A20" s="583"/>
      <c r="B20" s="455" t="s">
        <v>455</v>
      </c>
      <c r="C20" s="456" t="s">
        <v>12</v>
      </c>
      <c r="D20" s="457" t="s">
        <v>89</v>
      </c>
      <c r="E20" s="457" t="s">
        <v>91</v>
      </c>
      <c r="F20" s="458" t="s">
        <v>93</v>
      </c>
      <c r="G20" s="458" t="s">
        <v>97</v>
      </c>
      <c r="H20" s="458" t="s">
        <v>95</v>
      </c>
      <c r="I20" s="459" t="s">
        <v>96</v>
      </c>
      <c r="J20" s="457"/>
      <c r="K20" s="460">
        <f t="shared" si="2"/>
        <v>1971.5</v>
      </c>
      <c r="L20" s="460">
        <f t="shared" si="2"/>
        <v>0</v>
      </c>
      <c r="M20" s="460">
        <f t="shared" si="2"/>
        <v>1971.5</v>
      </c>
      <c r="N20" s="460">
        <f t="shared" si="2"/>
        <v>1971.5</v>
      </c>
    </row>
    <row r="21" spans="1:14" s="599" customFormat="1" ht="49.15" customHeight="1">
      <c r="A21" s="583"/>
      <c r="B21" s="455" t="s">
        <v>98</v>
      </c>
      <c r="C21" s="456" t="s">
        <v>12</v>
      </c>
      <c r="D21" s="457" t="s">
        <v>89</v>
      </c>
      <c r="E21" s="457" t="s">
        <v>91</v>
      </c>
      <c r="F21" s="458" t="s">
        <v>93</v>
      </c>
      <c r="G21" s="458" t="s">
        <v>97</v>
      </c>
      <c r="H21" s="458" t="s">
        <v>89</v>
      </c>
      <c r="I21" s="459" t="s">
        <v>96</v>
      </c>
      <c r="J21" s="457"/>
      <c r="K21" s="460">
        <f t="shared" si="2"/>
        <v>1971.5</v>
      </c>
      <c r="L21" s="460">
        <f t="shared" si="2"/>
        <v>0</v>
      </c>
      <c r="M21" s="460">
        <f t="shared" si="2"/>
        <v>1971.5</v>
      </c>
      <c r="N21" s="460">
        <f t="shared" si="2"/>
        <v>1971.5</v>
      </c>
    </row>
    <row r="22" spans="1:14" s="599" customFormat="1" ht="37.5">
      <c r="A22" s="583"/>
      <c r="B22" s="455" t="s">
        <v>99</v>
      </c>
      <c r="C22" s="456" t="s">
        <v>12</v>
      </c>
      <c r="D22" s="457" t="s">
        <v>89</v>
      </c>
      <c r="E22" s="457" t="s">
        <v>91</v>
      </c>
      <c r="F22" s="458" t="s">
        <v>93</v>
      </c>
      <c r="G22" s="458" t="s">
        <v>97</v>
      </c>
      <c r="H22" s="458" t="s">
        <v>89</v>
      </c>
      <c r="I22" s="459" t="s">
        <v>100</v>
      </c>
      <c r="J22" s="457"/>
      <c r="K22" s="460">
        <f t="shared" si="2"/>
        <v>1971.5</v>
      </c>
      <c r="L22" s="460">
        <f t="shared" si="2"/>
        <v>0</v>
      </c>
      <c r="M22" s="460">
        <f t="shared" si="2"/>
        <v>1971.5</v>
      </c>
      <c r="N22" s="460">
        <f t="shared" si="2"/>
        <v>1971.5</v>
      </c>
    </row>
    <row r="23" spans="1:14" s="599" customFormat="1" ht="86.45" customHeight="1">
      <c r="A23" s="583"/>
      <c r="B23" s="455" t="s">
        <v>101</v>
      </c>
      <c r="C23" s="456" t="s">
        <v>12</v>
      </c>
      <c r="D23" s="457" t="s">
        <v>89</v>
      </c>
      <c r="E23" s="457" t="s">
        <v>91</v>
      </c>
      <c r="F23" s="458" t="s">
        <v>93</v>
      </c>
      <c r="G23" s="458" t="s">
        <v>97</v>
      </c>
      <c r="H23" s="458" t="s">
        <v>89</v>
      </c>
      <c r="I23" s="459" t="s">
        <v>100</v>
      </c>
      <c r="J23" s="457" t="s">
        <v>102</v>
      </c>
      <c r="K23" s="460">
        <v>1971.5</v>
      </c>
      <c r="L23" s="460">
        <f>M23-K23</f>
        <v>0</v>
      </c>
      <c r="M23" s="460">
        <v>1971.5</v>
      </c>
      <c r="N23" s="460">
        <v>1971.5</v>
      </c>
    </row>
    <row r="24" spans="1:14" s="598" customFormat="1" ht="93.75">
      <c r="A24" s="583"/>
      <c r="B24" s="455" t="s">
        <v>103</v>
      </c>
      <c r="C24" s="456" t="s">
        <v>12</v>
      </c>
      <c r="D24" s="457" t="s">
        <v>89</v>
      </c>
      <c r="E24" s="457" t="s">
        <v>104</v>
      </c>
      <c r="F24" s="458"/>
      <c r="G24" s="458"/>
      <c r="H24" s="458"/>
      <c r="I24" s="459"/>
      <c r="J24" s="457"/>
      <c r="K24" s="460">
        <f t="shared" ref="K24:N25" si="3">K25</f>
        <v>61196.9</v>
      </c>
      <c r="L24" s="460">
        <f t="shared" si="3"/>
        <v>0</v>
      </c>
      <c r="M24" s="460">
        <f t="shared" si="3"/>
        <v>61196.9</v>
      </c>
      <c r="N24" s="460">
        <f t="shared" si="3"/>
        <v>59364.5</v>
      </c>
    </row>
    <row r="25" spans="1:14" s="598" customFormat="1" ht="56.25">
      <c r="A25" s="583"/>
      <c r="B25" s="455" t="s">
        <v>105</v>
      </c>
      <c r="C25" s="456" t="s">
        <v>12</v>
      </c>
      <c r="D25" s="457" t="s">
        <v>89</v>
      </c>
      <c r="E25" s="457" t="s">
        <v>104</v>
      </c>
      <c r="F25" s="458" t="s">
        <v>93</v>
      </c>
      <c r="G25" s="458" t="s">
        <v>94</v>
      </c>
      <c r="H25" s="458" t="s">
        <v>95</v>
      </c>
      <c r="I25" s="459" t="s">
        <v>96</v>
      </c>
      <c r="J25" s="457"/>
      <c r="K25" s="460">
        <f>K26</f>
        <v>61196.9</v>
      </c>
      <c r="L25" s="460">
        <f t="shared" si="3"/>
        <v>0</v>
      </c>
      <c r="M25" s="460">
        <f>M26</f>
        <v>61196.9</v>
      </c>
      <c r="N25" s="460">
        <f t="shared" si="3"/>
        <v>59364.5</v>
      </c>
    </row>
    <row r="26" spans="1:14" s="576" customFormat="1" ht="37.5">
      <c r="A26" s="583"/>
      <c r="B26" s="455" t="s">
        <v>455</v>
      </c>
      <c r="C26" s="456" t="s">
        <v>12</v>
      </c>
      <c r="D26" s="457" t="s">
        <v>89</v>
      </c>
      <c r="E26" s="457" t="s">
        <v>104</v>
      </c>
      <c r="F26" s="458" t="s">
        <v>93</v>
      </c>
      <c r="G26" s="458" t="s">
        <v>97</v>
      </c>
      <c r="H26" s="458" t="s">
        <v>95</v>
      </c>
      <c r="I26" s="459" t="s">
        <v>96</v>
      </c>
      <c r="J26" s="457"/>
      <c r="K26" s="460">
        <f>K27</f>
        <v>61196.9</v>
      </c>
      <c r="L26" s="460">
        <f>L27</f>
        <v>0</v>
      </c>
      <c r="M26" s="460">
        <f>M27</f>
        <v>61196.9</v>
      </c>
      <c r="N26" s="460">
        <f>N27</f>
        <v>59364.5</v>
      </c>
    </row>
    <row r="27" spans="1:14" s="576" customFormat="1" ht="37.5">
      <c r="A27" s="583"/>
      <c r="B27" s="455" t="s">
        <v>106</v>
      </c>
      <c r="C27" s="456" t="s">
        <v>12</v>
      </c>
      <c r="D27" s="457" t="s">
        <v>89</v>
      </c>
      <c r="E27" s="457" t="s">
        <v>104</v>
      </c>
      <c r="F27" s="458" t="s">
        <v>93</v>
      </c>
      <c r="G27" s="458" t="s">
        <v>97</v>
      </c>
      <c r="H27" s="458" t="s">
        <v>91</v>
      </c>
      <c r="I27" s="459" t="s">
        <v>96</v>
      </c>
      <c r="J27" s="457"/>
      <c r="K27" s="460">
        <f>K28+K33+K35+K38+K31+K40</f>
        <v>61196.9</v>
      </c>
      <c r="L27" s="460">
        <f>L28+L33+L35+L38+L31+L40</f>
        <v>0</v>
      </c>
      <c r="M27" s="460">
        <f>M28+M33+M35+M38+M31+M40</f>
        <v>61196.9</v>
      </c>
      <c r="N27" s="460">
        <f>N28+N33+N35+N38+N31+N40</f>
        <v>59364.5</v>
      </c>
    </row>
    <row r="28" spans="1:14" s="599" customFormat="1" ht="37.5">
      <c r="A28" s="583"/>
      <c r="B28" s="455" t="s">
        <v>99</v>
      </c>
      <c r="C28" s="456" t="s">
        <v>12</v>
      </c>
      <c r="D28" s="457" t="s">
        <v>89</v>
      </c>
      <c r="E28" s="457" t="s">
        <v>104</v>
      </c>
      <c r="F28" s="458" t="s">
        <v>93</v>
      </c>
      <c r="G28" s="458" t="s">
        <v>97</v>
      </c>
      <c r="H28" s="458" t="s">
        <v>91</v>
      </c>
      <c r="I28" s="459" t="s">
        <v>100</v>
      </c>
      <c r="J28" s="457"/>
      <c r="K28" s="460">
        <f t="shared" ref="K28" si="4">SUM(K29:K30)</f>
        <v>57331.8</v>
      </c>
      <c r="L28" s="460">
        <f>SUM(L29:L30)</f>
        <v>0</v>
      </c>
      <c r="M28" s="460">
        <f t="shared" ref="M28:N28" si="5">SUM(M29:M30)</f>
        <v>57331.8</v>
      </c>
      <c r="N28" s="460">
        <f t="shared" si="5"/>
        <v>55499.4</v>
      </c>
    </row>
    <row r="29" spans="1:14" s="599" customFormat="1" ht="85.9" customHeight="1">
      <c r="A29" s="583"/>
      <c r="B29" s="455" t="s">
        <v>101</v>
      </c>
      <c r="C29" s="456" t="s">
        <v>12</v>
      </c>
      <c r="D29" s="457" t="s">
        <v>89</v>
      </c>
      <c r="E29" s="457" t="s">
        <v>104</v>
      </c>
      <c r="F29" s="458" t="s">
        <v>93</v>
      </c>
      <c r="G29" s="458" t="s">
        <v>97</v>
      </c>
      <c r="H29" s="458" t="s">
        <v>91</v>
      </c>
      <c r="I29" s="459" t="s">
        <v>100</v>
      </c>
      <c r="J29" s="457" t="s">
        <v>102</v>
      </c>
      <c r="K29" s="460">
        <v>55499.4</v>
      </c>
      <c r="L29" s="460">
        <f t="shared" ref="L29:L30" si="6">M29-K29</f>
        <v>0</v>
      </c>
      <c r="M29" s="460">
        <v>55499.4</v>
      </c>
      <c r="N29" s="460">
        <v>55499.4</v>
      </c>
    </row>
    <row r="30" spans="1:14" s="576" customFormat="1" ht="31.9" customHeight="1">
      <c r="A30" s="583"/>
      <c r="B30" s="455" t="s">
        <v>107</v>
      </c>
      <c r="C30" s="456" t="s">
        <v>12</v>
      </c>
      <c r="D30" s="457" t="s">
        <v>89</v>
      </c>
      <c r="E30" s="457" t="s">
        <v>104</v>
      </c>
      <c r="F30" s="458" t="s">
        <v>93</v>
      </c>
      <c r="G30" s="458" t="s">
        <v>97</v>
      </c>
      <c r="H30" s="458" t="s">
        <v>91</v>
      </c>
      <c r="I30" s="459" t="s">
        <v>100</v>
      </c>
      <c r="J30" s="457" t="s">
        <v>108</v>
      </c>
      <c r="K30" s="460">
        <v>1832.4</v>
      </c>
      <c r="L30" s="460">
        <f t="shared" si="6"/>
        <v>0</v>
      </c>
      <c r="M30" s="460">
        <v>1832.4</v>
      </c>
      <c r="N30" s="460">
        <v>0</v>
      </c>
    </row>
    <row r="31" spans="1:14" s="598" customFormat="1" ht="93.75">
      <c r="A31" s="583"/>
      <c r="B31" s="455" t="s">
        <v>116</v>
      </c>
      <c r="C31" s="456" t="s">
        <v>12</v>
      </c>
      <c r="D31" s="457" t="s">
        <v>89</v>
      </c>
      <c r="E31" s="457" t="s">
        <v>104</v>
      </c>
      <c r="F31" s="458" t="s">
        <v>93</v>
      </c>
      <c r="G31" s="458" t="s">
        <v>97</v>
      </c>
      <c r="H31" s="458" t="s">
        <v>91</v>
      </c>
      <c r="I31" s="459" t="s">
        <v>342</v>
      </c>
      <c r="J31" s="457"/>
      <c r="K31" s="460">
        <f>K32</f>
        <v>66</v>
      </c>
      <c r="L31" s="460">
        <f>L32</f>
        <v>0</v>
      </c>
      <c r="M31" s="460">
        <f>M32</f>
        <v>66</v>
      </c>
      <c r="N31" s="460">
        <f>N32</f>
        <v>66</v>
      </c>
    </row>
    <row r="32" spans="1:14" s="598" customFormat="1" ht="37.9" customHeight="1">
      <c r="A32" s="583"/>
      <c r="B32" s="455" t="s">
        <v>107</v>
      </c>
      <c r="C32" s="456" t="s">
        <v>12</v>
      </c>
      <c r="D32" s="457" t="s">
        <v>89</v>
      </c>
      <c r="E32" s="457" t="s">
        <v>104</v>
      </c>
      <c r="F32" s="458" t="s">
        <v>93</v>
      </c>
      <c r="G32" s="458" t="s">
        <v>97</v>
      </c>
      <c r="H32" s="458" t="s">
        <v>91</v>
      </c>
      <c r="I32" s="459" t="s">
        <v>342</v>
      </c>
      <c r="J32" s="457" t="s">
        <v>108</v>
      </c>
      <c r="K32" s="460">
        <v>66</v>
      </c>
      <c r="L32" s="460">
        <f>M32-K32</f>
        <v>0</v>
      </c>
      <c r="M32" s="460">
        <v>66</v>
      </c>
      <c r="N32" s="460">
        <v>66</v>
      </c>
    </row>
    <row r="33" spans="1:14" s="598" customFormat="1" ht="18.75">
      <c r="A33" s="583"/>
      <c r="B33" s="58" t="s">
        <v>695</v>
      </c>
      <c r="C33" s="456" t="s">
        <v>12</v>
      </c>
      <c r="D33" s="457" t="s">
        <v>89</v>
      </c>
      <c r="E33" s="457" t="s">
        <v>104</v>
      </c>
      <c r="F33" s="458" t="s">
        <v>93</v>
      </c>
      <c r="G33" s="458" t="s">
        <v>97</v>
      </c>
      <c r="H33" s="458" t="s">
        <v>91</v>
      </c>
      <c r="I33" s="459" t="s">
        <v>111</v>
      </c>
      <c r="J33" s="457"/>
      <c r="K33" s="460">
        <f>K34</f>
        <v>617.1</v>
      </c>
      <c r="L33" s="460">
        <f>L34</f>
        <v>0</v>
      </c>
      <c r="M33" s="460">
        <f>M34</f>
        <v>617.1</v>
      </c>
      <c r="N33" s="460">
        <f>N34</f>
        <v>617.1</v>
      </c>
    </row>
    <row r="34" spans="1:14" s="598" customFormat="1" ht="87" customHeight="1">
      <c r="A34" s="583"/>
      <c r="B34" s="455" t="s">
        <v>101</v>
      </c>
      <c r="C34" s="456" t="s">
        <v>12</v>
      </c>
      <c r="D34" s="457" t="s">
        <v>89</v>
      </c>
      <c r="E34" s="457" t="s">
        <v>104</v>
      </c>
      <c r="F34" s="458" t="s">
        <v>93</v>
      </c>
      <c r="G34" s="458" t="s">
        <v>97</v>
      </c>
      <c r="H34" s="458" t="s">
        <v>91</v>
      </c>
      <c r="I34" s="459" t="s">
        <v>111</v>
      </c>
      <c r="J34" s="457" t="s">
        <v>102</v>
      </c>
      <c r="K34" s="460">
        <v>617.1</v>
      </c>
      <c r="L34" s="460">
        <f>M34-K34</f>
        <v>0</v>
      </c>
      <c r="M34" s="460">
        <v>617.1</v>
      </c>
      <c r="N34" s="460">
        <v>617.1</v>
      </c>
    </row>
    <row r="35" spans="1:14" s="598" customFormat="1" ht="75">
      <c r="A35" s="583"/>
      <c r="B35" s="455" t="s">
        <v>112</v>
      </c>
      <c r="C35" s="456" t="s">
        <v>12</v>
      </c>
      <c r="D35" s="457" t="s">
        <v>89</v>
      </c>
      <c r="E35" s="457" t="s">
        <v>104</v>
      </c>
      <c r="F35" s="458" t="s">
        <v>93</v>
      </c>
      <c r="G35" s="458" t="s">
        <v>97</v>
      </c>
      <c r="H35" s="458" t="s">
        <v>91</v>
      </c>
      <c r="I35" s="459" t="s">
        <v>113</v>
      </c>
      <c r="J35" s="457"/>
      <c r="K35" s="460">
        <f>SUM(K36:K37)</f>
        <v>2498.7000000000003</v>
      </c>
      <c r="L35" s="460">
        <f>SUM(L36:L37)</f>
        <v>0</v>
      </c>
      <c r="M35" s="460">
        <f>SUM(M36:M37)</f>
        <v>2498.7000000000003</v>
      </c>
      <c r="N35" s="460">
        <f>SUM(N36:N37)</f>
        <v>2498.7000000000003</v>
      </c>
    </row>
    <row r="36" spans="1:14" s="598" customFormat="1" ht="85.9" customHeight="1">
      <c r="A36" s="583"/>
      <c r="B36" s="455" t="s">
        <v>101</v>
      </c>
      <c r="C36" s="456" t="s">
        <v>12</v>
      </c>
      <c r="D36" s="457" t="s">
        <v>89</v>
      </c>
      <c r="E36" s="457" t="s">
        <v>104</v>
      </c>
      <c r="F36" s="458" t="s">
        <v>93</v>
      </c>
      <c r="G36" s="458" t="s">
        <v>97</v>
      </c>
      <c r="H36" s="458" t="s">
        <v>91</v>
      </c>
      <c r="I36" s="459" t="s">
        <v>113</v>
      </c>
      <c r="J36" s="457" t="s">
        <v>102</v>
      </c>
      <c r="K36" s="460">
        <v>2399.8000000000002</v>
      </c>
      <c r="L36" s="460">
        <f t="shared" ref="L36:L37" si="7">M36-K36</f>
        <v>0</v>
      </c>
      <c r="M36" s="460">
        <v>2399.8000000000002</v>
      </c>
      <c r="N36" s="460">
        <v>2399.8000000000002</v>
      </c>
    </row>
    <row r="37" spans="1:14" s="598" customFormat="1" ht="37.9" customHeight="1">
      <c r="A37" s="583"/>
      <c r="B37" s="455" t="s">
        <v>107</v>
      </c>
      <c r="C37" s="456" t="s">
        <v>12</v>
      </c>
      <c r="D37" s="457" t="s">
        <v>89</v>
      </c>
      <c r="E37" s="457" t="s">
        <v>104</v>
      </c>
      <c r="F37" s="458" t="s">
        <v>93</v>
      </c>
      <c r="G37" s="458" t="s">
        <v>97</v>
      </c>
      <c r="H37" s="458" t="s">
        <v>91</v>
      </c>
      <c r="I37" s="459" t="s">
        <v>113</v>
      </c>
      <c r="J37" s="457" t="s">
        <v>108</v>
      </c>
      <c r="K37" s="460">
        <f>89.9+9</f>
        <v>98.9</v>
      </c>
      <c r="L37" s="460">
        <f t="shared" si="7"/>
        <v>0</v>
      </c>
      <c r="M37" s="460">
        <f>89.9+9</f>
        <v>98.9</v>
      </c>
      <c r="N37" s="460">
        <f>89.9+9</f>
        <v>98.9</v>
      </c>
    </row>
    <row r="38" spans="1:14" s="598" customFormat="1" ht="69.599999999999994" customHeight="1">
      <c r="A38" s="583"/>
      <c r="B38" s="455" t="s">
        <v>114</v>
      </c>
      <c r="C38" s="456" t="s">
        <v>12</v>
      </c>
      <c r="D38" s="457" t="s">
        <v>89</v>
      </c>
      <c r="E38" s="457" t="s">
        <v>104</v>
      </c>
      <c r="F38" s="458" t="s">
        <v>93</v>
      </c>
      <c r="G38" s="458" t="s">
        <v>97</v>
      </c>
      <c r="H38" s="458" t="s">
        <v>91</v>
      </c>
      <c r="I38" s="459" t="s">
        <v>115</v>
      </c>
      <c r="J38" s="457"/>
      <c r="K38" s="460">
        <f>K39</f>
        <v>617.29999999999995</v>
      </c>
      <c r="L38" s="460">
        <f>L39</f>
        <v>0</v>
      </c>
      <c r="M38" s="460">
        <f>M39</f>
        <v>617.29999999999995</v>
      </c>
      <c r="N38" s="460">
        <f>N39</f>
        <v>617.29999999999995</v>
      </c>
    </row>
    <row r="39" spans="1:14" s="598" customFormat="1" ht="86.45" customHeight="1">
      <c r="A39" s="583"/>
      <c r="B39" s="455" t="s">
        <v>101</v>
      </c>
      <c r="C39" s="456" t="s">
        <v>12</v>
      </c>
      <c r="D39" s="457" t="s">
        <v>89</v>
      </c>
      <c r="E39" s="457" t="s">
        <v>104</v>
      </c>
      <c r="F39" s="458" t="s">
        <v>93</v>
      </c>
      <c r="G39" s="458" t="s">
        <v>97</v>
      </c>
      <c r="H39" s="458" t="s">
        <v>91</v>
      </c>
      <c r="I39" s="459" t="s">
        <v>115</v>
      </c>
      <c r="J39" s="457" t="s">
        <v>102</v>
      </c>
      <c r="K39" s="460">
        <v>617.29999999999995</v>
      </c>
      <c r="L39" s="460">
        <f>M39-K39</f>
        <v>0</v>
      </c>
      <c r="M39" s="460">
        <v>617.29999999999995</v>
      </c>
      <c r="N39" s="460">
        <v>617.29999999999995</v>
      </c>
    </row>
    <row r="40" spans="1:14" s="598" customFormat="1" ht="86.45" customHeight="1">
      <c r="A40" s="583"/>
      <c r="B40" s="58" t="s">
        <v>540</v>
      </c>
      <c r="C40" s="456" t="s">
        <v>12</v>
      </c>
      <c r="D40" s="457" t="s">
        <v>89</v>
      </c>
      <c r="E40" s="457" t="s">
        <v>104</v>
      </c>
      <c r="F40" s="462" t="s">
        <v>93</v>
      </c>
      <c r="G40" s="458" t="s">
        <v>97</v>
      </c>
      <c r="H40" s="458" t="s">
        <v>91</v>
      </c>
      <c r="I40" s="459" t="s">
        <v>539</v>
      </c>
      <c r="J40" s="457"/>
      <c r="K40" s="460">
        <f>K41</f>
        <v>66</v>
      </c>
      <c r="L40" s="460">
        <f>L41</f>
        <v>0</v>
      </c>
      <c r="M40" s="460">
        <f>M41</f>
        <v>66</v>
      </c>
      <c r="N40" s="460">
        <f>N41</f>
        <v>66</v>
      </c>
    </row>
    <row r="41" spans="1:14" s="598" customFormat="1" ht="36.6" customHeight="1">
      <c r="A41" s="583"/>
      <c r="B41" s="58" t="s">
        <v>107</v>
      </c>
      <c r="C41" s="456" t="s">
        <v>12</v>
      </c>
      <c r="D41" s="457" t="s">
        <v>89</v>
      </c>
      <c r="E41" s="457" t="s">
        <v>104</v>
      </c>
      <c r="F41" s="462" t="s">
        <v>93</v>
      </c>
      <c r="G41" s="458" t="s">
        <v>97</v>
      </c>
      <c r="H41" s="458" t="s">
        <v>91</v>
      </c>
      <c r="I41" s="459" t="s">
        <v>539</v>
      </c>
      <c r="J41" s="457" t="s">
        <v>108</v>
      </c>
      <c r="K41" s="460">
        <v>66</v>
      </c>
      <c r="L41" s="460">
        <f>M41-K41</f>
        <v>0</v>
      </c>
      <c r="M41" s="460">
        <v>66</v>
      </c>
      <c r="N41" s="460">
        <v>66</v>
      </c>
    </row>
    <row r="42" spans="1:14" s="576" customFormat="1" ht="18.75">
      <c r="A42" s="583"/>
      <c r="B42" s="58" t="s">
        <v>585</v>
      </c>
      <c r="C42" s="456" t="s">
        <v>12</v>
      </c>
      <c r="D42" s="457" t="s">
        <v>89</v>
      </c>
      <c r="E42" s="457" t="s">
        <v>120</v>
      </c>
      <c r="F42" s="462"/>
      <c r="G42" s="458"/>
      <c r="H42" s="458"/>
      <c r="I42" s="459"/>
      <c r="J42" s="457"/>
      <c r="K42" s="460">
        <f t="shared" ref="K42:N46" si="8">K43</f>
        <v>10.8</v>
      </c>
      <c r="L42" s="460">
        <f t="shared" si="8"/>
        <v>0</v>
      </c>
      <c r="M42" s="460">
        <f t="shared" si="8"/>
        <v>10.8</v>
      </c>
      <c r="N42" s="460">
        <f t="shared" si="8"/>
        <v>4.7</v>
      </c>
    </row>
    <row r="43" spans="1:14" s="576" customFormat="1" ht="56.25">
      <c r="A43" s="583"/>
      <c r="B43" s="58" t="s">
        <v>105</v>
      </c>
      <c r="C43" s="456" t="s">
        <v>12</v>
      </c>
      <c r="D43" s="457" t="s">
        <v>89</v>
      </c>
      <c r="E43" s="457" t="s">
        <v>120</v>
      </c>
      <c r="F43" s="462" t="s">
        <v>93</v>
      </c>
      <c r="G43" s="458" t="s">
        <v>94</v>
      </c>
      <c r="H43" s="458" t="s">
        <v>95</v>
      </c>
      <c r="I43" s="459" t="s">
        <v>96</v>
      </c>
      <c r="J43" s="457"/>
      <c r="K43" s="460">
        <f t="shared" si="8"/>
        <v>10.8</v>
      </c>
      <c r="L43" s="460">
        <f t="shared" si="8"/>
        <v>0</v>
      </c>
      <c r="M43" s="460">
        <f t="shared" si="8"/>
        <v>10.8</v>
      </c>
      <c r="N43" s="460">
        <f t="shared" si="8"/>
        <v>4.7</v>
      </c>
    </row>
    <row r="44" spans="1:14" s="576" customFormat="1" ht="37.5">
      <c r="A44" s="583"/>
      <c r="B44" s="58" t="s">
        <v>455</v>
      </c>
      <c r="C44" s="456" t="s">
        <v>12</v>
      </c>
      <c r="D44" s="457" t="s">
        <v>89</v>
      </c>
      <c r="E44" s="457" t="s">
        <v>120</v>
      </c>
      <c r="F44" s="462" t="s">
        <v>93</v>
      </c>
      <c r="G44" s="458" t="s">
        <v>97</v>
      </c>
      <c r="H44" s="458" t="s">
        <v>95</v>
      </c>
      <c r="I44" s="459" t="s">
        <v>96</v>
      </c>
      <c r="J44" s="457"/>
      <c r="K44" s="460">
        <f t="shared" si="8"/>
        <v>10.8</v>
      </c>
      <c r="L44" s="460">
        <f t="shared" si="8"/>
        <v>0</v>
      </c>
      <c r="M44" s="460">
        <f t="shared" si="8"/>
        <v>10.8</v>
      </c>
      <c r="N44" s="460">
        <f t="shared" si="8"/>
        <v>4.7</v>
      </c>
    </row>
    <row r="45" spans="1:14" s="576" customFormat="1" ht="37.5">
      <c r="A45" s="583"/>
      <c r="B45" s="58" t="s">
        <v>106</v>
      </c>
      <c r="C45" s="456" t="s">
        <v>12</v>
      </c>
      <c r="D45" s="457" t="s">
        <v>89</v>
      </c>
      <c r="E45" s="457" t="s">
        <v>120</v>
      </c>
      <c r="F45" s="462" t="s">
        <v>93</v>
      </c>
      <c r="G45" s="458" t="s">
        <v>97</v>
      </c>
      <c r="H45" s="458" t="s">
        <v>91</v>
      </c>
      <c r="I45" s="459" t="s">
        <v>96</v>
      </c>
      <c r="J45" s="457"/>
      <c r="K45" s="460">
        <f t="shared" si="8"/>
        <v>10.8</v>
      </c>
      <c r="L45" s="460">
        <f t="shared" si="8"/>
        <v>0</v>
      </c>
      <c r="M45" s="460">
        <f t="shared" si="8"/>
        <v>10.8</v>
      </c>
      <c r="N45" s="460">
        <f t="shared" si="8"/>
        <v>4.7</v>
      </c>
    </row>
    <row r="46" spans="1:14" s="576" customFormat="1" ht="93.75">
      <c r="A46" s="583"/>
      <c r="B46" s="58" t="s">
        <v>587</v>
      </c>
      <c r="C46" s="456" t="s">
        <v>12</v>
      </c>
      <c r="D46" s="457" t="s">
        <v>89</v>
      </c>
      <c r="E46" s="457" t="s">
        <v>120</v>
      </c>
      <c r="F46" s="462" t="s">
        <v>93</v>
      </c>
      <c r="G46" s="458" t="s">
        <v>97</v>
      </c>
      <c r="H46" s="458" t="s">
        <v>91</v>
      </c>
      <c r="I46" s="459" t="s">
        <v>586</v>
      </c>
      <c r="J46" s="457"/>
      <c r="K46" s="460">
        <f t="shared" si="8"/>
        <v>10.8</v>
      </c>
      <c r="L46" s="460">
        <f t="shared" si="8"/>
        <v>0</v>
      </c>
      <c r="M46" s="460">
        <f t="shared" si="8"/>
        <v>10.8</v>
      </c>
      <c r="N46" s="460">
        <f t="shared" si="8"/>
        <v>4.7</v>
      </c>
    </row>
    <row r="47" spans="1:14" s="576" customFormat="1" ht="37.9" customHeight="1">
      <c r="A47" s="583"/>
      <c r="B47" s="58" t="s">
        <v>107</v>
      </c>
      <c r="C47" s="456" t="s">
        <v>12</v>
      </c>
      <c r="D47" s="457" t="s">
        <v>89</v>
      </c>
      <c r="E47" s="457" t="s">
        <v>120</v>
      </c>
      <c r="F47" s="462" t="s">
        <v>93</v>
      </c>
      <c r="G47" s="458" t="s">
        <v>97</v>
      </c>
      <c r="H47" s="458" t="s">
        <v>91</v>
      </c>
      <c r="I47" s="459" t="s">
        <v>586</v>
      </c>
      <c r="J47" s="457" t="s">
        <v>108</v>
      </c>
      <c r="K47" s="460">
        <f>9.5+1.3</f>
        <v>10.8</v>
      </c>
      <c r="L47" s="460">
        <f>M47-K47</f>
        <v>0</v>
      </c>
      <c r="M47" s="460">
        <f>9.5+1.3</f>
        <v>10.8</v>
      </c>
      <c r="N47" s="460">
        <f>9.5-4.8</f>
        <v>4.7</v>
      </c>
    </row>
    <row r="48" spans="1:14" s="599" customFormat="1" ht="18.75">
      <c r="A48" s="583"/>
      <c r="B48" s="455" t="s">
        <v>121</v>
      </c>
      <c r="C48" s="456" t="s">
        <v>12</v>
      </c>
      <c r="D48" s="457" t="s">
        <v>89</v>
      </c>
      <c r="E48" s="457" t="s">
        <v>122</v>
      </c>
      <c r="F48" s="458"/>
      <c r="G48" s="458"/>
      <c r="H48" s="458"/>
      <c r="I48" s="459"/>
      <c r="J48" s="457"/>
      <c r="K48" s="460">
        <f t="shared" ref="K48:N52" si="9">K49</f>
        <v>3000</v>
      </c>
      <c r="L48" s="460">
        <f t="shared" si="9"/>
        <v>0</v>
      </c>
      <c r="M48" s="460">
        <f t="shared" si="9"/>
        <v>3000</v>
      </c>
      <c r="N48" s="460">
        <f t="shared" si="9"/>
        <v>3000</v>
      </c>
    </row>
    <row r="49" spans="1:14" s="599" customFormat="1" ht="37.5">
      <c r="A49" s="583"/>
      <c r="B49" s="455" t="s">
        <v>123</v>
      </c>
      <c r="C49" s="456" t="s">
        <v>12</v>
      </c>
      <c r="D49" s="457" t="s">
        <v>89</v>
      </c>
      <c r="E49" s="457" t="s">
        <v>122</v>
      </c>
      <c r="F49" s="458" t="s">
        <v>124</v>
      </c>
      <c r="G49" s="458" t="s">
        <v>94</v>
      </c>
      <c r="H49" s="458" t="s">
        <v>95</v>
      </c>
      <c r="I49" s="459" t="s">
        <v>96</v>
      </c>
      <c r="J49" s="457"/>
      <c r="K49" s="460">
        <f t="shared" si="9"/>
        <v>3000</v>
      </c>
      <c r="L49" s="460">
        <f t="shared" si="9"/>
        <v>0</v>
      </c>
      <c r="M49" s="460">
        <f t="shared" si="9"/>
        <v>3000</v>
      </c>
      <c r="N49" s="460">
        <f t="shared" si="9"/>
        <v>3000</v>
      </c>
    </row>
    <row r="50" spans="1:14" s="599" customFormat="1" ht="37.5">
      <c r="A50" s="583"/>
      <c r="B50" s="600" t="s">
        <v>125</v>
      </c>
      <c r="C50" s="456" t="s">
        <v>12</v>
      </c>
      <c r="D50" s="457" t="s">
        <v>89</v>
      </c>
      <c r="E50" s="457" t="s">
        <v>122</v>
      </c>
      <c r="F50" s="458" t="s">
        <v>124</v>
      </c>
      <c r="G50" s="458" t="s">
        <v>97</v>
      </c>
      <c r="H50" s="458" t="s">
        <v>95</v>
      </c>
      <c r="I50" s="459" t="s">
        <v>96</v>
      </c>
      <c r="J50" s="457"/>
      <c r="K50" s="460">
        <f t="shared" si="9"/>
        <v>3000</v>
      </c>
      <c r="L50" s="460">
        <f t="shared" si="9"/>
        <v>0</v>
      </c>
      <c r="M50" s="460">
        <f t="shared" si="9"/>
        <v>3000</v>
      </c>
      <c r="N50" s="460">
        <f t="shared" si="9"/>
        <v>3000</v>
      </c>
    </row>
    <row r="51" spans="1:14" s="599" customFormat="1" ht="18.75">
      <c r="A51" s="583"/>
      <c r="B51" s="455" t="s">
        <v>121</v>
      </c>
      <c r="C51" s="456" t="s">
        <v>12</v>
      </c>
      <c r="D51" s="457" t="s">
        <v>89</v>
      </c>
      <c r="E51" s="457" t="s">
        <v>122</v>
      </c>
      <c r="F51" s="458" t="s">
        <v>124</v>
      </c>
      <c r="G51" s="458" t="s">
        <v>97</v>
      </c>
      <c r="H51" s="458" t="s">
        <v>89</v>
      </c>
      <c r="I51" s="459" t="s">
        <v>96</v>
      </c>
      <c r="J51" s="457"/>
      <c r="K51" s="460">
        <f t="shared" si="9"/>
        <v>3000</v>
      </c>
      <c r="L51" s="460">
        <f t="shared" si="9"/>
        <v>0</v>
      </c>
      <c r="M51" s="460">
        <f t="shared" si="9"/>
        <v>3000</v>
      </c>
      <c r="N51" s="460">
        <f t="shared" si="9"/>
        <v>3000</v>
      </c>
    </row>
    <row r="52" spans="1:14" s="599" customFormat="1" ht="18.75">
      <c r="A52" s="583"/>
      <c r="B52" s="455" t="s">
        <v>126</v>
      </c>
      <c r="C52" s="456" t="s">
        <v>12</v>
      </c>
      <c r="D52" s="457" t="s">
        <v>89</v>
      </c>
      <c r="E52" s="457" t="s">
        <v>122</v>
      </c>
      <c r="F52" s="458" t="s">
        <v>124</v>
      </c>
      <c r="G52" s="458" t="s">
        <v>97</v>
      </c>
      <c r="H52" s="458" t="s">
        <v>89</v>
      </c>
      <c r="I52" s="459" t="s">
        <v>127</v>
      </c>
      <c r="J52" s="457"/>
      <c r="K52" s="460">
        <f t="shared" si="9"/>
        <v>3000</v>
      </c>
      <c r="L52" s="460">
        <f t="shared" si="9"/>
        <v>0</v>
      </c>
      <c r="M52" s="460">
        <f t="shared" si="9"/>
        <v>3000</v>
      </c>
      <c r="N52" s="460">
        <f t="shared" si="9"/>
        <v>3000</v>
      </c>
    </row>
    <row r="53" spans="1:14" s="599" customFormat="1" ht="18.75">
      <c r="A53" s="583"/>
      <c r="B53" s="455" t="s">
        <v>109</v>
      </c>
      <c r="C53" s="456" t="s">
        <v>12</v>
      </c>
      <c r="D53" s="457" t="s">
        <v>89</v>
      </c>
      <c r="E53" s="457" t="s">
        <v>122</v>
      </c>
      <c r="F53" s="458" t="s">
        <v>124</v>
      </c>
      <c r="G53" s="458" t="s">
        <v>97</v>
      </c>
      <c r="H53" s="458" t="s">
        <v>89</v>
      </c>
      <c r="I53" s="459" t="s">
        <v>127</v>
      </c>
      <c r="J53" s="457" t="s">
        <v>110</v>
      </c>
      <c r="K53" s="460">
        <v>3000</v>
      </c>
      <c r="L53" s="460">
        <f>M53-K53</f>
        <v>0</v>
      </c>
      <c r="M53" s="460">
        <v>3000</v>
      </c>
      <c r="N53" s="460">
        <v>3000</v>
      </c>
    </row>
    <row r="54" spans="1:14" s="599" customFormat="1" ht="37.5">
      <c r="A54" s="583"/>
      <c r="B54" s="455" t="s">
        <v>136</v>
      </c>
      <c r="C54" s="456" t="s">
        <v>12</v>
      </c>
      <c r="D54" s="457" t="s">
        <v>118</v>
      </c>
      <c r="E54" s="457"/>
      <c r="F54" s="458"/>
      <c r="G54" s="458"/>
      <c r="H54" s="458"/>
      <c r="I54" s="459"/>
      <c r="J54" s="457"/>
      <c r="K54" s="460">
        <f t="shared" ref="K54" si="10">K61+K55</f>
        <v>9040.2000000000007</v>
      </c>
      <c r="L54" s="460">
        <f>L61+L55</f>
        <v>0</v>
      </c>
      <c r="M54" s="460">
        <f t="shared" ref="M54:N54" si="11">M61+M55</f>
        <v>9040.2000000000007</v>
      </c>
      <c r="N54" s="460">
        <f t="shared" si="11"/>
        <v>9006.7000000000007</v>
      </c>
    </row>
    <row r="55" spans="1:14" s="599" customFormat="1" ht="75">
      <c r="A55" s="583"/>
      <c r="B55" s="58" t="s">
        <v>137</v>
      </c>
      <c r="C55" s="456" t="s">
        <v>12</v>
      </c>
      <c r="D55" s="457" t="s">
        <v>118</v>
      </c>
      <c r="E55" s="457" t="s">
        <v>138</v>
      </c>
      <c r="F55" s="462"/>
      <c r="G55" s="458"/>
      <c r="H55" s="458"/>
      <c r="I55" s="459"/>
      <c r="J55" s="457"/>
      <c r="K55" s="460">
        <f t="shared" ref="K55:N58" si="12">K56</f>
        <v>2643.1</v>
      </c>
      <c r="L55" s="460">
        <f t="shared" si="12"/>
        <v>0</v>
      </c>
      <c r="M55" s="460">
        <f t="shared" si="12"/>
        <v>2643.1</v>
      </c>
      <c r="N55" s="460">
        <f t="shared" si="12"/>
        <v>2643.1</v>
      </c>
    </row>
    <row r="56" spans="1:14" s="599" customFormat="1" ht="56.25">
      <c r="A56" s="583"/>
      <c r="B56" s="58" t="s">
        <v>139</v>
      </c>
      <c r="C56" s="456" t="s">
        <v>12</v>
      </c>
      <c r="D56" s="457" t="s">
        <v>118</v>
      </c>
      <c r="E56" s="457" t="s">
        <v>138</v>
      </c>
      <c r="F56" s="462" t="s">
        <v>140</v>
      </c>
      <c r="G56" s="458" t="s">
        <v>94</v>
      </c>
      <c r="H56" s="458" t="s">
        <v>95</v>
      </c>
      <c r="I56" s="459" t="s">
        <v>96</v>
      </c>
      <c r="J56" s="457"/>
      <c r="K56" s="460">
        <f t="shared" si="12"/>
        <v>2643.1</v>
      </c>
      <c r="L56" s="460">
        <f t="shared" si="12"/>
        <v>0</v>
      </c>
      <c r="M56" s="460">
        <f t="shared" si="12"/>
        <v>2643.1</v>
      </c>
      <c r="N56" s="460">
        <f t="shared" si="12"/>
        <v>2643.1</v>
      </c>
    </row>
    <row r="57" spans="1:14" s="599" customFormat="1" ht="75">
      <c r="A57" s="583"/>
      <c r="B57" s="601" t="s">
        <v>141</v>
      </c>
      <c r="C57" s="456" t="s">
        <v>12</v>
      </c>
      <c r="D57" s="457" t="s">
        <v>118</v>
      </c>
      <c r="E57" s="457" t="s">
        <v>138</v>
      </c>
      <c r="F57" s="462" t="s">
        <v>140</v>
      </c>
      <c r="G57" s="458" t="s">
        <v>97</v>
      </c>
      <c r="H57" s="458" t="s">
        <v>95</v>
      </c>
      <c r="I57" s="459" t="s">
        <v>96</v>
      </c>
      <c r="J57" s="457"/>
      <c r="K57" s="460">
        <f t="shared" si="12"/>
        <v>2643.1</v>
      </c>
      <c r="L57" s="460">
        <f t="shared" si="12"/>
        <v>0</v>
      </c>
      <c r="M57" s="460">
        <f t="shared" si="12"/>
        <v>2643.1</v>
      </c>
      <c r="N57" s="460">
        <f t="shared" si="12"/>
        <v>2643.1</v>
      </c>
    </row>
    <row r="58" spans="1:14" s="599" customFormat="1" ht="93.75">
      <c r="A58" s="583"/>
      <c r="B58" s="58" t="s">
        <v>142</v>
      </c>
      <c r="C58" s="456" t="s">
        <v>12</v>
      </c>
      <c r="D58" s="457" t="s">
        <v>118</v>
      </c>
      <c r="E58" s="457" t="s">
        <v>138</v>
      </c>
      <c r="F58" s="462" t="s">
        <v>140</v>
      </c>
      <c r="G58" s="458" t="s">
        <v>97</v>
      </c>
      <c r="H58" s="458" t="s">
        <v>89</v>
      </c>
      <c r="I58" s="459" t="s">
        <v>96</v>
      </c>
      <c r="J58" s="457"/>
      <c r="K58" s="460">
        <f t="shared" si="12"/>
        <v>2643.1</v>
      </c>
      <c r="L58" s="460">
        <f>L59</f>
        <v>0</v>
      </c>
      <c r="M58" s="460">
        <f t="shared" si="12"/>
        <v>2643.1</v>
      </c>
      <c r="N58" s="460">
        <f t="shared" si="12"/>
        <v>2643.1</v>
      </c>
    </row>
    <row r="59" spans="1:14" s="599" customFormat="1" ht="112.5">
      <c r="A59" s="583"/>
      <c r="B59" s="58" t="s">
        <v>456</v>
      </c>
      <c r="C59" s="456" t="s">
        <v>12</v>
      </c>
      <c r="D59" s="457" t="s">
        <v>118</v>
      </c>
      <c r="E59" s="457" t="s">
        <v>138</v>
      </c>
      <c r="F59" s="462" t="s">
        <v>140</v>
      </c>
      <c r="G59" s="458" t="s">
        <v>97</v>
      </c>
      <c r="H59" s="458" t="s">
        <v>89</v>
      </c>
      <c r="I59" s="459" t="s">
        <v>436</v>
      </c>
      <c r="J59" s="457"/>
      <c r="K59" s="460">
        <f t="shared" ref="K59:N59" si="13">K60</f>
        <v>2643.1</v>
      </c>
      <c r="L59" s="460">
        <f>L60</f>
        <v>0</v>
      </c>
      <c r="M59" s="460">
        <f t="shared" si="13"/>
        <v>2643.1</v>
      </c>
      <c r="N59" s="460">
        <f t="shared" si="13"/>
        <v>2643.1</v>
      </c>
    </row>
    <row r="60" spans="1:14" s="599" customFormat="1" ht="18.75">
      <c r="A60" s="583"/>
      <c r="B60" s="58" t="s">
        <v>185</v>
      </c>
      <c r="C60" s="456" t="s">
        <v>12</v>
      </c>
      <c r="D60" s="457" t="s">
        <v>118</v>
      </c>
      <c r="E60" s="457" t="s">
        <v>138</v>
      </c>
      <c r="F60" s="462" t="s">
        <v>140</v>
      </c>
      <c r="G60" s="458" t="s">
        <v>97</v>
      </c>
      <c r="H60" s="458" t="s">
        <v>89</v>
      </c>
      <c r="I60" s="459" t="s">
        <v>436</v>
      </c>
      <c r="J60" s="457" t="s">
        <v>186</v>
      </c>
      <c r="K60" s="460">
        <v>2643.1</v>
      </c>
      <c r="L60" s="460">
        <f>M60-K60</f>
        <v>0</v>
      </c>
      <c r="M60" s="460">
        <v>2643.1</v>
      </c>
      <c r="N60" s="460">
        <v>2643.1</v>
      </c>
    </row>
    <row r="61" spans="1:14" s="599" customFormat="1" ht="56.25">
      <c r="A61" s="583"/>
      <c r="B61" s="602" t="s">
        <v>147</v>
      </c>
      <c r="C61" s="456" t="s">
        <v>12</v>
      </c>
      <c r="D61" s="457" t="s">
        <v>118</v>
      </c>
      <c r="E61" s="457" t="s">
        <v>148</v>
      </c>
      <c r="F61" s="458"/>
      <c r="G61" s="458"/>
      <c r="H61" s="458"/>
      <c r="I61" s="459"/>
      <c r="J61" s="457"/>
      <c r="K61" s="460">
        <f t="shared" ref="K61:N61" si="14">K62</f>
        <v>6397.1</v>
      </c>
      <c r="L61" s="460">
        <f t="shared" si="14"/>
        <v>0</v>
      </c>
      <c r="M61" s="460">
        <f t="shared" si="14"/>
        <v>6397.1</v>
      </c>
      <c r="N61" s="460">
        <f t="shared" si="14"/>
        <v>6363.6</v>
      </c>
    </row>
    <row r="62" spans="1:14" s="599" customFormat="1" ht="56.25">
      <c r="A62" s="583"/>
      <c r="B62" s="455" t="s">
        <v>139</v>
      </c>
      <c r="C62" s="456" t="s">
        <v>12</v>
      </c>
      <c r="D62" s="457" t="s">
        <v>118</v>
      </c>
      <c r="E62" s="457" t="s">
        <v>148</v>
      </c>
      <c r="F62" s="458" t="s">
        <v>140</v>
      </c>
      <c r="G62" s="458" t="s">
        <v>94</v>
      </c>
      <c r="H62" s="458" t="s">
        <v>95</v>
      </c>
      <c r="I62" s="459" t="s">
        <v>96</v>
      </c>
      <c r="J62" s="457"/>
      <c r="K62" s="460">
        <f t="shared" ref="K62" si="15">K67+K63</f>
        <v>6397.1</v>
      </c>
      <c r="L62" s="460">
        <f>L67+L63</f>
        <v>0</v>
      </c>
      <c r="M62" s="460">
        <f t="shared" ref="M62:N62" si="16">M67+M63</f>
        <v>6397.1</v>
      </c>
      <c r="N62" s="460">
        <f t="shared" si="16"/>
        <v>6363.6</v>
      </c>
    </row>
    <row r="63" spans="1:14" s="599" customFormat="1" ht="37.5">
      <c r="A63" s="583"/>
      <c r="B63" s="461" t="s">
        <v>187</v>
      </c>
      <c r="C63" s="456" t="s">
        <v>12</v>
      </c>
      <c r="D63" s="457" t="s">
        <v>118</v>
      </c>
      <c r="E63" s="457" t="s">
        <v>148</v>
      </c>
      <c r="F63" s="462" t="s">
        <v>140</v>
      </c>
      <c r="G63" s="458" t="s">
        <v>149</v>
      </c>
      <c r="H63" s="458" t="s">
        <v>95</v>
      </c>
      <c r="I63" s="459" t="s">
        <v>96</v>
      </c>
      <c r="J63" s="457"/>
      <c r="K63" s="460">
        <f t="shared" ref="K63:N63" si="17">K64</f>
        <v>247</v>
      </c>
      <c r="L63" s="460">
        <f>L64</f>
        <v>0</v>
      </c>
      <c r="M63" s="460">
        <f t="shared" si="17"/>
        <v>247</v>
      </c>
      <c r="N63" s="460">
        <f t="shared" si="17"/>
        <v>247</v>
      </c>
    </row>
    <row r="64" spans="1:14" s="599" customFormat="1" ht="56.25">
      <c r="A64" s="583"/>
      <c r="B64" s="603" t="s">
        <v>188</v>
      </c>
      <c r="C64" s="456" t="s">
        <v>12</v>
      </c>
      <c r="D64" s="457" t="s">
        <v>118</v>
      </c>
      <c r="E64" s="457" t="s">
        <v>148</v>
      </c>
      <c r="F64" s="462" t="s">
        <v>140</v>
      </c>
      <c r="G64" s="458" t="s">
        <v>149</v>
      </c>
      <c r="H64" s="458" t="s">
        <v>91</v>
      </c>
      <c r="I64" s="459" t="s">
        <v>96</v>
      </c>
      <c r="J64" s="457"/>
      <c r="K64" s="460">
        <f t="shared" ref="K64:N65" si="18">K65</f>
        <v>247</v>
      </c>
      <c r="L64" s="460">
        <f t="shared" si="18"/>
        <v>0</v>
      </c>
      <c r="M64" s="460">
        <f t="shared" si="18"/>
        <v>247</v>
      </c>
      <c r="N64" s="460">
        <f t="shared" si="18"/>
        <v>247</v>
      </c>
    </row>
    <row r="65" spans="1:14" s="599" customFormat="1" ht="37.5">
      <c r="A65" s="583"/>
      <c r="B65" s="603" t="s">
        <v>189</v>
      </c>
      <c r="C65" s="456" t="s">
        <v>12</v>
      </c>
      <c r="D65" s="457" t="s">
        <v>118</v>
      </c>
      <c r="E65" s="457" t="s">
        <v>148</v>
      </c>
      <c r="F65" s="462" t="s">
        <v>140</v>
      </c>
      <c r="G65" s="458" t="s">
        <v>149</v>
      </c>
      <c r="H65" s="458" t="s">
        <v>91</v>
      </c>
      <c r="I65" s="459" t="s">
        <v>151</v>
      </c>
      <c r="J65" s="457"/>
      <c r="K65" s="460">
        <f t="shared" si="18"/>
        <v>247</v>
      </c>
      <c r="L65" s="460">
        <f>L66</f>
        <v>0</v>
      </c>
      <c r="M65" s="460">
        <f t="shared" si="18"/>
        <v>247</v>
      </c>
      <c r="N65" s="460">
        <f t="shared" si="18"/>
        <v>247</v>
      </c>
    </row>
    <row r="66" spans="1:14" s="599" customFormat="1" ht="33" customHeight="1">
      <c r="A66" s="583"/>
      <c r="B66" s="58" t="s">
        <v>107</v>
      </c>
      <c r="C66" s="456" t="s">
        <v>12</v>
      </c>
      <c r="D66" s="457" t="s">
        <v>118</v>
      </c>
      <c r="E66" s="457" t="s">
        <v>148</v>
      </c>
      <c r="F66" s="462" t="s">
        <v>140</v>
      </c>
      <c r="G66" s="458" t="s">
        <v>149</v>
      </c>
      <c r="H66" s="458" t="s">
        <v>91</v>
      </c>
      <c r="I66" s="459" t="s">
        <v>151</v>
      </c>
      <c r="J66" s="457" t="s">
        <v>108</v>
      </c>
      <c r="K66" s="460">
        <v>247</v>
      </c>
      <c r="L66" s="460">
        <f>M66-K66</f>
        <v>0</v>
      </c>
      <c r="M66" s="460">
        <v>247</v>
      </c>
      <c r="N66" s="460">
        <v>247</v>
      </c>
    </row>
    <row r="67" spans="1:14" s="599" customFormat="1" ht="75">
      <c r="A67" s="583"/>
      <c r="B67" s="461" t="s">
        <v>519</v>
      </c>
      <c r="C67" s="456" t="s">
        <v>12</v>
      </c>
      <c r="D67" s="457" t="s">
        <v>118</v>
      </c>
      <c r="E67" s="457" t="s">
        <v>148</v>
      </c>
      <c r="F67" s="458" t="s">
        <v>140</v>
      </c>
      <c r="G67" s="458" t="s">
        <v>82</v>
      </c>
      <c r="H67" s="458" t="s">
        <v>95</v>
      </c>
      <c r="I67" s="459" t="s">
        <v>96</v>
      </c>
      <c r="J67" s="457"/>
      <c r="K67" s="460">
        <f t="shared" ref="K67:N68" si="19">K68</f>
        <v>6150.1</v>
      </c>
      <c r="L67" s="460">
        <f t="shared" si="19"/>
        <v>0</v>
      </c>
      <c r="M67" s="460">
        <f t="shared" si="19"/>
        <v>6150.1</v>
      </c>
      <c r="N67" s="460">
        <f t="shared" si="19"/>
        <v>6116.6</v>
      </c>
    </row>
    <row r="68" spans="1:14" s="599" customFormat="1" ht="93.75">
      <c r="A68" s="583"/>
      <c r="B68" s="600" t="s">
        <v>429</v>
      </c>
      <c r="C68" s="456" t="s">
        <v>12</v>
      </c>
      <c r="D68" s="457" t="s">
        <v>118</v>
      </c>
      <c r="E68" s="457" t="s">
        <v>148</v>
      </c>
      <c r="F68" s="458" t="s">
        <v>140</v>
      </c>
      <c r="G68" s="458" t="s">
        <v>82</v>
      </c>
      <c r="H68" s="458" t="s">
        <v>89</v>
      </c>
      <c r="I68" s="459" t="s">
        <v>96</v>
      </c>
      <c r="J68" s="457"/>
      <c r="K68" s="460">
        <f t="shared" si="19"/>
        <v>6150.1</v>
      </c>
      <c r="L68" s="460">
        <f t="shared" si="19"/>
        <v>0</v>
      </c>
      <c r="M68" s="460">
        <f t="shared" si="19"/>
        <v>6150.1</v>
      </c>
      <c r="N68" s="460">
        <f t="shared" si="19"/>
        <v>6116.6</v>
      </c>
    </row>
    <row r="69" spans="1:14" s="599" customFormat="1" ht="69.599999999999994" customHeight="1">
      <c r="A69" s="583"/>
      <c r="B69" s="600" t="s">
        <v>150</v>
      </c>
      <c r="C69" s="456" t="s">
        <v>12</v>
      </c>
      <c r="D69" s="457" t="s">
        <v>118</v>
      </c>
      <c r="E69" s="457" t="s">
        <v>148</v>
      </c>
      <c r="F69" s="458" t="s">
        <v>140</v>
      </c>
      <c r="G69" s="458" t="s">
        <v>82</v>
      </c>
      <c r="H69" s="458" t="s">
        <v>89</v>
      </c>
      <c r="I69" s="459" t="s">
        <v>152</v>
      </c>
      <c r="J69" s="457"/>
      <c r="K69" s="460">
        <f t="shared" ref="K69" si="20">K70+K71</f>
        <v>6150.1</v>
      </c>
      <c r="L69" s="460">
        <f>L70+L71</f>
        <v>0</v>
      </c>
      <c r="M69" s="460">
        <f t="shared" ref="M69:N69" si="21">M70+M71</f>
        <v>6150.1</v>
      </c>
      <c r="N69" s="460">
        <f t="shared" si="21"/>
        <v>6116.6</v>
      </c>
    </row>
    <row r="70" spans="1:14" s="599" customFormat="1" ht="91.15" customHeight="1">
      <c r="A70" s="583"/>
      <c r="B70" s="455" t="s">
        <v>101</v>
      </c>
      <c r="C70" s="456" t="s">
        <v>12</v>
      </c>
      <c r="D70" s="457" t="s">
        <v>118</v>
      </c>
      <c r="E70" s="457" t="s">
        <v>148</v>
      </c>
      <c r="F70" s="458" t="s">
        <v>140</v>
      </c>
      <c r="G70" s="458" t="s">
        <v>82</v>
      </c>
      <c r="H70" s="458" t="s">
        <v>89</v>
      </c>
      <c r="I70" s="459" t="s">
        <v>152</v>
      </c>
      <c r="J70" s="457" t="s">
        <v>102</v>
      </c>
      <c r="K70" s="460">
        <v>6116.6</v>
      </c>
      <c r="L70" s="460">
        <f t="shared" ref="L70:L71" si="22">M70-K70</f>
        <v>0</v>
      </c>
      <c r="M70" s="460">
        <v>6116.6</v>
      </c>
      <c r="N70" s="460">
        <v>6116.6</v>
      </c>
    </row>
    <row r="71" spans="1:14" s="599" customFormat="1" ht="32.450000000000003" customHeight="1">
      <c r="A71" s="583"/>
      <c r="B71" s="455" t="s">
        <v>107</v>
      </c>
      <c r="C71" s="456" t="s">
        <v>12</v>
      </c>
      <c r="D71" s="457" t="s">
        <v>118</v>
      </c>
      <c r="E71" s="457" t="s">
        <v>148</v>
      </c>
      <c r="F71" s="458" t="s">
        <v>140</v>
      </c>
      <c r="G71" s="458" t="s">
        <v>82</v>
      </c>
      <c r="H71" s="458" t="s">
        <v>89</v>
      </c>
      <c r="I71" s="459" t="s">
        <v>152</v>
      </c>
      <c r="J71" s="457" t="s">
        <v>108</v>
      </c>
      <c r="K71" s="460">
        <v>33.5</v>
      </c>
      <c r="L71" s="460">
        <f t="shared" si="22"/>
        <v>0</v>
      </c>
      <c r="M71" s="460">
        <v>33.5</v>
      </c>
      <c r="N71" s="460">
        <v>0</v>
      </c>
    </row>
    <row r="72" spans="1:14" s="599" customFormat="1" ht="18.75">
      <c r="A72" s="583"/>
      <c r="B72" s="455" t="s">
        <v>153</v>
      </c>
      <c r="C72" s="456" t="s">
        <v>12</v>
      </c>
      <c r="D72" s="457" t="s">
        <v>104</v>
      </c>
      <c r="E72" s="457"/>
      <c r="F72" s="458"/>
      <c r="G72" s="458"/>
      <c r="H72" s="458"/>
      <c r="I72" s="459"/>
      <c r="J72" s="457"/>
      <c r="K72" s="460">
        <f t="shared" ref="K72" si="23">K73+K82+K88</f>
        <v>20378.900000000001</v>
      </c>
      <c r="L72" s="460">
        <f t="shared" ref="L72:N72" si="24">L73+L82+L88</f>
        <v>0</v>
      </c>
      <c r="M72" s="460">
        <f t="shared" si="24"/>
        <v>20378.900000000001</v>
      </c>
      <c r="N72" s="460">
        <f t="shared" si="24"/>
        <v>20397</v>
      </c>
    </row>
    <row r="73" spans="1:14" s="576" customFormat="1" ht="18.75">
      <c r="A73" s="583"/>
      <c r="B73" s="455" t="s">
        <v>154</v>
      </c>
      <c r="C73" s="456" t="s">
        <v>12</v>
      </c>
      <c r="D73" s="457" t="s">
        <v>104</v>
      </c>
      <c r="E73" s="457" t="s">
        <v>120</v>
      </c>
      <c r="F73" s="458"/>
      <c r="G73" s="458"/>
      <c r="H73" s="458"/>
      <c r="I73" s="459"/>
      <c r="J73" s="457"/>
      <c r="K73" s="460">
        <f t="shared" ref="K73:N74" si="25">K74</f>
        <v>11958.5</v>
      </c>
      <c r="L73" s="460">
        <f t="shared" si="25"/>
        <v>0</v>
      </c>
      <c r="M73" s="460">
        <f t="shared" si="25"/>
        <v>11958.5</v>
      </c>
      <c r="N73" s="460">
        <f t="shared" si="25"/>
        <v>11958.5</v>
      </c>
    </row>
    <row r="74" spans="1:14" s="599" customFormat="1" ht="56.25">
      <c r="A74" s="583"/>
      <c r="B74" s="455" t="s">
        <v>155</v>
      </c>
      <c r="C74" s="456" t="s">
        <v>12</v>
      </c>
      <c r="D74" s="457" t="s">
        <v>104</v>
      </c>
      <c r="E74" s="457" t="s">
        <v>120</v>
      </c>
      <c r="F74" s="458" t="s">
        <v>122</v>
      </c>
      <c r="G74" s="458" t="s">
        <v>94</v>
      </c>
      <c r="H74" s="458" t="s">
        <v>95</v>
      </c>
      <c r="I74" s="459" t="s">
        <v>96</v>
      </c>
      <c r="J74" s="457"/>
      <c r="K74" s="460">
        <f t="shared" si="25"/>
        <v>11958.5</v>
      </c>
      <c r="L74" s="460">
        <f t="shared" si="25"/>
        <v>0</v>
      </c>
      <c r="M74" s="460">
        <f t="shared" si="25"/>
        <v>11958.5</v>
      </c>
      <c r="N74" s="460">
        <f t="shared" si="25"/>
        <v>11958.5</v>
      </c>
    </row>
    <row r="75" spans="1:14" s="576" customFormat="1" ht="37.5">
      <c r="A75" s="583"/>
      <c r="B75" s="455" t="s">
        <v>455</v>
      </c>
      <c r="C75" s="456" t="s">
        <v>12</v>
      </c>
      <c r="D75" s="457" t="s">
        <v>104</v>
      </c>
      <c r="E75" s="457" t="s">
        <v>120</v>
      </c>
      <c r="F75" s="458" t="s">
        <v>122</v>
      </c>
      <c r="G75" s="458" t="s">
        <v>97</v>
      </c>
      <c r="H75" s="458" t="s">
        <v>95</v>
      </c>
      <c r="I75" s="459" t="s">
        <v>96</v>
      </c>
      <c r="J75" s="457"/>
      <c r="K75" s="460">
        <f>K76+K79</f>
        <v>11958.5</v>
      </c>
      <c r="L75" s="460">
        <f>L76+L79</f>
        <v>0</v>
      </c>
      <c r="M75" s="460">
        <f>M76+M79</f>
        <v>11958.5</v>
      </c>
      <c r="N75" s="460">
        <f>N76+N79</f>
        <v>11958.5</v>
      </c>
    </row>
    <row r="76" spans="1:14" s="576" customFormat="1" ht="56.25">
      <c r="A76" s="583"/>
      <c r="B76" s="455" t="s">
        <v>156</v>
      </c>
      <c r="C76" s="456" t="s">
        <v>12</v>
      </c>
      <c r="D76" s="457" t="s">
        <v>104</v>
      </c>
      <c r="E76" s="457" t="s">
        <v>120</v>
      </c>
      <c r="F76" s="458" t="s">
        <v>122</v>
      </c>
      <c r="G76" s="458" t="s">
        <v>97</v>
      </c>
      <c r="H76" s="458" t="s">
        <v>89</v>
      </c>
      <c r="I76" s="459" t="s">
        <v>96</v>
      </c>
      <c r="J76" s="457"/>
      <c r="K76" s="460">
        <f t="shared" ref="K76:N77" si="26">K77</f>
        <v>11860</v>
      </c>
      <c r="L76" s="460">
        <f t="shared" si="26"/>
        <v>0</v>
      </c>
      <c r="M76" s="460">
        <f t="shared" si="26"/>
        <v>11860</v>
      </c>
      <c r="N76" s="460">
        <f t="shared" si="26"/>
        <v>11860</v>
      </c>
    </row>
    <row r="77" spans="1:14" s="576" customFormat="1" ht="18.75">
      <c r="A77" s="583"/>
      <c r="B77" s="58" t="s">
        <v>543</v>
      </c>
      <c r="C77" s="456" t="s">
        <v>12</v>
      </c>
      <c r="D77" s="457" t="s">
        <v>104</v>
      </c>
      <c r="E77" s="457" t="s">
        <v>120</v>
      </c>
      <c r="F77" s="458" t="s">
        <v>122</v>
      </c>
      <c r="G77" s="458" t="s">
        <v>97</v>
      </c>
      <c r="H77" s="458" t="s">
        <v>89</v>
      </c>
      <c r="I77" s="459" t="s">
        <v>157</v>
      </c>
      <c r="J77" s="457"/>
      <c r="K77" s="460">
        <f t="shared" si="26"/>
        <v>11860</v>
      </c>
      <c r="L77" s="460">
        <f t="shared" si="26"/>
        <v>0</v>
      </c>
      <c r="M77" s="460">
        <f t="shared" si="26"/>
        <v>11860</v>
      </c>
      <c r="N77" s="460">
        <f t="shared" si="26"/>
        <v>11860</v>
      </c>
    </row>
    <row r="78" spans="1:14" s="599" customFormat="1" ht="18.75">
      <c r="A78" s="583"/>
      <c r="B78" s="455" t="s">
        <v>109</v>
      </c>
      <c r="C78" s="456" t="s">
        <v>12</v>
      </c>
      <c r="D78" s="457" t="s">
        <v>104</v>
      </c>
      <c r="E78" s="457" t="s">
        <v>120</v>
      </c>
      <c r="F78" s="458" t="s">
        <v>122</v>
      </c>
      <c r="G78" s="458" t="s">
        <v>97</v>
      </c>
      <c r="H78" s="458" t="s">
        <v>89</v>
      </c>
      <c r="I78" s="459" t="s">
        <v>157</v>
      </c>
      <c r="J78" s="457" t="s">
        <v>110</v>
      </c>
      <c r="K78" s="460">
        <v>11860</v>
      </c>
      <c r="L78" s="460">
        <f>M78-K78</f>
        <v>0</v>
      </c>
      <c r="M78" s="460">
        <v>11860</v>
      </c>
      <c r="N78" s="460">
        <v>11860</v>
      </c>
    </row>
    <row r="79" spans="1:14" s="576" customFormat="1" ht="75">
      <c r="A79" s="583"/>
      <c r="B79" s="455" t="s">
        <v>158</v>
      </c>
      <c r="C79" s="456" t="s">
        <v>12</v>
      </c>
      <c r="D79" s="457" t="s">
        <v>104</v>
      </c>
      <c r="E79" s="457" t="s">
        <v>120</v>
      </c>
      <c r="F79" s="458" t="s">
        <v>122</v>
      </c>
      <c r="G79" s="458" t="s">
        <v>97</v>
      </c>
      <c r="H79" s="458" t="s">
        <v>91</v>
      </c>
      <c r="I79" s="459" t="s">
        <v>96</v>
      </c>
      <c r="J79" s="457"/>
      <c r="K79" s="460">
        <f t="shared" ref="K79:N80" si="27">K80</f>
        <v>98.5</v>
      </c>
      <c r="L79" s="460">
        <f t="shared" si="27"/>
        <v>0</v>
      </c>
      <c r="M79" s="460">
        <f t="shared" si="27"/>
        <v>98.5</v>
      </c>
      <c r="N79" s="460">
        <f t="shared" si="27"/>
        <v>98.5</v>
      </c>
    </row>
    <row r="80" spans="1:14" s="576" customFormat="1" ht="160.15" customHeight="1">
      <c r="A80" s="583"/>
      <c r="B80" s="58" t="s">
        <v>553</v>
      </c>
      <c r="C80" s="456" t="s">
        <v>12</v>
      </c>
      <c r="D80" s="457" t="s">
        <v>104</v>
      </c>
      <c r="E80" s="457" t="s">
        <v>120</v>
      </c>
      <c r="F80" s="458" t="s">
        <v>122</v>
      </c>
      <c r="G80" s="458" t="s">
        <v>97</v>
      </c>
      <c r="H80" s="458" t="s">
        <v>91</v>
      </c>
      <c r="I80" s="459" t="s">
        <v>159</v>
      </c>
      <c r="J80" s="457"/>
      <c r="K80" s="460">
        <f t="shared" si="27"/>
        <v>98.5</v>
      </c>
      <c r="L80" s="460">
        <f t="shared" si="27"/>
        <v>0</v>
      </c>
      <c r="M80" s="460">
        <f t="shared" si="27"/>
        <v>98.5</v>
      </c>
      <c r="N80" s="460">
        <f t="shared" si="27"/>
        <v>98.5</v>
      </c>
    </row>
    <row r="81" spans="1:14" s="599" customFormat="1" ht="34.9" customHeight="1">
      <c r="A81" s="583"/>
      <c r="B81" s="455" t="s">
        <v>107</v>
      </c>
      <c r="C81" s="456" t="s">
        <v>12</v>
      </c>
      <c r="D81" s="457" t="s">
        <v>104</v>
      </c>
      <c r="E81" s="457" t="s">
        <v>120</v>
      </c>
      <c r="F81" s="458" t="s">
        <v>122</v>
      </c>
      <c r="G81" s="458" t="s">
        <v>97</v>
      </c>
      <c r="H81" s="458" t="s">
        <v>91</v>
      </c>
      <c r="I81" s="459" t="s">
        <v>159</v>
      </c>
      <c r="J81" s="457" t="s">
        <v>108</v>
      </c>
      <c r="K81" s="460">
        <v>98.5</v>
      </c>
      <c r="L81" s="460">
        <f>M81-K81</f>
        <v>0</v>
      </c>
      <c r="M81" s="460">
        <v>98.5</v>
      </c>
      <c r="N81" s="460">
        <v>98.5</v>
      </c>
    </row>
    <row r="82" spans="1:14" s="576" customFormat="1" ht="18.75">
      <c r="A82" s="583"/>
      <c r="B82" s="602" t="s">
        <v>160</v>
      </c>
      <c r="C82" s="456" t="s">
        <v>12</v>
      </c>
      <c r="D82" s="457" t="s">
        <v>104</v>
      </c>
      <c r="E82" s="457" t="s">
        <v>138</v>
      </c>
      <c r="F82" s="458"/>
      <c r="G82" s="458"/>
      <c r="H82" s="458"/>
      <c r="I82" s="459"/>
      <c r="J82" s="457"/>
      <c r="K82" s="460">
        <f t="shared" ref="K82:N86" si="28">K83</f>
        <v>4174.1000000000004</v>
      </c>
      <c r="L82" s="460">
        <f t="shared" si="28"/>
        <v>0</v>
      </c>
      <c r="M82" s="460">
        <f t="shared" si="28"/>
        <v>4174.1000000000004</v>
      </c>
      <c r="N82" s="460">
        <f t="shared" si="28"/>
        <v>4240.8</v>
      </c>
    </row>
    <row r="83" spans="1:14" s="599" customFormat="1" ht="56.25">
      <c r="A83" s="583"/>
      <c r="B83" s="455" t="s">
        <v>161</v>
      </c>
      <c r="C83" s="456" t="s">
        <v>12</v>
      </c>
      <c r="D83" s="457" t="s">
        <v>104</v>
      </c>
      <c r="E83" s="457" t="s">
        <v>138</v>
      </c>
      <c r="F83" s="458" t="s">
        <v>162</v>
      </c>
      <c r="G83" s="458" t="s">
        <v>94</v>
      </c>
      <c r="H83" s="458" t="s">
        <v>95</v>
      </c>
      <c r="I83" s="459" t="s">
        <v>96</v>
      </c>
      <c r="J83" s="457"/>
      <c r="K83" s="460">
        <f t="shared" si="28"/>
        <v>4174.1000000000004</v>
      </c>
      <c r="L83" s="460">
        <f t="shared" si="28"/>
        <v>0</v>
      </c>
      <c r="M83" s="460">
        <f t="shared" si="28"/>
        <v>4174.1000000000004</v>
      </c>
      <c r="N83" s="460">
        <f t="shared" si="28"/>
        <v>4240.8</v>
      </c>
    </row>
    <row r="84" spans="1:14" s="576" customFormat="1" ht="37.5">
      <c r="A84" s="583"/>
      <c r="B84" s="455" t="s">
        <v>455</v>
      </c>
      <c r="C84" s="456" t="s">
        <v>12</v>
      </c>
      <c r="D84" s="457" t="s">
        <v>104</v>
      </c>
      <c r="E84" s="457" t="s">
        <v>138</v>
      </c>
      <c r="F84" s="458" t="s">
        <v>162</v>
      </c>
      <c r="G84" s="458" t="s">
        <v>97</v>
      </c>
      <c r="H84" s="458" t="s">
        <v>95</v>
      </c>
      <c r="I84" s="459" t="s">
        <v>96</v>
      </c>
      <c r="J84" s="457"/>
      <c r="K84" s="460">
        <f t="shared" si="28"/>
        <v>4174.1000000000004</v>
      </c>
      <c r="L84" s="460">
        <f t="shared" si="28"/>
        <v>0</v>
      </c>
      <c r="M84" s="460">
        <f t="shared" si="28"/>
        <v>4174.1000000000004</v>
      </c>
      <c r="N84" s="460">
        <f t="shared" si="28"/>
        <v>4240.8</v>
      </c>
    </row>
    <row r="85" spans="1:14" s="576" customFormat="1" ht="93.75">
      <c r="A85" s="583"/>
      <c r="B85" s="455" t="s">
        <v>163</v>
      </c>
      <c r="C85" s="456" t="s">
        <v>12</v>
      </c>
      <c r="D85" s="457" t="s">
        <v>104</v>
      </c>
      <c r="E85" s="457" t="s">
        <v>138</v>
      </c>
      <c r="F85" s="458" t="s">
        <v>162</v>
      </c>
      <c r="G85" s="458" t="s">
        <v>97</v>
      </c>
      <c r="H85" s="458" t="s">
        <v>89</v>
      </c>
      <c r="I85" s="459" t="s">
        <v>96</v>
      </c>
      <c r="J85" s="457"/>
      <c r="K85" s="460">
        <f t="shared" si="28"/>
        <v>4174.1000000000004</v>
      </c>
      <c r="L85" s="460">
        <f t="shared" si="28"/>
        <v>0</v>
      </c>
      <c r="M85" s="460">
        <f t="shared" si="28"/>
        <v>4174.1000000000004</v>
      </c>
      <c r="N85" s="460">
        <f t="shared" si="28"/>
        <v>4240.8</v>
      </c>
    </row>
    <row r="86" spans="1:14" s="576" customFormat="1" ht="93.75">
      <c r="A86" s="583"/>
      <c r="B86" s="604" t="s">
        <v>164</v>
      </c>
      <c r="C86" s="456" t="s">
        <v>12</v>
      </c>
      <c r="D86" s="457" t="s">
        <v>104</v>
      </c>
      <c r="E86" s="457" t="s">
        <v>138</v>
      </c>
      <c r="F86" s="458" t="s">
        <v>162</v>
      </c>
      <c r="G86" s="458" t="s">
        <v>97</v>
      </c>
      <c r="H86" s="458" t="s">
        <v>89</v>
      </c>
      <c r="I86" s="459" t="s">
        <v>165</v>
      </c>
      <c r="J86" s="457"/>
      <c r="K86" s="460">
        <f t="shared" si="28"/>
        <v>4174.1000000000004</v>
      </c>
      <c r="L86" s="460">
        <f t="shared" si="28"/>
        <v>0</v>
      </c>
      <c r="M86" s="460">
        <f t="shared" si="28"/>
        <v>4174.1000000000004</v>
      </c>
      <c r="N86" s="460">
        <f t="shared" si="28"/>
        <v>4240.8</v>
      </c>
    </row>
    <row r="87" spans="1:14" s="599" customFormat="1" ht="33" customHeight="1">
      <c r="A87" s="583"/>
      <c r="B87" s="455" t="s">
        <v>107</v>
      </c>
      <c r="C87" s="456" t="s">
        <v>12</v>
      </c>
      <c r="D87" s="457" t="s">
        <v>104</v>
      </c>
      <c r="E87" s="457" t="s">
        <v>138</v>
      </c>
      <c r="F87" s="458" t="s">
        <v>162</v>
      </c>
      <c r="G87" s="458" t="s">
        <v>97</v>
      </c>
      <c r="H87" s="458" t="s">
        <v>89</v>
      </c>
      <c r="I87" s="459" t="s">
        <v>165</v>
      </c>
      <c r="J87" s="457" t="s">
        <v>108</v>
      </c>
      <c r="K87" s="460">
        <v>4174.1000000000004</v>
      </c>
      <c r="L87" s="460">
        <f>M87-K87</f>
        <v>0</v>
      </c>
      <c r="M87" s="460">
        <v>4174.1000000000004</v>
      </c>
      <c r="N87" s="460">
        <v>4240.8</v>
      </c>
    </row>
    <row r="88" spans="1:14" s="599" customFormat="1" ht="33" customHeight="1">
      <c r="A88" s="583"/>
      <c r="B88" s="461" t="s">
        <v>168</v>
      </c>
      <c r="C88" s="456" t="s">
        <v>12</v>
      </c>
      <c r="D88" s="457" t="s">
        <v>104</v>
      </c>
      <c r="E88" s="457" t="s">
        <v>162</v>
      </c>
      <c r="F88" s="462"/>
      <c r="G88" s="458"/>
      <c r="H88" s="458"/>
      <c r="I88" s="459"/>
      <c r="J88" s="457"/>
      <c r="K88" s="460">
        <f>K94+K89</f>
        <v>4246.3</v>
      </c>
      <c r="L88" s="460">
        <f>L94+L89</f>
        <v>0</v>
      </c>
      <c r="M88" s="460">
        <f>M94+M89</f>
        <v>4246.3</v>
      </c>
      <c r="N88" s="460">
        <f>N94+N89</f>
        <v>4197.7</v>
      </c>
    </row>
    <row r="89" spans="1:14" s="599" customFormat="1" ht="73.900000000000006" customHeight="1">
      <c r="A89" s="583"/>
      <c r="B89" s="605" t="s">
        <v>178</v>
      </c>
      <c r="C89" s="456" t="s">
        <v>12</v>
      </c>
      <c r="D89" s="457" t="s">
        <v>104</v>
      </c>
      <c r="E89" s="457" t="s">
        <v>162</v>
      </c>
      <c r="F89" s="462" t="s">
        <v>148</v>
      </c>
      <c r="G89" s="458" t="s">
        <v>94</v>
      </c>
      <c r="H89" s="458" t="s">
        <v>95</v>
      </c>
      <c r="I89" s="459" t="s">
        <v>96</v>
      </c>
      <c r="J89" s="457"/>
      <c r="K89" s="460">
        <f t="shared" ref="K89:N92" si="29">K90</f>
        <v>39</v>
      </c>
      <c r="L89" s="460">
        <f t="shared" si="29"/>
        <v>0</v>
      </c>
      <c r="M89" s="460">
        <f t="shared" si="29"/>
        <v>39</v>
      </c>
      <c r="N89" s="460">
        <f t="shared" si="29"/>
        <v>39</v>
      </c>
    </row>
    <row r="90" spans="1:14" s="599" customFormat="1" ht="33" customHeight="1">
      <c r="A90" s="583"/>
      <c r="B90" s="58" t="s">
        <v>455</v>
      </c>
      <c r="C90" s="456" t="s">
        <v>12</v>
      </c>
      <c r="D90" s="457" t="s">
        <v>104</v>
      </c>
      <c r="E90" s="457" t="s">
        <v>162</v>
      </c>
      <c r="F90" s="462" t="s">
        <v>148</v>
      </c>
      <c r="G90" s="458" t="s">
        <v>97</v>
      </c>
      <c r="H90" s="458" t="s">
        <v>95</v>
      </c>
      <c r="I90" s="459" t="s">
        <v>96</v>
      </c>
      <c r="J90" s="457"/>
      <c r="K90" s="460">
        <f t="shared" si="29"/>
        <v>39</v>
      </c>
      <c r="L90" s="460">
        <f t="shared" si="29"/>
        <v>0</v>
      </c>
      <c r="M90" s="460">
        <f t="shared" si="29"/>
        <v>39</v>
      </c>
      <c r="N90" s="460">
        <f t="shared" si="29"/>
        <v>39</v>
      </c>
    </row>
    <row r="91" spans="1:14" s="599" customFormat="1" ht="72" customHeight="1">
      <c r="A91" s="583"/>
      <c r="B91" s="461" t="s">
        <v>403</v>
      </c>
      <c r="C91" s="456" t="s">
        <v>12</v>
      </c>
      <c r="D91" s="457" t="s">
        <v>104</v>
      </c>
      <c r="E91" s="457" t="s">
        <v>162</v>
      </c>
      <c r="F91" s="462" t="s">
        <v>148</v>
      </c>
      <c r="G91" s="458" t="s">
        <v>97</v>
      </c>
      <c r="H91" s="458" t="s">
        <v>89</v>
      </c>
      <c r="I91" s="459" t="s">
        <v>96</v>
      </c>
      <c r="J91" s="457"/>
      <c r="K91" s="460">
        <f t="shared" si="29"/>
        <v>39</v>
      </c>
      <c r="L91" s="460">
        <f t="shared" si="29"/>
        <v>0</v>
      </c>
      <c r="M91" s="460">
        <f t="shared" si="29"/>
        <v>39</v>
      </c>
      <c r="N91" s="460">
        <f t="shared" si="29"/>
        <v>39</v>
      </c>
    </row>
    <row r="92" spans="1:14" s="599" customFormat="1" ht="73.150000000000006" customHeight="1">
      <c r="A92" s="583"/>
      <c r="B92" s="605" t="s">
        <v>595</v>
      </c>
      <c r="C92" s="456" t="s">
        <v>12</v>
      </c>
      <c r="D92" s="457" t="s">
        <v>104</v>
      </c>
      <c r="E92" s="457" t="s">
        <v>162</v>
      </c>
      <c r="F92" s="462" t="s">
        <v>148</v>
      </c>
      <c r="G92" s="458" t="s">
        <v>97</v>
      </c>
      <c r="H92" s="458" t="s">
        <v>89</v>
      </c>
      <c r="I92" s="459" t="s">
        <v>594</v>
      </c>
      <c r="J92" s="457"/>
      <c r="K92" s="460">
        <f t="shared" si="29"/>
        <v>39</v>
      </c>
      <c r="L92" s="460">
        <f t="shared" si="29"/>
        <v>0</v>
      </c>
      <c r="M92" s="460">
        <f t="shared" si="29"/>
        <v>39</v>
      </c>
      <c r="N92" s="460">
        <f t="shared" si="29"/>
        <v>39</v>
      </c>
    </row>
    <row r="93" spans="1:14" s="599" customFormat="1" ht="45" customHeight="1">
      <c r="A93" s="583"/>
      <c r="B93" s="605" t="s">
        <v>107</v>
      </c>
      <c r="C93" s="456" t="s">
        <v>12</v>
      </c>
      <c r="D93" s="457" t="s">
        <v>104</v>
      </c>
      <c r="E93" s="457" t="s">
        <v>162</v>
      </c>
      <c r="F93" s="462" t="s">
        <v>148</v>
      </c>
      <c r="G93" s="458" t="s">
        <v>97</v>
      </c>
      <c r="H93" s="458" t="s">
        <v>89</v>
      </c>
      <c r="I93" s="459" t="s">
        <v>594</v>
      </c>
      <c r="J93" s="457" t="s">
        <v>108</v>
      </c>
      <c r="K93" s="460">
        <v>39</v>
      </c>
      <c r="L93" s="460">
        <f>M93-K93</f>
        <v>0</v>
      </c>
      <c r="M93" s="460">
        <v>39</v>
      </c>
      <c r="N93" s="460">
        <v>39</v>
      </c>
    </row>
    <row r="94" spans="1:14" s="599" customFormat="1" ht="58.9" customHeight="1">
      <c r="A94" s="583"/>
      <c r="B94" s="461" t="s">
        <v>92</v>
      </c>
      <c r="C94" s="456" t="s">
        <v>12</v>
      </c>
      <c r="D94" s="457" t="s">
        <v>104</v>
      </c>
      <c r="E94" s="457" t="s">
        <v>162</v>
      </c>
      <c r="F94" s="462" t="s">
        <v>93</v>
      </c>
      <c r="G94" s="458" t="s">
        <v>94</v>
      </c>
      <c r="H94" s="458" t="s">
        <v>95</v>
      </c>
      <c r="I94" s="459" t="s">
        <v>96</v>
      </c>
      <c r="J94" s="457"/>
      <c r="K94" s="460">
        <f t="shared" ref="K94:N94" si="30">K95</f>
        <v>4207.3</v>
      </c>
      <c r="L94" s="460">
        <f t="shared" si="30"/>
        <v>0</v>
      </c>
      <c r="M94" s="460">
        <f t="shared" si="30"/>
        <v>4207.3</v>
      </c>
      <c r="N94" s="460">
        <f t="shared" si="30"/>
        <v>4158.7</v>
      </c>
    </row>
    <row r="95" spans="1:14" s="599" customFormat="1" ht="33" customHeight="1">
      <c r="A95" s="583"/>
      <c r="B95" s="58" t="s">
        <v>455</v>
      </c>
      <c r="C95" s="456" t="s">
        <v>12</v>
      </c>
      <c r="D95" s="457" t="s">
        <v>104</v>
      </c>
      <c r="E95" s="457" t="s">
        <v>162</v>
      </c>
      <c r="F95" s="462" t="s">
        <v>93</v>
      </c>
      <c r="G95" s="458" t="s">
        <v>97</v>
      </c>
      <c r="H95" s="458" t="s">
        <v>95</v>
      </c>
      <c r="I95" s="459" t="s">
        <v>96</v>
      </c>
      <c r="J95" s="457"/>
      <c r="K95" s="460">
        <f>K96</f>
        <v>4207.3</v>
      </c>
      <c r="L95" s="460">
        <f>L96</f>
        <v>0</v>
      </c>
      <c r="M95" s="460">
        <f>M96</f>
        <v>4207.3</v>
      </c>
      <c r="N95" s="460">
        <f t="shared" ref="K95:N96" si="31">N96</f>
        <v>4158.7</v>
      </c>
    </row>
    <row r="96" spans="1:14" s="599" customFormat="1" ht="54" customHeight="1">
      <c r="A96" s="583"/>
      <c r="B96" s="58" t="s">
        <v>439</v>
      </c>
      <c r="C96" s="456" t="s">
        <v>12</v>
      </c>
      <c r="D96" s="457" t="s">
        <v>104</v>
      </c>
      <c r="E96" s="457" t="s">
        <v>162</v>
      </c>
      <c r="F96" s="462" t="s">
        <v>93</v>
      </c>
      <c r="G96" s="458" t="s">
        <v>97</v>
      </c>
      <c r="H96" s="458" t="s">
        <v>148</v>
      </c>
      <c r="I96" s="459" t="s">
        <v>96</v>
      </c>
      <c r="J96" s="457"/>
      <c r="K96" s="460">
        <f t="shared" si="31"/>
        <v>4207.3</v>
      </c>
      <c r="L96" s="460">
        <f>L97</f>
        <v>0</v>
      </c>
      <c r="M96" s="460">
        <f t="shared" si="31"/>
        <v>4207.3</v>
      </c>
      <c r="N96" s="460">
        <f t="shared" si="31"/>
        <v>4158.7</v>
      </c>
    </row>
    <row r="97" spans="1:14" s="599" customFormat="1" ht="33" customHeight="1">
      <c r="A97" s="583"/>
      <c r="B97" s="603" t="s">
        <v>150</v>
      </c>
      <c r="C97" s="456" t="s">
        <v>12</v>
      </c>
      <c r="D97" s="457" t="s">
        <v>104</v>
      </c>
      <c r="E97" s="457" t="s">
        <v>162</v>
      </c>
      <c r="F97" s="462" t="s">
        <v>93</v>
      </c>
      <c r="G97" s="458" t="s">
        <v>97</v>
      </c>
      <c r="H97" s="458" t="s">
        <v>148</v>
      </c>
      <c r="I97" s="459" t="s">
        <v>152</v>
      </c>
      <c r="J97" s="457"/>
      <c r="K97" s="460">
        <f>SUM(K98:K99)</f>
        <v>4207.3</v>
      </c>
      <c r="L97" s="460">
        <f>SUM(L98:L99)</f>
        <v>0</v>
      </c>
      <c r="M97" s="460">
        <f>SUM(M98:M99)</f>
        <v>4207.3</v>
      </c>
      <c r="N97" s="460">
        <f>SUM(N98:N99)</f>
        <v>4158.7</v>
      </c>
    </row>
    <row r="98" spans="1:14" s="599" customFormat="1" ht="93.6" customHeight="1">
      <c r="A98" s="583"/>
      <c r="B98" s="58" t="s">
        <v>101</v>
      </c>
      <c r="C98" s="456" t="s">
        <v>12</v>
      </c>
      <c r="D98" s="457" t="s">
        <v>104</v>
      </c>
      <c r="E98" s="457" t="s">
        <v>162</v>
      </c>
      <c r="F98" s="462" t="s">
        <v>93</v>
      </c>
      <c r="G98" s="458" t="s">
        <v>97</v>
      </c>
      <c r="H98" s="458" t="s">
        <v>148</v>
      </c>
      <c r="I98" s="459" t="s">
        <v>152</v>
      </c>
      <c r="J98" s="457" t="s">
        <v>102</v>
      </c>
      <c r="K98" s="460">
        <v>4158.7</v>
      </c>
      <c r="L98" s="460">
        <f t="shared" ref="L98:L106" si="32">M98-K98</f>
        <v>0</v>
      </c>
      <c r="M98" s="460">
        <v>4158.7</v>
      </c>
      <c r="N98" s="460">
        <v>4158.7</v>
      </c>
    </row>
    <row r="99" spans="1:14" s="599" customFormat="1" ht="33" customHeight="1">
      <c r="A99" s="583"/>
      <c r="B99" s="58" t="s">
        <v>107</v>
      </c>
      <c r="C99" s="456" t="s">
        <v>12</v>
      </c>
      <c r="D99" s="457" t="s">
        <v>104</v>
      </c>
      <c r="E99" s="457" t="s">
        <v>162</v>
      </c>
      <c r="F99" s="462" t="s">
        <v>93</v>
      </c>
      <c r="G99" s="458" t="s">
        <v>97</v>
      </c>
      <c r="H99" s="458" t="s">
        <v>148</v>
      </c>
      <c r="I99" s="459" t="s">
        <v>152</v>
      </c>
      <c r="J99" s="457" t="s">
        <v>108</v>
      </c>
      <c r="K99" s="460">
        <v>48.6</v>
      </c>
      <c r="L99" s="460">
        <f t="shared" si="32"/>
        <v>0</v>
      </c>
      <c r="M99" s="460">
        <v>48.6</v>
      </c>
      <c r="N99" s="460">
        <v>0</v>
      </c>
    </row>
    <row r="100" spans="1:14" s="599" customFormat="1" ht="33" customHeight="1">
      <c r="A100" s="583"/>
      <c r="B100" s="606" t="s">
        <v>559</v>
      </c>
      <c r="C100" s="456" t="s">
        <v>12</v>
      </c>
      <c r="D100" s="457" t="s">
        <v>129</v>
      </c>
      <c r="E100" s="457"/>
      <c r="F100" s="462"/>
      <c r="G100" s="458"/>
      <c r="H100" s="458"/>
      <c r="I100" s="459"/>
      <c r="J100" s="457"/>
      <c r="K100" s="460">
        <f t="shared" ref="K100:M105" si="33">K101</f>
        <v>6.2</v>
      </c>
      <c r="L100" s="460">
        <f t="shared" si="32"/>
        <v>0</v>
      </c>
      <c r="M100" s="460">
        <f t="shared" si="33"/>
        <v>6.2</v>
      </c>
      <c r="N100" s="460">
        <v>0</v>
      </c>
    </row>
    <row r="101" spans="1:14" s="599" customFormat="1" ht="33" customHeight="1">
      <c r="A101" s="583"/>
      <c r="B101" s="606" t="s">
        <v>560</v>
      </c>
      <c r="C101" s="456" t="s">
        <v>12</v>
      </c>
      <c r="D101" s="457" t="s">
        <v>129</v>
      </c>
      <c r="E101" s="457" t="s">
        <v>89</v>
      </c>
      <c r="F101" s="462"/>
      <c r="G101" s="458"/>
      <c r="H101" s="458"/>
      <c r="I101" s="459"/>
      <c r="J101" s="457"/>
      <c r="K101" s="460">
        <f t="shared" si="33"/>
        <v>6.2</v>
      </c>
      <c r="L101" s="460">
        <f t="shared" si="32"/>
        <v>0</v>
      </c>
      <c r="M101" s="460">
        <f t="shared" si="33"/>
        <v>6.2</v>
      </c>
      <c r="N101" s="460">
        <v>0</v>
      </c>
    </row>
    <row r="102" spans="1:14" s="599" customFormat="1" ht="60.6" customHeight="1">
      <c r="A102" s="583"/>
      <c r="B102" s="58" t="s">
        <v>92</v>
      </c>
      <c r="C102" s="456" t="s">
        <v>12</v>
      </c>
      <c r="D102" s="457" t="s">
        <v>129</v>
      </c>
      <c r="E102" s="457" t="s">
        <v>89</v>
      </c>
      <c r="F102" s="462" t="s">
        <v>93</v>
      </c>
      <c r="G102" s="458" t="s">
        <v>94</v>
      </c>
      <c r="H102" s="458" t="s">
        <v>95</v>
      </c>
      <c r="I102" s="459" t="s">
        <v>96</v>
      </c>
      <c r="J102" s="457"/>
      <c r="K102" s="460">
        <f t="shared" si="33"/>
        <v>6.2</v>
      </c>
      <c r="L102" s="460">
        <f t="shared" si="32"/>
        <v>0</v>
      </c>
      <c r="M102" s="460">
        <f t="shared" si="33"/>
        <v>6.2</v>
      </c>
      <c r="N102" s="460">
        <v>0</v>
      </c>
    </row>
    <row r="103" spans="1:14" s="599" customFormat="1" ht="33" customHeight="1">
      <c r="A103" s="583"/>
      <c r="B103" s="58" t="s">
        <v>455</v>
      </c>
      <c r="C103" s="456" t="s">
        <v>12</v>
      </c>
      <c r="D103" s="457" t="s">
        <v>129</v>
      </c>
      <c r="E103" s="457" t="s">
        <v>89</v>
      </c>
      <c r="F103" s="462" t="s">
        <v>93</v>
      </c>
      <c r="G103" s="458" t="s">
        <v>97</v>
      </c>
      <c r="H103" s="458" t="s">
        <v>95</v>
      </c>
      <c r="I103" s="459" t="s">
        <v>96</v>
      </c>
      <c r="J103" s="457"/>
      <c r="K103" s="460">
        <f t="shared" si="33"/>
        <v>6.2</v>
      </c>
      <c r="L103" s="460">
        <f t="shared" si="32"/>
        <v>0</v>
      </c>
      <c r="M103" s="460">
        <f t="shared" si="33"/>
        <v>6.2</v>
      </c>
      <c r="N103" s="460">
        <v>0</v>
      </c>
    </row>
    <row r="104" spans="1:14" s="599" customFormat="1" ht="33" customHeight="1">
      <c r="A104" s="583"/>
      <c r="B104" s="606" t="s">
        <v>561</v>
      </c>
      <c r="C104" s="456" t="s">
        <v>12</v>
      </c>
      <c r="D104" s="457" t="s">
        <v>129</v>
      </c>
      <c r="E104" s="457" t="s">
        <v>89</v>
      </c>
      <c r="F104" s="462" t="s">
        <v>93</v>
      </c>
      <c r="G104" s="458" t="s">
        <v>97</v>
      </c>
      <c r="H104" s="458" t="s">
        <v>138</v>
      </c>
      <c r="I104" s="459" t="s">
        <v>96</v>
      </c>
      <c r="J104" s="457"/>
      <c r="K104" s="460">
        <f t="shared" si="33"/>
        <v>6.2</v>
      </c>
      <c r="L104" s="460">
        <f t="shared" si="32"/>
        <v>0</v>
      </c>
      <c r="M104" s="460">
        <f t="shared" si="33"/>
        <v>6.2</v>
      </c>
      <c r="N104" s="460">
        <v>0</v>
      </c>
    </row>
    <row r="105" spans="1:14" s="599" customFormat="1" ht="33" customHeight="1">
      <c r="A105" s="583"/>
      <c r="B105" s="606" t="s">
        <v>562</v>
      </c>
      <c r="C105" s="456" t="s">
        <v>12</v>
      </c>
      <c r="D105" s="457" t="s">
        <v>129</v>
      </c>
      <c r="E105" s="457" t="s">
        <v>89</v>
      </c>
      <c r="F105" s="462" t="s">
        <v>93</v>
      </c>
      <c r="G105" s="458" t="s">
        <v>97</v>
      </c>
      <c r="H105" s="458" t="s">
        <v>138</v>
      </c>
      <c r="I105" s="459" t="s">
        <v>563</v>
      </c>
      <c r="J105" s="457"/>
      <c r="K105" s="460">
        <f t="shared" si="33"/>
        <v>6.2</v>
      </c>
      <c r="L105" s="460">
        <f t="shared" si="32"/>
        <v>0</v>
      </c>
      <c r="M105" s="460">
        <f t="shared" si="33"/>
        <v>6.2</v>
      </c>
      <c r="N105" s="460">
        <v>0</v>
      </c>
    </row>
    <row r="106" spans="1:14" s="599" customFormat="1" ht="33" customHeight="1">
      <c r="A106" s="583"/>
      <c r="B106" s="606" t="s">
        <v>564</v>
      </c>
      <c r="C106" s="456" t="s">
        <v>12</v>
      </c>
      <c r="D106" s="457" t="s">
        <v>129</v>
      </c>
      <c r="E106" s="457" t="s">
        <v>89</v>
      </c>
      <c r="F106" s="462" t="s">
        <v>93</v>
      </c>
      <c r="G106" s="458" t="s">
        <v>97</v>
      </c>
      <c r="H106" s="458" t="s">
        <v>138</v>
      </c>
      <c r="I106" s="459" t="s">
        <v>563</v>
      </c>
      <c r="J106" s="457" t="s">
        <v>565</v>
      </c>
      <c r="K106" s="460">
        <v>6.2</v>
      </c>
      <c r="L106" s="460">
        <f t="shared" si="32"/>
        <v>0</v>
      </c>
      <c r="M106" s="460">
        <v>6.2</v>
      </c>
      <c r="N106" s="460">
        <v>0</v>
      </c>
    </row>
    <row r="107" spans="1:14" ht="18.75">
      <c r="A107" s="583"/>
      <c r="B107" s="455"/>
      <c r="C107" s="456"/>
      <c r="D107" s="457"/>
      <c r="E107" s="457"/>
      <c r="F107" s="458"/>
      <c r="G107" s="458"/>
      <c r="H107" s="458"/>
      <c r="I107" s="459"/>
      <c r="J107" s="457"/>
      <c r="K107" s="460"/>
      <c r="L107" s="460"/>
      <c r="M107" s="460"/>
      <c r="N107" s="460"/>
    </row>
    <row r="108" spans="1:14" ht="56.25">
      <c r="A108" s="590">
        <v>2</v>
      </c>
      <c r="B108" s="591" t="s">
        <v>27</v>
      </c>
      <c r="C108" s="592" t="s">
        <v>397</v>
      </c>
      <c r="D108" s="593"/>
      <c r="E108" s="593"/>
      <c r="F108" s="594"/>
      <c r="G108" s="594"/>
      <c r="H108" s="594"/>
      <c r="I108" s="595"/>
      <c r="J108" s="593"/>
      <c r="K108" s="596">
        <f>K109+K117</f>
        <v>26657.800000000003</v>
      </c>
      <c r="L108" s="596">
        <f>L109+L117</f>
        <v>0</v>
      </c>
      <c r="M108" s="596">
        <f>M109+M117</f>
        <v>26657.800000000003</v>
      </c>
      <c r="N108" s="596">
        <f>N109+N117</f>
        <v>26655.9</v>
      </c>
    </row>
    <row r="109" spans="1:14" ht="18.75">
      <c r="A109" s="583"/>
      <c r="B109" s="455" t="s">
        <v>88</v>
      </c>
      <c r="C109" s="456" t="s">
        <v>397</v>
      </c>
      <c r="D109" s="457" t="s">
        <v>89</v>
      </c>
      <c r="E109" s="457"/>
      <c r="F109" s="458"/>
      <c r="G109" s="458"/>
      <c r="H109" s="458"/>
      <c r="I109" s="459"/>
      <c r="J109" s="457"/>
      <c r="K109" s="460">
        <f>K110</f>
        <v>21657.800000000003</v>
      </c>
      <c r="L109" s="460">
        <f>L110</f>
        <v>0</v>
      </c>
      <c r="M109" s="460">
        <f>M110</f>
        <v>21657.800000000003</v>
      </c>
      <c r="N109" s="460">
        <f>N110</f>
        <v>21655.9</v>
      </c>
    </row>
    <row r="110" spans="1:14" ht="75">
      <c r="A110" s="583"/>
      <c r="B110" s="455" t="s">
        <v>191</v>
      </c>
      <c r="C110" s="456" t="s">
        <v>397</v>
      </c>
      <c r="D110" s="457" t="s">
        <v>89</v>
      </c>
      <c r="E110" s="457" t="s">
        <v>140</v>
      </c>
      <c r="F110" s="458"/>
      <c r="G110" s="458"/>
      <c r="H110" s="458"/>
      <c r="I110" s="459"/>
      <c r="J110" s="457"/>
      <c r="K110" s="460">
        <f t="shared" ref="K110:N113" si="34">K111</f>
        <v>21657.800000000003</v>
      </c>
      <c r="L110" s="460">
        <f t="shared" si="34"/>
        <v>0</v>
      </c>
      <c r="M110" s="460">
        <f t="shared" si="34"/>
        <v>21657.800000000003</v>
      </c>
      <c r="N110" s="460">
        <f t="shared" si="34"/>
        <v>21655.9</v>
      </c>
    </row>
    <row r="111" spans="1:14" ht="56.25">
      <c r="A111" s="583"/>
      <c r="B111" s="455" t="s">
        <v>296</v>
      </c>
      <c r="C111" s="456" t="s">
        <v>397</v>
      </c>
      <c r="D111" s="457" t="s">
        <v>89</v>
      </c>
      <c r="E111" s="457" t="s">
        <v>140</v>
      </c>
      <c r="F111" s="458" t="s">
        <v>297</v>
      </c>
      <c r="G111" s="458" t="s">
        <v>94</v>
      </c>
      <c r="H111" s="458" t="s">
        <v>95</v>
      </c>
      <c r="I111" s="459" t="s">
        <v>96</v>
      </c>
      <c r="J111" s="457"/>
      <c r="K111" s="460">
        <f t="shared" si="34"/>
        <v>21657.800000000003</v>
      </c>
      <c r="L111" s="460">
        <f t="shared" si="34"/>
        <v>0</v>
      </c>
      <c r="M111" s="460">
        <f t="shared" si="34"/>
        <v>21657.800000000003</v>
      </c>
      <c r="N111" s="460">
        <f t="shared" si="34"/>
        <v>21655.9</v>
      </c>
    </row>
    <row r="112" spans="1:14" ht="37.5">
      <c r="A112" s="583"/>
      <c r="B112" s="455" t="s">
        <v>455</v>
      </c>
      <c r="C112" s="456" t="s">
        <v>397</v>
      </c>
      <c r="D112" s="457" t="s">
        <v>89</v>
      </c>
      <c r="E112" s="457" t="s">
        <v>140</v>
      </c>
      <c r="F112" s="607" t="s">
        <v>297</v>
      </c>
      <c r="G112" s="607" t="s">
        <v>97</v>
      </c>
      <c r="H112" s="458" t="s">
        <v>95</v>
      </c>
      <c r="I112" s="459" t="s">
        <v>96</v>
      </c>
      <c r="J112" s="457"/>
      <c r="K112" s="460">
        <f t="shared" si="34"/>
        <v>21657.800000000003</v>
      </c>
      <c r="L112" s="460">
        <f t="shared" si="34"/>
        <v>0</v>
      </c>
      <c r="M112" s="460">
        <f t="shared" si="34"/>
        <v>21657.800000000003</v>
      </c>
      <c r="N112" s="460">
        <f t="shared" si="34"/>
        <v>21655.9</v>
      </c>
    </row>
    <row r="113" spans="1:14" ht="56.25">
      <c r="A113" s="583"/>
      <c r="B113" s="455" t="s">
        <v>398</v>
      </c>
      <c r="C113" s="456" t="s">
        <v>397</v>
      </c>
      <c r="D113" s="457" t="s">
        <v>89</v>
      </c>
      <c r="E113" s="457" t="s">
        <v>140</v>
      </c>
      <c r="F113" s="607" t="s">
        <v>297</v>
      </c>
      <c r="G113" s="607" t="s">
        <v>97</v>
      </c>
      <c r="H113" s="458" t="s">
        <v>89</v>
      </c>
      <c r="I113" s="459" t="s">
        <v>96</v>
      </c>
      <c r="J113" s="457"/>
      <c r="K113" s="460">
        <f t="shared" si="34"/>
        <v>21657.800000000003</v>
      </c>
      <c r="L113" s="460">
        <f t="shared" si="34"/>
        <v>0</v>
      </c>
      <c r="M113" s="460">
        <f t="shared" si="34"/>
        <v>21657.800000000003</v>
      </c>
      <c r="N113" s="460">
        <f t="shared" si="34"/>
        <v>21655.9</v>
      </c>
    </row>
    <row r="114" spans="1:14" ht="37.5">
      <c r="A114" s="583"/>
      <c r="B114" s="455" t="s">
        <v>99</v>
      </c>
      <c r="C114" s="456" t="s">
        <v>397</v>
      </c>
      <c r="D114" s="457" t="s">
        <v>89</v>
      </c>
      <c r="E114" s="457" t="s">
        <v>140</v>
      </c>
      <c r="F114" s="607" t="s">
        <v>297</v>
      </c>
      <c r="G114" s="607" t="s">
        <v>97</v>
      </c>
      <c r="H114" s="458" t="s">
        <v>89</v>
      </c>
      <c r="I114" s="459" t="s">
        <v>100</v>
      </c>
      <c r="J114" s="457"/>
      <c r="K114" s="460">
        <f t="shared" ref="K114" si="35">SUM(K115:K116)</f>
        <v>21657.800000000003</v>
      </c>
      <c r="L114" s="460">
        <f>SUM(L115:L116)</f>
        <v>0</v>
      </c>
      <c r="M114" s="460">
        <f t="shared" ref="M114:N114" si="36">SUM(M115:M116)</f>
        <v>21657.800000000003</v>
      </c>
      <c r="N114" s="460">
        <f t="shared" si="36"/>
        <v>21655.9</v>
      </c>
    </row>
    <row r="115" spans="1:14" ht="85.15" customHeight="1">
      <c r="A115" s="583"/>
      <c r="B115" s="455" t="s">
        <v>101</v>
      </c>
      <c r="C115" s="456" t="s">
        <v>397</v>
      </c>
      <c r="D115" s="457" t="s">
        <v>89</v>
      </c>
      <c r="E115" s="457" t="s">
        <v>140</v>
      </c>
      <c r="F115" s="607" t="s">
        <v>297</v>
      </c>
      <c r="G115" s="607" t="s">
        <v>97</v>
      </c>
      <c r="H115" s="458" t="s">
        <v>89</v>
      </c>
      <c r="I115" s="459" t="s">
        <v>100</v>
      </c>
      <c r="J115" s="457" t="s">
        <v>102</v>
      </c>
      <c r="K115" s="460">
        <v>21655.9</v>
      </c>
      <c r="L115" s="460">
        <f t="shared" ref="L115:L116" si="37">M115-K115</f>
        <v>0</v>
      </c>
      <c r="M115" s="460">
        <v>21655.9</v>
      </c>
      <c r="N115" s="460">
        <v>21655.9</v>
      </c>
    </row>
    <row r="116" spans="1:14" ht="18.75">
      <c r="A116" s="583"/>
      <c r="B116" s="58" t="s">
        <v>109</v>
      </c>
      <c r="C116" s="456" t="s">
        <v>397</v>
      </c>
      <c r="D116" s="457" t="s">
        <v>89</v>
      </c>
      <c r="E116" s="457" t="s">
        <v>140</v>
      </c>
      <c r="F116" s="608" t="s">
        <v>297</v>
      </c>
      <c r="G116" s="607" t="s">
        <v>97</v>
      </c>
      <c r="H116" s="458" t="s">
        <v>89</v>
      </c>
      <c r="I116" s="459" t="s">
        <v>100</v>
      </c>
      <c r="J116" s="457" t="s">
        <v>110</v>
      </c>
      <c r="K116" s="460">
        <v>1.9</v>
      </c>
      <c r="L116" s="460">
        <f t="shared" si="37"/>
        <v>0</v>
      </c>
      <c r="M116" s="460">
        <v>1.9</v>
      </c>
      <c r="N116" s="460">
        <v>0</v>
      </c>
    </row>
    <row r="117" spans="1:14" ht="56.25">
      <c r="A117" s="583"/>
      <c r="B117" s="455" t="s">
        <v>272</v>
      </c>
      <c r="C117" s="456" t="s">
        <v>397</v>
      </c>
      <c r="D117" s="457" t="s">
        <v>148</v>
      </c>
      <c r="E117" s="457"/>
      <c r="F117" s="607"/>
      <c r="G117" s="607"/>
      <c r="H117" s="458"/>
      <c r="I117" s="459"/>
      <c r="J117" s="457"/>
      <c r="K117" s="460">
        <f t="shared" ref="K117:N120" si="38">K118</f>
        <v>5000</v>
      </c>
      <c r="L117" s="460">
        <f t="shared" si="38"/>
        <v>0</v>
      </c>
      <c r="M117" s="460">
        <f t="shared" si="38"/>
        <v>5000</v>
      </c>
      <c r="N117" s="460">
        <f t="shared" si="38"/>
        <v>5000</v>
      </c>
    </row>
    <row r="118" spans="1:14" ht="56.25">
      <c r="A118" s="583"/>
      <c r="B118" s="604" t="s">
        <v>273</v>
      </c>
      <c r="C118" s="456" t="s">
        <v>397</v>
      </c>
      <c r="D118" s="457" t="s">
        <v>148</v>
      </c>
      <c r="E118" s="457" t="s">
        <v>89</v>
      </c>
      <c r="F118" s="607"/>
      <c r="G118" s="607"/>
      <c r="H118" s="458"/>
      <c r="I118" s="459"/>
      <c r="J118" s="457"/>
      <c r="K118" s="460">
        <f t="shared" si="38"/>
        <v>5000</v>
      </c>
      <c r="L118" s="460">
        <f t="shared" si="38"/>
        <v>0</v>
      </c>
      <c r="M118" s="460">
        <f t="shared" si="38"/>
        <v>5000</v>
      </c>
      <c r="N118" s="460">
        <f t="shared" si="38"/>
        <v>5000</v>
      </c>
    </row>
    <row r="119" spans="1:14" ht="56.25">
      <c r="A119" s="583"/>
      <c r="B119" s="455" t="s">
        <v>296</v>
      </c>
      <c r="C119" s="456" t="s">
        <v>397</v>
      </c>
      <c r="D119" s="457" t="s">
        <v>148</v>
      </c>
      <c r="E119" s="457" t="s">
        <v>89</v>
      </c>
      <c r="F119" s="607" t="s">
        <v>297</v>
      </c>
      <c r="G119" s="607" t="s">
        <v>94</v>
      </c>
      <c r="H119" s="458" t="s">
        <v>95</v>
      </c>
      <c r="I119" s="459" t="s">
        <v>96</v>
      </c>
      <c r="J119" s="457"/>
      <c r="K119" s="460">
        <f t="shared" si="38"/>
        <v>5000</v>
      </c>
      <c r="L119" s="460">
        <f t="shared" si="38"/>
        <v>0</v>
      </c>
      <c r="M119" s="460">
        <f t="shared" si="38"/>
        <v>5000</v>
      </c>
      <c r="N119" s="460">
        <f t="shared" si="38"/>
        <v>5000</v>
      </c>
    </row>
    <row r="120" spans="1:14" ht="37.5">
      <c r="A120" s="583"/>
      <c r="B120" s="455" t="s">
        <v>455</v>
      </c>
      <c r="C120" s="456" t="s">
        <v>397</v>
      </c>
      <c r="D120" s="457" t="s">
        <v>148</v>
      </c>
      <c r="E120" s="457" t="s">
        <v>89</v>
      </c>
      <c r="F120" s="607" t="s">
        <v>297</v>
      </c>
      <c r="G120" s="607" t="s">
        <v>97</v>
      </c>
      <c r="H120" s="458" t="s">
        <v>95</v>
      </c>
      <c r="I120" s="459" t="s">
        <v>96</v>
      </c>
      <c r="J120" s="457"/>
      <c r="K120" s="460">
        <f t="shared" si="38"/>
        <v>5000</v>
      </c>
      <c r="L120" s="460">
        <f t="shared" si="38"/>
        <v>0</v>
      </c>
      <c r="M120" s="460">
        <f t="shared" si="38"/>
        <v>5000</v>
      </c>
      <c r="N120" s="460">
        <f t="shared" si="38"/>
        <v>5000</v>
      </c>
    </row>
    <row r="121" spans="1:14" ht="37.5">
      <c r="A121" s="583"/>
      <c r="B121" s="455" t="s">
        <v>399</v>
      </c>
      <c r="C121" s="456" t="s">
        <v>397</v>
      </c>
      <c r="D121" s="457" t="s">
        <v>148</v>
      </c>
      <c r="E121" s="457" t="s">
        <v>89</v>
      </c>
      <c r="F121" s="607" t="s">
        <v>297</v>
      </c>
      <c r="G121" s="607" t="s">
        <v>97</v>
      </c>
      <c r="H121" s="458" t="s">
        <v>91</v>
      </c>
      <c r="I121" s="459" t="s">
        <v>96</v>
      </c>
      <c r="J121" s="457"/>
      <c r="K121" s="460">
        <f t="shared" ref="K121:N122" si="39">K122</f>
        <v>5000</v>
      </c>
      <c r="L121" s="460">
        <f t="shared" si="39"/>
        <v>0</v>
      </c>
      <c r="M121" s="460">
        <f t="shared" si="39"/>
        <v>5000</v>
      </c>
      <c r="N121" s="460">
        <f t="shared" si="39"/>
        <v>5000</v>
      </c>
    </row>
    <row r="122" spans="1:14" ht="37.5">
      <c r="A122" s="583"/>
      <c r="B122" s="58" t="s">
        <v>335</v>
      </c>
      <c r="C122" s="456" t="s">
        <v>397</v>
      </c>
      <c r="D122" s="457" t="s">
        <v>148</v>
      </c>
      <c r="E122" s="457" t="s">
        <v>89</v>
      </c>
      <c r="F122" s="608" t="s">
        <v>297</v>
      </c>
      <c r="G122" s="607" t="s">
        <v>97</v>
      </c>
      <c r="H122" s="458" t="s">
        <v>91</v>
      </c>
      <c r="I122" s="459" t="s">
        <v>693</v>
      </c>
      <c r="J122" s="457"/>
      <c r="K122" s="460">
        <f t="shared" si="39"/>
        <v>5000</v>
      </c>
      <c r="L122" s="460">
        <f t="shared" si="39"/>
        <v>0</v>
      </c>
      <c r="M122" s="460">
        <f t="shared" si="39"/>
        <v>5000</v>
      </c>
      <c r="N122" s="460">
        <f t="shared" si="39"/>
        <v>5000</v>
      </c>
    </row>
    <row r="123" spans="1:14" ht="18.75">
      <c r="A123" s="583"/>
      <c r="B123" s="58" t="s">
        <v>185</v>
      </c>
      <c r="C123" s="456" t="s">
        <v>397</v>
      </c>
      <c r="D123" s="457" t="s">
        <v>148</v>
      </c>
      <c r="E123" s="457" t="s">
        <v>89</v>
      </c>
      <c r="F123" s="608" t="s">
        <v>297</v>
      </c>
      <c r="G123" s="607" t="s">
        <v>97</v>
      </c>
      <c r="H123" s="458" t="s">
        <v>91</v>
      </c>
      <c r="I123" s="459" t="s">
        <v>693</v>
      </c>
      <c r="J123" s="457" t="s">
        <v>186</v>
      </c>
      <c r="K123" s="460">
        <v>5000</v>
      </c>
      <c r="L123" s="460">
        <f>M123-K123</f>
        <v>0</v>
      </c>
      <c r="M123" s="460">
        <v>5000</v>
      </c>
      <c r="N123" s="460">
        <v>5000</v>
      </c>
    </row>
    <row r="124" spans="1:14" ht="18.75">
      <c r="A124" s="583"/>
      <c r="B124" s="455"/>
      <c r="C124" s="456"/>
      <c r="D124" s="457"/>
      <c r="E124" s="457"/>
      <c r="F124" s="607"/>
      <c r="G124" s="607"/>
      <c r="H124" s="458"/>
      <c r="I124" s="459"/>
      <c r="J124" s="457"/>
      <c r="K124" s="460"/>
      <c r="L124" s="460"/>
      <c r="M124" s="460"/>
      <c r="N124" s="460"/>
    </row>
    <row r="125" spans="1:14" ht="33" customHeight="1">
      <c r="A125" s="590">
        <v>3</v>
      </c>
      <c r="B125" s="591" t="s">
        <v>87</v>
      </c>
      <c r="C125" s="592" t="s">
        <v>190</v>
      </c>
      <c r="D125" s="593"/>
      <c r="E125" s="593"/>
      <c r="F125" s="594"/>
      <c r="G125" s="594"/>
      <c r="H125" s="594"/>
      <c r="I125" s="595"/>
      <c r="J125" s="593"/>
      <c r="K125" s="596">
        <f t="shared" ref="K125:N128" si="40">K126</f>
        <v>3798.6000000000004</v>
      </c>
      <c r="L125" s="596">
        <f t="shared" si="40"/>
        <v>0</v>
      </c>
      <c r="M125" s="596">
        <f t="shared" si="40"/>
        <v>3798.6000000000004</v>
      </c>
      <c r="N125" s="596">
        <f t="shared" si="40"/>
        <v>3798.6000000000004</v>
      </c>
    </row>
    <row r="126" spans="1:14" ht="18.75">
      <c r="A126" s="583"/>
      <c r="B126" s="455" t="s">
        <v>88</v>
      </c>
      <c r="C126" s="456" t="s">
        <v>190</v>
      </c>
      <c r="D126" s="457" t="s">
        <v>89</v>
      </c>
      <c r="E126" s="457"/>
      <c r="F126" s="458"/>
      <c r="G126" s="458"/>
      <c r="H126" s="458"/>
      <c r="I126" s="459"/>
      <c r="J126" s="457"/>
      <c r="K126" s="460">
        <f t="shared" si="40"/>
        <v>3798.6000000000004</v>
      </c>
      <c r="L126" s="460">
        <f t="shared" si="40"/>
        <v>0</v>
      </c>
      <c r="M126" s="460">
        <f t="shared" si="40"/>
        <v>3798.6000000000004</v>
      </c>
      <c r="N126" s="460">
        <f t="shared" si="40"/>
        <v>3798.6000000000004</v>
      </c>
    </row>
    <row r="127" spans="1:14" ht="75">
      <c r="A127" s="583"/>
      <c r="B127" s="455" t="s">
        <v>191</v>
      </c>
      <c r="C127" s="456" t="s">
        <v>190</v>
      </c>
      <c r="D127" s="457" t="s">
        <v>89</v>
      </c>
      <c r="E127" s="457" t="s">
        <v>140</v>
      </c>
      <c r="F127" s="458"/>
      <c r="G127" s="458"/>
      <c r="H127" s="458"/>
      <c r="I127" s="459"/>
      <c r="J127" s="457"/>
      <c r="K127" s="460">
        <f t="shared" si="40"/>
        <v>3798.6000000000004</v>
      </c>
      <c r="L127" s="460">
        <f t="shared" si="40"/>
        <v>0</v>
      </c>
      <c r="M127" s="460">
        <f t="shared" si="40"/>
        <v>3798.6000000000004</v>
      </c>
      <c r="N127" s="460">
        <f t="shared" si="40"/>
        <v>3798.6000000000004</v>
      </c>
    </row>
    <row r="128" spans="1:14" ht="56.25">
      <c r="A128" s="583"/>
      <c r="B128" s="600" t="s">
        <v>192</v>
      </c>
      <c r="C128" s="456" t="s">
        <v>190</v>
      </c>
      <c r="D128" s="457" t="s">
        <v>89</v>
      </c>
      <c r="E128" s="457" t="s">
        <v>140</v>
      </c>
      <c r="F128" s="458" t="s">
        <v>193</v>
      </c>
      <c r="G128" s="458" t="s">
        <v>94</v>
      </c>
      <c r="H128" s="458" t="s">
        <v>95</v>
      </c>
      <c r="I128" s="459" t="s">
        <v>96</v>
      </c>
      <c r="J128" s="457"/>
      <c r="K128" s="460">
        <f t="shared" si="40"/>
        <v>3798.6000000000004</v>
      </c>
      <c r="L128" s="460">
        <f t="shared" si="40"/>
        <v>0</v>
      </c>
      <c r="M128" s="460">
        <f t="shared" si="40"/>
        <v>3798.6000000000004</v>
      </c>
      <c r="N128" s="460">
        <f t="shared" si="40"/>
        <v>3798.6000000000004</v>
      </c>
    </row>
    <row r="129" spans="1:14" ht="75">
      <c r="A129" s="583"/>
      <c r="B129" s="600" t="s">
        <v>195</v>
      </c>
      <c r="C129" s="456" t="s">
        <v>190</v>
      </c>
      <c r="D129" s="457" t="s">
        <v>89</v>
      </c>
      <c r="E129" s="457" t="s">
        <v>140</v>
      </c>
      <c r="F129" s="458" t="s">
        <v>193</v>
      </c>
      <c r="G129" s="458" t="s">
        <v>97</v>
      </c>
      <c r="H129" s="458" t="s">
        <v>95</v>
      </c>
      <c r="I129" s="459" t="s">
        <v>96</v>
      </c>
      <c r="J129" s="457"/>
      <c r="K129" s="460">
        <f>K130+K133</f>
        <v>3798.6000000000004</v>
      </c>
      <c r="L129" s="460">
        <f>L130+L133</f>
        <v>0</v>
      </c>
      <c r="M129" s="460">
        <f>M130+M133</f>
        <v>3798.6000000000004</v>
      </c>
      <c r="N129" s="460">
        <f>N130+N133</f>
        <v>3798.6000000000004</v>
      </c>
    </row>
    <row r="130" spans="1:14" ht="37.5">
      <c r="A130" s="583"/>
      <c r="B130" s="455" t="s">
        <v>194</v>
      </c>
      <c r="C130" s="456" t="s">
        <v>190</v>
      </c>
      <c r="D130" s="457" t="s">
        <v>89</v>
      </c>
      <c r="E130" s="457" t="s">
        <v>140</v>
      </c>
      <c r="F130" s="458" t="s">
        <v>193</v>
      </c>
      <c r="G130" s="458" t="s">
        <v>97</v>
      </c>
      <c r="H130" s="458" t="s">
        <v>89</v>
      </c>
      <c r="I130" s="459" t="s">
        <v>96</v>
      </c>
      <c r="J130" s="457"/>
      <c r="K130" s="460">
        <f t="shared" ref="K130:N131" si="41">K131</f>
        <v>1182.7</v>
      </c>
      <c r="L130" s="460">
        <f t="shared" si="41"/>
        <v>0</v>
      </c>
      <c r="M130" s="460">
        <f t="shared" si="41"/>
        <v>1182.7</v>
      </c>
      <c r="N130" s="460">
        <f t="shared" si="41"/>
        <v>1182.7</v>
      </c>
    </row>
    <row r="131" spans="1:14" ht="37.5">
      <c r="A131" s="583"/>
      <c r="B131" s="455" t="s">
        <v>99</v>
      </c>
      <c r="C131" s="456" t="s">
        <v>190</v>
      </c>
      <c r="D131" s="457" t="s">
        <v>89</v>
      </c>
      <c r="E131" s="457" t="s">
        <v>140</v>
      </c>
      <c r="F131" s="458" t="s">
        <v>193</v>
      </c>
      <c r="G131" s="458" t="s">
        <v>97</v>
      </c>
      <c r="H131" s="458" t="s">
        <v>89</v>
      </c>
      <c r="I131" s="459" t="s">
        <v>100</v>
      </c>
      <c r="J131" s="457"/>
      <c r="K131" s="460">
        <f t="shared" si="41"/>
        <v>1182.7</v>
      </c>
      <c r="L131" s="460">
        <f t="shared" si="41"/>
        <v>0</v>
      </c>
      <c r="M131" s="460">
        <f t="shared" si="41"/>
        <v>1182.7</v>
      </c>
      <c r="N131" s="460">
        <f t="shared" si="41"/>
        <v>1182.7</v>
      </c>
    </row>
    <row r="132" spans="1:14" ht="87" customHeight="1">
      <c r="A132" s="583"/>
      <c r="B132" s="600" t="s">
        <v>101</v>
      </c>
      <c r="C132" s="456" t="s">
        <v>190</v>
      </c>
      <c r="D132" s="457" t="s">
        <v>89</v>
      </c>
      <c r="E132" s="457" t="s">
        <v>140</v>
      </c>
      <c r="F132" s="458" t="s">
        <v>193</v>
      </c>
      <c r="G132" s="458" t="s">
        <v>97</v>
      </c>
      <c r="H132" s="458" t="s">
        <v>89</v>
      </c>
      <c r="I132" s="459" t="s">
        <v>100</v>
      </c>
      <c r="J132" s="457" t="s">
        <v>102</v>
      </c>
      <c r="K132" s="460">
        <v>1182.7</v>
      </c>
      <c r="L132" s="460">
        <f>M132-K132</f>
        <v>0</v>
      </c>
      <c r="M132" s="460">
        <v>1182.7</v>
      </c>
      <c r="N132" s="460">
        <v>1182.7</v>
      </c>
    </row>
    <row r="133" spans="1:14" ht="37.5">
      <c r="A133" s="583"/>
      <c r="B133" s="455" t="s">
        <v>196</v>
      </c>
      <c r="C133" s="456" t="s">
        <v>190</v>
      </c>
      <c r="D133" s="457" t="s">
        <v>89</v>
      </c>
      <c r="E133" s="457" t="s">
        <v>140</v>
      </c>
      <c r="F133" s="458" t="s">
        <v>193</v>
      </c>
      <c r="G133" s="458" t="s">
        <v>97</v>
      </c>
      <c r="H133" s="458" t="s">
        <v>91</v>
      </c>
      <c r="I133" s="459" t="s">
        <v>96</v>
      </c>
      <c r="J133" s="457"/>
      <c r="K133" s="460">
        <f t="shared" ref="K133:N134" si="42">K134</f>
        <v>2615.9</v>
      </c>
      <c r="L133" s="460">
        <f t="shared" si="42"/>
        <v>0</v>
      </c>
      <c r="M133" s="460">
        <f t="shared" si="42"/>
        <v>2615.9</v>
      </c>
      <c r="N133" s="460">
        <f t="shared" si="42"/>
        <v>2615.9</v>
      </c>
    </row>
    <row r="134" spans="1:14" ht="37.5">
      <c r="A134" s="583"/>
      <c r="B134" s="455" t="s">
        <v>99</v>
      </c>
      <c r="C134" s="456" t="s">
        <v>190</v>
      </c>
      <c r="D134" s="457" t="s">
        <v>89</v>
      </c>
      <c r="E134" s="457" t="s">
        <v>140</v>
      </c>
      <c r="F134" s="458" t="s">
        <v>193</v>
      </c>
      <c r="G134" s="458" t="s">
        <v>97</v>
      </c>
      <c r="H134" s="458" t="s">
        <v>91</v>
      </c>
      <c r="I134" s="459" t="s">
        <v>100</v>
      </c>
      <c r="J134" s="457"/>
      <c r="K134" s="460">
        <f t="shared" si="42"/>
        <v>2615.9</v>
      </c>
      <c r="L134" s="460">
        <f t="shared" si="42"/>
        <v>0</v>
      </c>
      <c r="M134" s="460">
        <f t="shared" si="42"/>
        <v>2615.9</v>
      </c>
      <c r="N134" s="460">
        <f t="shared" si="42"/>
        <v>2615.9</v>
      </c>
    </row>
    <row r="135" spans="1:14" ht="87" customHeight="1">
      <c r="A135" s="583"/>
      <c r="B135" s="455" t="s">
        <v>101</v>
      </c>
      <c r="C135" s="456" t="s">
        <v>190</v>
      </c>
      <c r="D135" s="457" t="s">
        <v>89</v>
      </c>
      <c r="E135" s="457" t="s">
        <v>140</v>
      </c>
      <c r="F135" s="458" t="s">
        <v>193</v>
      </c>
      <c r="G135" s="458" t="s">
        <v>97</v>
      </c>
      <c r="H135" s="458" t="s">
        <v>91</v>
      </c>
      <c r="I135" s="459" t="s">
        <v>100</v>
      </c>
      <c r="J135" s="457" t="s">
        <v>102</v>
      </c>
      <c r="K135" s="460">
        <v>2615.9</v>
      </c>
      <c r="L135" s="460">
        <f>M135-K135</f>
        <v>0</v>
      </c>
      <c r="M135" s="460">
        <v>2615.9</v>
      </c>
      <c r="N135" s="460">
        <v>2615.9</v>
      </c>
    </row>
    <row r="136" spans="1:14" ht="18.75">
      <c r="A136" s="583"/>
      <c r="B136" s="455"/>
      <c r="C136" s="456"/>
      <c r="D136" s="457"/>
      <c r="E136" s="457"/>
      <c r="F136" s="458"/>
      <c r="G136" s="458"/>
      <c r="H136" s="458"/>
      <c r="I136" s="459"/>
      <c r="J136" s="457"/>
      <c r="K136" s="460"/>
      <c r="L136" s="460"/>
      <c r="M136" s="460"/>
      <c r="N136" s="460"/>
    </row>
    <row r="137" spans="1:14" s="616" customFormat="1" ht="56.25">
      <c r="A137" s="609">
        <v>4</v>
      </c>
      <c r="B137" s="610" t="s">
        <v>35</v>
      </c>
      <c r="C137" s="611" t="s">
        <v>389</v>
      </c>
      <c r="D137" s="612"/>
      <c r="E137" s="612"/>
      <c r="F137" s="613"/>
      <c r="G137" s="613"/>
      <c r="H137" s="613"/>
      <c r="I137" s="614"/>
      <c r="J137" s="612"/>
      <c r="K137" s="615">
        <f>K138+K155</f>
        <v>64720.2</v>
      </c>
      <c r="L137" s="615">
        <f t="shared" ref="L137:N137" si="43">L138+L155</f>
        <v>0</v>
      </c>
      <c r="M137" s="615">
        <f>M138+M155</f>
        <v>64720.2</v>
      </c>
      <c r="N137" s="615">
        <f t="shared" si="43"/>
        <v>64552.100000000006</v>
      </c>
    </row>
    <row r="138" spans="1:14" s="623" customFormat="1" ht="18.75">
      <c r="A138" s="617"/>
      <c r="B138" s="618" t="s">
        <v>88</v>
      </c>
      <c r="C138" s="468" t="s">
        <v>389</v>
      </c>
      <c r="D138" s="469" t="s">
        <v>89</v>
      </c>
      <c r="E138" s="619"/>
      <c r="F138" s="620"/>
      <c r="G138" s="620"/>
      <c r="H138" s="620"/>
      <c r="I138" s="621"/>
      <c r="J138" s="619"/>
      <c r="K138" s="622">
        <f>K139</f>
        <v>20979.599999999999</v>
      </c>
      <c r="L138" s="622">
        <f>L139</f>
        <v>0</v>
      </c>
      <c r="M138" s="622">
        <f>M139</f>
        <v>20979.599999999999</v>
      </c>
      <c r="N138" s="622">
        <f>N139</f>
        <v>20811.5</v>
      </c>
    </row>
    <row r="139" spans="1:14" s="624" customFormat="1" ht="18.75">
      <c r="A139" s="617"/>
      <c r="B139" s="618" t="s">
        <v>128</v>
      </c>
      <c r="C139" s="468" t="s">
        <v>389</v>
      </c>
      <c r="D139" s="469" t="s">
        <v>89</v>
      </c>
      <c r="E139" s="469" t="s">
        <v>129</v>
      </c>
      <c r="F139" s="620"/>
      <c r="G139" s="620"/>
      <c r="H139" s="620"/>
      <c r="I139" s="621"/>
      <c r="J139" s="619"/>
      <c r="K139" s="622">
        <f t="shared" ref="K139" si="44">K140+K149</f>
        <v>20979.599999999999</v>
      </c>
      <c r="L139" s="622">
        <f>L140+L149</f>
        <v>0</v>
      </c>
      <c r="M139" s="622">
        <f t="shared" ref="M139:N139" si="45">M140+M149</f>
        <v>20979.599999999999</v>
      </c>
      <c r="N139" s="622">
        <f t="shared" si="45"/>
        <v>20811.5</v>
      </c>
    </row>
    <row r="140" spans="1:14" s="623" customFormat="1" ht="56.25">
      <c r="A140" s="617"/>
      <c r="B140" s="618" t="s">
        <v>298</v>
      </c>
      <c r="C140" s="468" t="s">
        <v>389</v>
      </c>
      <c r="D140" s="469" t="s">
        <v>89</v>
      </c>
      <c r="E140" s="469" t="s">
        <v>129</v>
      </c>
      <c r="F140" s="625" t="s">
        <v>299</v>
      </c>
      <c r="G140" s="620" t="s">
        <v>94</v>
      </c>
      <c r="H140" s="620" t="s">
        <v>95</v>
      </c>
      <c r="I140" s="621" t="s">
        <v>96</v>
      </c>
      <c r="J140" s="619"/>
      <c r="K140" s="622">
        <f t="shared" ref="K140:N140" si="46">K141</f>
        <v>15869.7</v>
      </c>
      <c r="L140" s="622">
        <f>L141</f>
        <v>0</v>
      </c>
      <c r="M140" s="622">
        <f t="shared" si="46"/>
        <v>15869.7</v>
      </c>
      <c r="N140" s="622">
        <f t="shared" si="46"/>
        <v>15772.8</v>
      </c>
    </row>
    <row r="141" spans="1:14" s="624" customFormat="1" ht="37.5">
      <c r="A141" s="617"/>
      <c r="B141" s="618" t="s">
        <v>302</v>
      </c>
      <c r="C141" s="468" t="s">
        <v>389</v>
      </c>
      <c r="D141" s="469" t="s">
        <v>89</v>
      </c>
      <c r="E141" s="469" t="s">
        <v>129</v>
      </c>
      <c r="F141" s="625" t="s">
        <v>299</v>
      </c>
      <c r="G141" s="620" t="s">
        <v>149</v>
      </c>
      <c r="H141" s="620" t="s">
        <v>95</v>
      </c>
      <c r="I141" s="621" t="s">
        <v>96</v>
      </c>
      <c r="J141" s="619"/>
      <c r="K141" s="622">
        <f>K142</f>
        <v>15869.7</v>
      </c>
      <c r="L141" s="622">
        <f>L142</f>
        <v>0</v>
      </c>
      <c r="M141" s="622">
        <f>M142</f>
        <v>15869.7</v>
      </c>
      <c r="N141" s="622">
        <f>N142</f>
        <v>15772.8</v>
      </c>
    </row>
    <row r="142" spans="1:14" s="626" customFormat="1" ht="93.75">
      <c r="A142" s="617"/>
      <c r="B142" s="618" t="s">
        <v>396</v>
      </c>
      <c r="C142" s="468" t="s">
        <v>389</v>
      </c>
      <c r="D142" s="469" t="s">
        <v>89</v>
      </c>
      <c r="E142" s="469" t="s">
        <v>129</v>
      </c>
      <c r="F142" s="625" t="s">
        <v>299</v>
      </c>
      <c r="G142" s="620" t="s">
        <v>149</v>
      </c>
      <c r="H142" s="620" t="s">
        <v>89</v>
      </c>
      <c r="I142" s="621" t="s">
        <v>96</v>
      </c>
      <c r="J142" s="619"/>
      <c r="K142" s="622">
        <f>K143+K145</f>
        <v>15869.7</v>
      </c>
      <c r="L142" s="622">
        <f>L143+L145</f>
        <v>0</v>
      </c>
      <c r="M142" s="622">
        <f>M143+M145</f>
        <v>15869.7</v>
      </c>
      <c r="N142" s="622">
        <f>N143+N145</f>
        <v>15772.8</v>
      </c>
    </row>
    <row r="143" spans="1:14" s="624" customFormat="1" ht="37.5">
      <c r="A143" s="617"/>
      <c r="B143" s="618" t="s">
        <v>99</v>
      </c>
      <c r="C143" s="468" t="s">
        <v>389</v>
      </c>
      <c r="D143" s="469" t="s">
        <v>89</v>
      </c>
      <c r="E143" s="469" t="s">
        <v>129</v>
      </c>
      <c r="F143" s="627" t="s">
        <v>299</v>
      </c>
      <c r="G143" s="628" t="s">
        <v>149</v>
      </c>
      <c r="H143" s="628" t="s">
        <v>89</v>
      </c>
      <c r="I143" s="629" t="s">
        <v>100</v>
      </c>
      <c r="J143" s="619"/>
      <c r="K143" s="622">
        <f>SUM(K144)</f>
        <v>11788.5</v>
      </c>
      <c r="L143" s="622">
        <f>SUM(L144)</f>
        <v>0</v>
      </c>
      <c r="M143" s="622">
        <f>SUM(M144)</f>
        <v>11788.5</v>
      </c>
      <c r="N143" s="622">
        <f>SUM(N144)</f>
        <v>11788.5</v>
      </c>
    </row>
    <row r="144" spans="1:14" s="623" customFormat="1" ht="87.6" customHeight="1">
      <c r="A144" s="617"/>
      <c r="B144" s="618" t="s">
        <v>101</v>
      </c>
      <c r="C144" s="468" t="s">
        <v>389</v>
      </c>
      <c r="D144" s="469" t="s">
        <v>89</v>
      </c>
      <c r="E144" s="469" t="s">
        <v>129</v>
      </c>
      <c r="F144" s="625" t="s">
        <v>299</v>
      </c>
      <c r="G144" s="620" t="s">
        <v>149</v>
      </c>
      <c r="H144" s="620" t="s">
        <v>89</v>
      </c>
      <c r="I144" s="621" t="s">
        <v>100</v>
      </c>
      <c r="J144" s="619" t="s">
        <v>102</v>
      </c>
      <c r="K144" s="622">
        <v>11788.5</v>
      </c>
      <c r="L144" s="460">
        <f>M144-K144</f>
        <v>0</v>
      </c>
      <c r="M144" s="622">
        <v>11788.5</v>
      </c>
      <c r="N144" s="622">
        <v>11788.5</v>
      </c>
    </row>
    <row r="145" spans="1:16" s="623" customFormat="1" ht="70.150000000000006" customHeight="1">
      <c r="A145" s="617"/>
      <c r="B145" s="618" t="s">
        <v>150</v>
      </c>
      <c r="C145" s="468" t="s">
        <v>389</v>
      </c>
      <c r="D145" s="469" t="s">
        <v>89</v>
      </c>
      <c r="E145" s="469" t="s">
        <v>129</v>
      </c>
      <c r="F145" s="625" t="s">
        <v>299</v>
      </c>
      <c r="G145" s="620" t="s">
        <v>149</v>
      </c>
      <c r="H145" s="620" t="s">
        <v>89</v>
      </c>
      <c r="I145" s="621" t="s">
        <v>152</v>
      </c>
      <c r="J145" s="619"/>
      <c r="K145" s="622">
        <f t="shared" ref="K145" si="47">SUM(K146:K148)</f>
        <v>4081.2000000000003</v>
      </c>
      <c r="L145" s="622">
        <f>SUM(L146:L148)</f>
        <v>0</v>
      </c>
      <c r="M145" s="622">
        <f t="shared" ref="M145:N145" si="48">SUM(M146:M148)</f>
        <v>4081.2000000000003</v>
      </c>
      <c r="N145" s="622">
        <f t="shared" si="48"/>
        <v>3984.3</v>
      </c>
      <c r="P145" s="630"/>
    </row>
    <row r="146" spans="1:16" s="623" customFormat="1" ht="89.45" customHeight="1">
      <c r="A146" s="617"/>
      <c r="B146" s="618" t="s">
        <v>101</v>
      </c>
      <c r="C146" s="468" t="s">
        <v>389</v>
      </c>
      <c r="D146" s="469" t="s">
        <v>89</v>
      </c>
      <c r="E146" s="469" t="s">
        <v>129</v>
      </c>
      <c r="F146" s="625" t="s">
        <v>299</v>
      </c>
      <c r="G146" s="620" t="s">
        <v>149</v>
      </c>
      <c r="H146" s="620" t="s">
        <v>89</v>
      </c>
      <c r="I146" s="621" t="s">
        <v>152</v>
      </c>
      <c r="J146" s="619" t="s">
        <v>102</v>
      </c>
      <c r="K146" s="622">
        <v>3984.3</v>
      </c>
      <c r="L146" s="460">
        <f t="shared" ref="L146:L148" si="49">M146-K146</f>
        <v>0</v>
      </c>
      <c r="M146" s="622">
        <v>3984.3</v>
      </c>
      <c r="N146" s="622">
        <v>3984.3</v>
      </c>
      <c r="P146" s="630"/>
    </row>
    <row r="147" spans="1:16" s="623" customFormat="1" ht="33" customHeight="1">
      <c r="A147" s="617"/>
      <c r="B147" s="58" t="s">
        <v>107</v>
      </c>
      <c r="C147" s="468" t="s">
        <v>389</v>
      </c>
      <c r="D147" s="469" t="s">
        <v>89</v>
      </c>
      <c r="E147" s="469" t="s">
        <v>129</v>
      </c>
      <c r="F147" s="631" t="s">
        <v>299</v>
      </c>
      <c r="G147" s="628" t="s">
        <v>149</v>
      </c>
      <c r="H147" s="628" t="s">
        <v>89</v>
      </c>
      <c r="I147" s="629" t="s">
        <v>152</v>
      </c>
      <c r="J147" s="619" t="s">
        <v>108</v>
      </c>
      <c r="K147" s="622">
        <v>69.5</v>
      </c>
      <c r="L147" s="460">
        <f t="shared" si="49"/>
        <v>0</v>
      </c>
      <c r="M147" s="622">
        <v>69.5</v>
      </c>
      <c r="N147" s="622">
        <v>0</v>
      </c>
    </row>
    <row r="148" spans="1:16" s="623" customFormat="1" ht="18.75">
      <c r="A148" s="617"/>
      <c r="B148" s="479" t="s">
        <v>109</v>
      </c>
      <c r="C148" s="468" t="s">
        <v>389</v>
      </c>
      <c r="D148" s="469" t="s">
        <v>89</v>
      </c>
      <c r="E148" s="469" t="s">
        <v>129</v>
      </c>
      <c r="F148" s="632" t="s">
        <v>299</v>
      </c>
      <c r="G148" s="620" t="s">
        <v>149</v>
      </c>
      <c r="H148" s="620" t="s">
        <v>89</v>
      </c>
      <c r="I148" s="621" t="s">
        <v>152</v>
      </c>
      <c r="J148" s="619" t="s">
        <v>110</v>
      </c>
      <c r="K148" s="622">
        <v>27.4</v>
      </c>
      <c r="L148" s="460">
        <f t="shared" si="49"/>
        <v>0</v>
      </c>
      <c r="M148" s="622">
        <v>27.4</v>
      </c>
      <c r="N148" s="622">
        <v>0</v>
      </c>
      <c r="O148" s="630"/>
    </row>
    <row r="149" spans="1:16" s="623" customFormat="1" ht="56.25">
      <c r="A149" s="617"/>
      <c r="B149" s="618" t="s">
        <v>92</v>
      </c>
      <c r="C149" s="468" t="s">
        <v>389</v>
      </c>
      <c r="D149" s="469" t="s">
        <v>89</v>
      </c>
      <c r="E149" s="469" t="s">
        <v>129</v>
      </c>
      <c r="F149" s="625" t="s">
        <v>93</v>
      </c>
      <c r="G149" s="620" t="s">
        <v>94</v>
      </c>
      <c r="H149" s="620" t="s">
        <v>95</v>
      </c>
      <c r="I149" s="621" t="s">
        <v>96</v>
      </c>
      <c r="J149" s="619"/>
      <c r="K149" s="622">
        <f>K150</f>
        <v>5109.8999999999996</v>
      </c>
      <c r="L149" s="622">
        <f>L150</f>
        <v>0</v>
      </c>
      <c r="M149" s="622">
        <f>M150</f>
        <v>5109.8999999999996</v>
      </c>
      <c r="N149" s="622">
        <f>N150</f>
        <v>5038.7</v>
      </c>
      <c r="P149" s="630"/>
    </row>
    <row r="150" spans="1:16" s="623" customFormat="1" ht="37.5">
      <c r="A150" s="617"/>
      <c r="B150" s="455" t="s">
        <v>455</v>
      </c>
      <c r="C150" s="468" t="s">
        <v>389</v>
      </c>
      <c r="D150" s="469" t="s">
        <v>89</v>
      </c>
      <c r="E150" s="469" t="s">
        <v>129</v>
      </c>
      <c r="F150" s="625" t="s">
        <v>93</v>
      </c>
      <c r="G150" s="620" t="s">
        <v>97</v>
      </c>
      <c r="H150" s="620" t="s">
        <v>95</v>
      </c>
      <c r="I150" s="621" t="s">
        <v>96</v>
      </c>
      <c r="J150" s="619"/>
      <c r="K150" s="622">
        <f t="shared" ref="K150:N151" si="50">K151</f>
        <v>5109.8999999999996</v>
      </c>
      <c r="L150" s="622">
        <f t="shared" si="50"/>
        <v>0</v>
      </c>
      <c r="M150" s="622">
        <f t="shared" si="50"/>
        <v>5109.8999999999996</v>
      </c>
      <c r="N150" s="622">
        <f t="shared" si="50"/>
        <v>5038.7</v>
      </c>
      <c r="P150" s="630"/>
    </row>
    <row r="151" spans="1:16" s="623" customFormat="1" ht="75">
      <c r="A151" s="617"/>
      <c r="B151" s="618" t="s">
        <v>392</v>
      </c>
      <c r="C151" s="468" t="s">
        <v>389</v>
      </c>
      <c r="D151" s="469" t="s">
        <v>89</v>
      </c>
      <c r="E151" s="469" t="s">
        <v>129</v>
      </c>
      <c r="F151" s="625" t="s">
        <v>93</v>
      </c>
      <c r="G151" s="620" t="s">
        <v>97</v>
      </c>
      <c r="H151" s="620" t="s">
        <v>140</v>
      </c>
      <c r="I151" s="621" t="s">
        <v>96</v>
      </c>
      <c r="J151" s="619"/>
      <c r="K151" s="622">
        <f t="shared" si="50"/>
        <v>5109.8999999999996</v>
      </c>
      <c r="L151" s="622">
        <f t="shared" si="50"/>
        <v>0</v>
      </c>
      <c r="M151" s="622">
        <f t="shared" si="50"/>
        <v>5109.8999999999996</v>
      </c>
      <c r="N151" s="622">
        <f t="shared" si="50"/>
        <v>5038.7</v>
      </c>
      <c r="P151" s="630"/>
    </row>
    <row r="152" spans="1:16" s="623" customFormat="1" ht="69.599999999999994" customHeight="1">
      <c r="A152" s="617"/>
      <c r="B152" s="618" t="s">
        <v>150</v>
      </c>
      <c r="C152" s="468" t="s">
        <v>389</v>
      </c>
      <c r="D152" s="469" t="s">
        <v>89</v>
      </c>
      <c r="E152" s="469" t="s">
        <v>129</v>
      </c>
      <c r="F152" s="625" t="s">
        <v>93</v>
      </c>
      <c r="G152" s="620" t="s">
        <v>97</v>
      </c>
      <c r="H152" s="620" t="s">
        <v>140</v>
      </c>
      <c r="I152" s="621" t="s">
        <v>152</v>
      </c>
      <c r="J152" s="619"/>
      <c r="K152" s="622">
        <f t="shared" ref="K152" si="51">SUM(K153:K154)</f>
        <v>5109.8999999999996</v>
      </c>
      <c r="L152" s="622">
        <f>SUM(L153:L154)</f>
        <v>0</v>
      </c>
      <c r="M152" s="622">
        <f t="shared" ref="M152:N152" si="52">SUM(M153:M154)</f>
        <v>5109.8999999999996</v>
      </c>
      <c r="N152" s="622">
        <f t="shared" si="52"/>
        <v>5038.7</v>
      </c>
      <c r="P152" s="630"/>
    </row>
    <row r="153" spans="1:16" s="623" customFormat="1" ht="85.9" customHeight="1">
      <c r="A153" s="617"/>
      <c r="B153" s="618" t="s">
        <v>101</v>
      </c>
      <c r="C153" s="468" t="s">
        <v>389</v>
      </c>
      <c r="D153" s="469" t="s">
        <v>89</v>
      </c>
      <c r="E153" s="469" t="s">
        <v>129</v>
      </c>
      <c r="F153" s="625" t="s">
        <v>93</v>
      </c>
      <c r="G153" s="620" t="s">
        <v>97</v>
      </c>
      <c r="H153" s="620" t="s">
        <v>140</v>
      </c>
      <c r="I153" s="621" t="s">
        <v>152</v>
      </c>
      <c r="J153" s="619" t="s">
        <v>102</v>
      </c>
      <c r="K153" s="622">
        <v>5038.7</v>
      </c>
      <c r="L153" s="460">
        <f t="shared" ref="L153:L154" si="53">M153-K153</f>
        <v>0</v>
      </c>
      <c r="M153" s="622">
        <v>5038.7</v>
      </c>
      <c r="N153" s="622">
        <v>5038.7</v>
      </c>
      <c r="P153" s="630"/>
    </row>
    <row r="154" spans="1:16" s="623" customFormat="1" ht="33" customHeight="1">
      <c r="A154" s="617"/>
      <c r="B154" s="58" t="s">
        <v>107</v>
      </c>
      <c r="C154" s="468" t="s">
        <v>389</v>
      </c>
      <c r="D154" s="469" t="s">
        <v>89</v>
      </c>
      <c r="E154" s="469" t="s">
        <v>129</v>
      </c>
      <c r="F154" s="632" t="s">
        <v>93</v>
      </c>
      <c r="G154" s="620" t="s">
        <v>97</v>
      </c>
      <c r="H154" s="620" t="s">
        <v>140</v>
      </c>
      <c r="I154" s="621" t="s">
        <v>152</v>
      </c>
      <c r="J154" s="619" t="s">
        <v>108</v>
      </c>
      <c r="K154" s="622">
        <v>71.2</v>
      </c>
      <c r="L154" s="460">
        <f t="shared" si="53"/>
        <v>0</v>
      </c>
      <c r="M154" s="622">
        <v>71.2</v>
      </c>
      <c r="N154" s="622">
        <v>0</v>
      </c>
      <c r="O154" s="630"/>
    </row>
    <row r="155" spans="1:16" s="636" customFormat="1" ht="18.75">
      <c r="A155" s="633"/>
      <c r="B155" s="461" t="s">
        <v>181</v>
      </c>
      <c r="C155" s="468" t="s">
        <v>389</v>
      </c>
      <c r="D155" s="469" t="s">
        <v>166</v>
      </c>
      <c r="E155" s="469"/>
      <c r="F155" s="470"/>
      <c r="G155" s="480"/>
      <c r="H155" s="480"/>
      <c r="I155" s="634"/>
      <c r="J155" s="635"/>
      <c r="K155" s="482">
        <f>K156</f>
        <v>43740.6</v>
      </c>
      <c r="L155" s="482">
        <f>L156</f>
        <v>0</v>
      </c>
      <c r="M155" s="482">
        <f>M156</f>
        <v>43740.6</v>
      </c>
      <c r="N155" s="482">
        <f t="shared" ref="K155:N158" si="54">N156</f>
        <v>43740.600000000006</v>
      </c>
      <c r="P155" s="637"/>
    </row>
    <row r="156" spans="1:16" s="636" customFormat="1" ht="18.75">
      <c r="A156" s="633"/>
      <c r="B156" s="461" t="s">
        <v>265</v>
      </c>
      <c r="C156" s="468" t="s">
        <v>389</v>
      </c>
      <c r="D156" s="469" t="s">
        <v>166</v>
      </c>
      <c r="E156" s="469" t="s">
        <v>104</v>
      </c>
      <c r="F156" s="470"/>
      <c r="G156" s="480"/>
      <c r="H156" s="480"/>
      <c r="I156" s="634"/>
      <c r="J156" s="635"/>
      <c r="K156" s="482">
        <f t="shared" si="54"/>
        <v>43740.6</v>
      </c>
      <c r="L156" s="482">
        <f t="shared" si="54"/>
        <v>0</v>
      </c>
      <c r="M156" s="482">
        <f t="shared" si="54"/>
        <v>43740.6</v>
      </c>
      <c r="N156" s="482">
        <f t="shared" si="54"/>
        <v>43740.600000000006</v>
      </c>
      <c r="P156" s="637"/>
    </row>
    <row r="157" spans="1:16" s="636" customFormat="1" ht="56.25">
      <c r="A157" s="633"/>
      <c r="B157" s="479" t="s">
        <v>379</v>
      </c>
      <c r="C157" s="468" t="s">
        <v>389</v>
      </c>
      <c r="D157" s="469" t="s">
        <v>166</v>
      </c>
      <c r="E157" s="469" t="s">
        <v>104</v>
      </c>
      <c r="F157" s="462" t="s">
        <v>138</v>
      </c>
      <c r="G157" s="458" t="s">
        <v>94</v>
      </c>
      <c r="H157" s="458" t="s">
        <v>95</v>
      </c>
      <c r="I157" s="459" t="s">
        <v>96</v>
      </c>
      <c r="J157" s="635"/>
      <c r="K157" s="482">
        <f t="shared" si="54"/>
        <v>43740.6</v>
      </c>
      <c r="L157" s="482">
        <f t="shared" si="54"/>
        <v>0</v>
      </c>
      <c r="M157" s="482">
        <f t="shared" si="54"/>
        <v>43740.6</v>
      </c>
      <c r="N157" s="482">
        <f t="shared" si="54"/>
        <v>43740.600000000006</v>
      </c>
      <c r="P157" s="637"/>
    </row>
    <row r="158" spans="1:16" s="636" customFormat="1" ht="37.5">
      <c r="A158" s="633"/>
      <c r="B158" s="58" t="s">
        <v>455</v>
      </c>
      <c r="C158" s="468" t="s">
        <v>389</v>
      </c>
      <c r="D158" s="469" t="s">
        <v>166</v>
      </c>
      <c r="E158" s="469" t="s">
        <v>104</v>
      </c>
      <c r="F158" s="470" t="s">
        <v>138</v>
      </c>
      <c r="G158" s="480" t="s">
        <v>97</v>
      </c>
      <c r="H158" s="458" t="s">
        <v>95</v>
      </c>
      <c r="I158" s="459" t="s">
        <v>96</v>
      </c>
      <c r="J158" s="635"/>
      <c r="K158" s="482">
        <f t="shared" si="54"/>
        <v>43740.6</v>
      </c>
      <c r="L158" s="482">
        <f t="shared" si="54"/>
        <v>0</v>
      </c>
      <c r="M158" s="482">
        <f t="shared" si="54"/>
        <v>43740.6</v>
      </c>
      <c r="N158" s="482">
        <f t="shared" si="54"/>
        <v>43740.600000000006</v>
      </c>
      <c r="P158" s="637"/>
    </row>
    <row r="159" spans="1:16" s="636" customFormat="1" ht="73.900000000000006" customHeight="1">
      <c r="A159" s="633"/>
      <c r="B159" s="479" t="s">
        <v>393</v>
      </c>
      <c r="C159" s="468" t="s">
        <v>389</v>
      </c>
      <c r="D159" s="469" t="s">
        <v>166</v>
      </c>
      <c r="E159" s="469" t="s">
        <v>104</v>
      </c>
      <c r="F159" s="470" t="s">
        <v>138</v>
      </c>
      <c r="G159" s="480" t="s">
        <v>97</v>
      </c>
      <c r="H159" s="480" t="s">
        <v>91</v>
      </c>
      <c r="I159" s="459" t="s">
        <v>96</v>
      </c>
      <c r="J159" s="635"/>
      <c r="K159" s="482">
        <f>K162+K160</f>
        <v>43740.6</v>
      </c>
      <c r="L159" s="482">
        <f>L162+L160</f>
        <v>0</v>
      </c>
      <c r="M159" s="482">
        <f>M162+M160</f>
        <v>43740.6</v>
      </c>
      <c r="N159" s="482">
        <f>N162+N160</f>
        <v>43740.600000000006</v>
      </c>
      <c r="P159" s="637"/>
    </row>
    <row r="160" spans="1:16" s="636" customFormat="1" ht="112.5">
      <c r="A160" s="633"/>
      <c r="B160" s="479" t="s">
        <v>394</v>
      </c>
      <c r="C160" s="468" t="s">
        <v>389</v>
      </c>
      <c r="D160" s="469" t="s">
        <v>166</v>
      </c>
      <c r="E160" s="469" t="s">
        <v>104</v>
      </c>
      <c r="F160" s="470" t="s">
        <v>138</v>
      </c>
      <c r="G160" s="480" t="s">
        <v>97</v>
      </c>
      <c r="H160" s="480" t="s">
        <v>91</v>
      </c>
      <c r="I160" s="471" t="s">
        <v>706</v>
      </c>
      <c r="J160" s="635"/>
      <c r="K160" s="460">
        <f>K161</f>
        <v>35547.1</v>
      </c>
      <c r="L160" s="460">
        <f>L161</f>
        <v>0</v>
      </c>
      <c r="M160" s="460">
        <f>M161</f>
        <v>35547.1</v>
      </c>
      <c r="N160" s="460">
        <f>N161</f>
        <v>35547.100000000006</v>
      </c>
      <c r="P160" s="637"/>
    </row>
    <row r="161" spans="1:17" s="636" customFormat="1" ht="56.25">
      <c r="A161" s="633"/>
      <c r="B161" s="479" t="s">
        <v>275</v>
      </c>
      <c r="C161" s="468" t="s">
        <v>389</v>
      </c>
      <c r="D161" s="469" t="s">
        <v>166</v>
      </c>
      <c r="E161" s="469" t="s">
        <v>104</v>
      </c>
      <c r="F161" s="470" t="s">
        <v>138</v>
      </c>
      <c r="G161" s="480" t="s">
        <v>97</v>
      </c>
      <c r="H161" s="480" t="s">
        <v>91</v>
      </c>
      <c r="I161" s="471" t="s">
        <v>706</v>
      </c>
      <c r="J161" s="635" t="s">
        <v>276</v>
      </c>
      <c r="K161" s="482">
        <f>23307.1-62+12302</f>
        <v>35547.1</v>
      </c>
      <c r="L161" s="460">
        <f>M161-K161</f>
        <v>0</v>
      </c>
      <c r="M161" s="482">
        <f>23307.1-62+12302</f>
        <v>35547.1</v>
      </c>
      <c r="N161" s="482">
        <f>23308.4-63.3+12302</f>
        <v>35547.100000000006</v>
      </c>
      <c r="P161" s="637"/>
    </row>
    <row r="162" spans="1:17" s="636" customFormat="1" ht="112.5">
      <c r="A162" s="633"/>
      <c r="B162" s="479" t="s">
        <v>394</v>
      </c>
      <c r="C162" s="468" t="s">
        <v>389</v>
      </c>
      <c r="D162" s="469" t="s">
        <v>166</v>
      </c>
      <c r="E162" s="469" t="s">
        <v>104</v>
      </c>
      <c r="F162" s="470" t="s">
        <v>138</v>
      </c>
      <c r="G162" s="480" t="s">
        <v>97</v>
      </c>
      <c r="H162" s="480" t="s">
        <v>91</v>
      </c>
      <c r="I162" s="471" t="s">
        <v>395</v>
      </c>
      <c r="J162" s="481"/>
      <c r="K162" s="460">
        <f>K163</f>
        <v>8193.5</v>
      </c>
      <c r="L162" s="460">
        <f>L163</f>
        <v>0</v>
      </c>
      <c r="M162" s="460">
        <f>M163</f>
        <v>8193.5</v>
      </c>
      <c r="N162" s="460">
        <f>N163</f>
        <v>8193.5</v>
      </c>
      <c r="O162" s="637"/>
    </row>
    <row r="163" spans="1:17" s="636" customFormat="1" ht="56.25">
      <c r="A163" s="633"/>
      <c r="B163" s="479" t="s">
        <v>275</v>
      </c>
      <c r="C163" s="468" t="s">
        <v>389</v>
      </c>
      <c r="D163" s="469" t="s">
        <v>166</v>
      </c>
      <c r="E163" s="469" t="s">
        <v>104</v>
      </c>
      <c r="F163" s="470" t="s">
        <v>138</v>
      </c>
      <c r="G163" s="480" t="s">
        <v>97</v>
      </c>
      <c r="H163" s="480" t="s">
        <v>91</v>
      </c>
      <c r="I163" s="471" t="s">
        <v>395</v>
      </c>
      <c r="J163" s="481" t="s">
        <v>276</v>
      </c>
      <c r="K163" s="482">
        <f>7759.1+434.4</f>
        <v>8193.5</v>
      </c>
      <c r="L163" s="460">
        <f>M163-K163</f>
        <v>0</v>
      </c>
      <c r="M163" s="482">
        <f>7759.1+434.4</f>
        <v>8193.5</v>
      </c>
      <c r="N163" s="482">
        <f>9052.2-858.7</f>
        <v>8193.5</v>
      </c>
      <c r="O163" s="637"/>
    </row>
    <row r="164" spans="1:17" s="626" customFormat="1" ht="18.75">
      <c r="A164" s="617"/>
      <c r="B164" s="618"/>
      <c r="C164" s="638"/>
      <c r="D164" s="639"/>
      <c r="E164" s="639"/>
      <c r="F164" s="640"/>
      <c r="G164" s="640"/>
      <c r="H164" s="640"/>
      <c r="I164" s="641"/>
      <c r="J164" s="639"/>
      <c r="K164" s="622"/>
      <c r="L164" s="622"/>
      <c r="M164" s="622"/>
      <c r="N164" s="622"/>
    </row>
    <row r="165" spans="1:17" s="597" customFormat="1" ht="56.25">
      <c r="A165" s="590">
        <v>5</v>
      </c>
      <c r="B165" s="591" t="s">
        <v>53</v>
      </c>
      <c r="C165" s="592" t="s">
        <v>344</v>
      </c>
      <c r="D165" s="593"/>
      <c r="E165" s="593"/>
      <c r="F165" s="594"/>
      <c r="G165" s="594"/>
      <c r="H165" s="594"/>
      <c r="I165" s="595"/>
      <c r="J165" s="593"/>
      <c r="K165" s="596">
        <f>K166+K241</f>
        <v>841442.49999999977</v>
      </c>
      <c r="L165" s="596">
        <f>L166+L241</f>
        <v>-2.9132252166164108E-12</v>
      </c>
      <c r="M165" s="596">
        <f>M166+M241</f>
        <v>841442.49999999977</v>
      </c>
      <c r="N165" s="596">
        <f>N166+N241</f>
        <v>818155.59999999986</v>
      </c>
      <c r="P165" s="642"/>
      <c r="Q165" s="642"/>
    </row>
    <row r="166" spans="1:17" s="598" customFormat="1" ht="18.75">
      <c r="A166" s="583"/>
      <c r="B166" s="455" t="s">
        <v>247</v>
      </c>
      <c r="C166" s="456" t="s">
        <v>344</v>
      </c>
      <c r="D166" s="457" t="s">
        <v>297</v>
      </c>
      <c r="E166" s="457"/>
      <c r="F166" s="458"/>
      <c r="G166" s="458"/>
      <c r="H166" s="458"/>
      <c r="I166" s="459"/>
      <c r="J166" s="457"/>
      <c r="K166" s="460">
        <f>K167+K182+K227+K206+K219</f>
        <v>832373.29999999981</v>
      </c>
      <c r="L166" s="460">
        <f>L167+L182+L227+L206+L219</f>
        <v>-2.9132252166164108E-12</v>
      </c>
      <c r="M166" s="460">
        <f>M167+M182+M227+M206+M219</f>
        <v>832373.29999999981</v>
      </c>
      <c r="N166" s="460">
        <f>N167+N182+N227+N206+N219</f>
        <v>809086.39999999991</v>
      </c>
      <c r="P166" s="643"/>
      <c r="Q166" s="643"/>
    </row>
    <row r="167" spans="1:17" s="597" customFormat="1" ht="18.75">
      <c r="A167" s="583"/>
      <c r="B167" s="455" t="s">
        <v>249</v>
      </c>
      <c r="C167" s="456" t="s">
        <v>344</v>
      </c>
      <c r="D167" s="457" t="s">
        <v>297</v>
      </c>
      <c r="E167" s="457" t="s">
        <v>89</v>
      </c>
      <c r="F167" s="458"/>
      <c r="G167" s="458"/>
      <c r="H167" s="458"/>
      <c r="I167" s="459"/>
      <c r="J167" s="457"/>
      <c r="K167" s="460">
        <f t="shared" ref="K167:N169" si="55">K168</f>
        <v>282079.3</v>
      </c>
      <c r="L167" s="460">
        <f>L168+L177</f>
        <v>-2.9132252166164108E-12</v>
      </c>
      <c r="M167" s="460">
        <f t="shared" ref="M167:N167" si="56">M168+M177</f>
        <v>282079.3</v>
      </c>
      <c r="N167" s="460">
        <f t="shared" si="56"/>
        <v>268897.90000000002</v>
      </c>
    </row>
    <row r="168" spans="1:17" s="597" customFormat="1" ht="56.25">
      <c r="A168" s="583"/>
      <c r="B168" s="455" t="s">
        <v>277</v>
      </c>
      <c r="C168" s="456" t="s">
        <v>344</v>
      </c>
      <c r="D168" s="457" t="s">
        <v>297</v>
      </c>
      <c r="E168" s="457" t="s">
        <v>89</v>
      </c>
      <c r="F168" s="458" t="s">
        <v>91</v>
      </c>
      <c r="G168" s="458" t="s">
        <v>94</v>
      </c>
      <c r="H168" s="458" t="s">
        <v>95</v>
      </c>
      <c r="I168" s="459" t="s">
        <v>96</v>
      </c>
      <c r="J168" s="457"/>
      <c r="K168" s="460">
        <f t="shared" si="55"/>
        <v>282079.3</v>
      </c>
      <c r="L168" s="460">
        <f t="shared" si="55"/>
        <v>-51.30000000000291</v>
      </c>
      <c r="M168" s="460">
        <f t="shared" si="55"/>
        <v>282028</v>
      </c>
      <c r="N168" s="460">
        <f t="shared" si="55"/>
        <v>268897.90000000002</v>
      </c>
    </row>
    <row r="169" spans="1:17" s="597" customFormat="1" ht="37.5">
      <c r="A169" s="583"/>
      <c r="B169" s="455" t="s">
        <v>278</v>
      </c>
      <c r="C169" s="456" t="s">
        <v>344</v>
      </c>
      <c r="D169" s="457" t="s">
        <v>297</v>
      </c>
      <c r="E169" s="457" t="s">
        <v>89</v>
      </c>
      <c r="F169" s="458" t="s">
        <v>91</v>
      </c>
      <c r="G169" s="458" t="s">
        <v>97</v>
      </c>
      <c r="H169" s="458" t="s">
        <v>95</v>
      </c>
      <c r="I169" s="459" t="s">
        <v>96</v>
      </c>
      <c r="J169" s="457"/>
      <c r="K169" s="460">
        <f t="shared" si="55"/>
        <v>282079.3</v>
      </c>
      <c r="L169" s="460">
        <f t="shared" si="55"/>
        <v>-51.30000000000291</v>
      </c>
      <c r="M169" s="460">
        <f t="shared" si="55"/>
        <v>282028</v>
      </c>
      <c r="N169" s="460">
        <f t="shared" si="55"/>
        <v>268897.90000000002</v>
      </c>
    </row>
    <row r="170" spans="1:17" s="597" customFormat="1" ht="15.6" customHeight="1">
      <c r="A170" s="583"/>
      <c r="B170" s="455" t="s">
        <v>345</v>
      </c>
      <c r="C170" s="456" t="s">
        <v>344</v>
      </c>
      <c r="D170" s="457" t="s">
        <v>297</v>
      </c>
      <c r="E170" s="457" t="s">
        <v>89</v>
      </c>
      <c r="F170" s="458" t="s">
        <v>91</v>
      </c>
      <c r="G170" s="458" t="s">
        <v>97</v>
      </c>
      <c r="H170" s="458" t="s">
        <v>89</v>
      </c>
      <c r="I170" s="459" t="s">
        <v>96</v>
      </c>
      <c r="J170" s="457"/>
      <c r="K170" s="460">
        <f>K173+K175+K171</f>
        <v>282079.3</v>
      </c>
      <c r="L170" s="460">
        <f>L173+L175+L171</f>
        <v>-51.30000000000291</v>
      </c>
      <c r="M170" s="460">
        <f>M173+M175+M171</f>
        <v>282028</v>
      </c>
      <c r="N170" s="460">
        <f>N173+N175+N171</f>
        <v>268897.90000000002</v>
      </c>
      <c r="P170" s="644"/>
    </row>
    <row r="171" spans="1:17" s="599" customFormat="1" ht="71.45" customHeight="1">
      <c r="A171" s="583"/>
      <c r="B171" s="455" t="s">
        <v>150</v>
      </c>
      <c r="C171" s="456" t="s">
        <v>344</v>
      </c>
      <c r="D171" s="457" t="s">
        <v>297</v>
      </c>
      <c r="E171" s="457" t="s">
        <v>89</v>
      </c>
      <c r="F171" s="458" t="s">
        <v>91</v>
      </c>
      <c r="G171" s="458" t="s">
        <v>97</v>
      </c>
      <c r="H171" s="458" t="s">
        <v>89</v>
      </c>
      <c r="I171" s="459" t="s">
        <v>152</v>
      </c>
      <c r="J171" s="457"/>
      <c r="K171" s="460">
        <f>K172</f>
        <v>80461.899999999994</v>
      </c>
      <c r="L171" s="460">
        <f>L172</f>
        <v>-51.30000000000291</v>
      </c>
      <c r="M171" s="460">
        <f>M172</f>
        <v>80410.599999999991</v>
      </c>
      <c r="N171" s="460">
        <f>N172</f>
        <v>67259.399999999994</v>
      </c>
      <c r="P171" s="645"/>
    </row>
    <row r="172" spans="1:17" s="599" customFormat="1" ht="55.9" customHeight="1">
      <c r="A172" s="583"/>
      <c r="B172" s="455" t="s">
        <v>134</v>
      </c>
      <c r="C172" s="456" t="s">
        <v>344</v>
      </c>
      <c r="D172" s="457" t="s">
        <v>297</v>
      </c>
      <c r="E172" s="457" t="s">
        <v>89</v>
      </c>
      <c r="F172" s="458" t="s">
        <v>91</v>
      </c>
      <c r="G172" s="458" t="s">
        <v>97</v>
      </c>
      <c r="H172" s="458" t="s">
        <v>89</v>
      </c>
      <c r="I172" s="459" t="s">
        <v>152</v>
      </c>
      <c r="J172" s="457" t="s">
        <v>135</v>
      </c>
      <c r="K172" s="460">
        <v>80461.899999999994</v>
      </c>
      <c r="L172" s="668">
        <f>M172-K172</f>
        <v>-51.30000000000291</v>
      </c>
      <c r="M172" s="460">
        <f>80461.9-51.3</f>
        <v>80410.599999999991</v>
      </c>
      <c r="N172" s="460">
        <v>67259.399999999994</v>
      </c>
      <c r="P172" s="645"/>
    </row>
    <row r="173" spans="1:17" s="597" customFormat="1" ht="175.15" customHeight="1">
      <c r="A173" s="583"/>
      <c r="B173" s="455" t="s">
        <v>346</v>
      </c>
      <c r="C173" s="456" t="s">
        <v>344</v>
      </c>
      <c r="D173" s="457" t="s">
        <v>297</v>
      </c>
      <c r="E173" s="457" t="s">
        <v>89</v>
      </c>
      <c r="F173" s="458" t="s">
        <v>91</v>
      </c>
      <c r="G173" s="458" t="s">
        <v>97</v>
      </c>
      <c r="H173" s="458" t="s">
        <v>89</v>
      </c>
      <c r="I173" s="459" t="s">
        <v>347</v>
      </c>
      <c r="J173" s="457"/>
      <c r="K173" s="460">
        <f>K174</f>
        <v>529.5</v>
      </c>
      <c r="L173" s="460">
        <f>L174</f>
        <v>0</v>
      </c>
      <c r="M173" s="460">
        <f>M174</f>
        <v>529.5</v>
      </c>
      <c r="N173" s="460">
        <f>N174</f>
        <v>550.59999999999991</v>
      </c>
      <c r="P173" s="644"/>
    </row>
    <row r="174" spans="1:17" s="597" customFormat="1" ht="56.25">
      <c r="A174" s="583"/>
      <c r="B174" s="455" t="s">
        <v>134</v>
      </c>
      <c r="C174" s="456" t="s">
        <v>344</v>
      </c>
      <c r="D174" s="457" t="s">
        <v>297</v>
      </c>
      <c r="E174" s="457" t="s">
        <v>89</v>
      </c>
      <c r="F174" s="458" t="s">
        <v>91</v>
      </c>
      <c r="G174" s="458" t="s">
        <v>97</v>
      </c>
      <c r="H174" s="458" t="s">
        <v>89</v>
      </c>
      <c r="I174" s="459" t="s">
        <v>347</v>
      </c>
      <c r="J174" s="457" t="s">
        <v>135</v>
      </c>
      <c r="K174" s="460">
        <f>579.2-49.7</f>
        <v>529.5</v>
      </c>
      <c r="L174" s="460">
        <f>M174-K174</f>
        <v>0</v>
      </c>
      <c r="M174" s="460">
        <f>579.2-49.7</f>
        <v>529.5</v>
      </c>
      <c r="N174" s="460">
        <f>593.8-43.2</f>
        <v>550.59999999999991</v>
      </c>
    </row>
    <row r="175" spans="1:17" s="597" customFormat="1" ht="131.25">
      <c r="A175" s="583"/>
      <c r="B175" s="455" t="s">
        <v>467</v>
      </c>
      <c r="C175" s="456" t="s">
        <v>344</v>
      </c>
      <c r="D175" s="457" t="s">
        <v>297</v>
      </c>
      <c r="E175" s="457" t="s">
        <v>89</v>
      </c>
      <c r="F175" s="458" t="s">
        <v>91</v>
      </c>
      <c r="G175" s="458" t="s">
        <v>97</v>
      </c>
      <c r="H175" s="458" t="s">
        <v>89</v>
      </c>
      <c r="I175" s="459" t="s">
        <v>348</v>
      </c>
      <c r="J175" s="457"/>
      <c r="K175" s="460">
        <f>K176</f>
        <v>201087.9</v>
      </c>
      <c r="L175" s="460">
        <f>L176</f>
        <v>0</v>
      </c>
      <c r="M175" s="460">
        <f>M176</f>
        <v>201087.9</v>
      </c>
      <c r="N175" s="460">
        <f>N176</f>
        <v>201087.9</v>
      </c>
    </row>
    <row r="176" spans="1:17" s="597" customFormat="1" ht="56.25">
      <c r="A176" s="583"/>
      <c r="B176" s="455" t="s">
        <v>134</v>
      </c>
      <c r="C176" s="456" t="s">
        <v>344</v>
      </c>
      <c r="D176" s="457" t="s">
        <v>297</v>
      </c>
      <c r="E176" s="457" t="s">
        <v>89</v>
      </c>
      <c r="F176" s="458" t="s">
        <v>91</v>
      </c>
      <c r="G176" s="458" t="s">
        <v>97</v>
      </c>
      <c r="H176" s="458" t="s">
        <v>89</v>
      </c>
      <c r="I176" s="459" t="s">
        <v>348</v>
      </c>
      <c r="J176" s="457" t="s">
        <v>135</v>
      </c>
      <c r="K176" s="460">
        <v>201087.9</v>
      </c>
      <c r="L176" s="460">
        <f>M176-K176</f>
        <v>0</v>
      </c>
      <c r="M176" s="460">
        <v>201087.9</v>
      </c>
      <c r="N176" s="460">
        <v>201087.9</v>
      </c>
    </row>
    <row r="177" spans="1:14" s="671" customFormat="1" ht="56.25">
      <c r="A177" s="669"/>
      <c r="B177" s="91" t="s">
        <v>306</v>
      </c>
      <c r="C177" s="670" t="s">
        <v>344</v>
      </c>
      <c r="D177" s="540" t="s">
        <v>297</v>
      </c>
      <c r="E177" s="540" t="s">
        <v>89</v>
      </c>
      <c r="F177" s="538" t="s">
        <v>307</v>
      </c>
      <c r="G177" s="538" t="s">
        <v>94</v>
      </c>
      <c r="H177" s="538" t="s">
        <v>95</v>
      </c>
      <c r="I177" s="539" t="s">
        <v>96</v>
      </c>
      <c r="J177" s="540"/>
      <c r="K177" s="668"/>
      <c r="L177" s="668">
        <f t="shared" ref="L177:M180" si="57">L178</f>
        <v>51.3</v>
      </c>
      <c r="M177" s="668">
        <f t="shared" si="57"/>
        <v>51.3</v>
      </c>
      <c r="N177" s="668"/>
    </row>
    <row r="178" spans="1:14" s="671" customFormat="1" ht="37.5">
      <c r="A178" s="669"/>
      <c r="B178" s="91" t="s">
        <v>455</v>
      </c>
      <c r="C178" s="670" t="s">
        <v>344</v>
      </c>
      <c r="D178" s="540" t="s">
        <v>297</v>
      </c>
      <c r="E178" s="540" t="s">
        <v>89</v>
      </c>
      <c r="F178" s="538" t="s">
        <v>307</v>
      </c>
      <c r="G178" s="538" t="s">
        <v>97</v>
      </c>
      <c r="H178" s="538" t="s">
        <v>95</v>
      </c>
      <c r="I178" s="539" t="s">
        <v>96</v>
      </c>
      <c r="J178" s="540"/>
      <c r="K178" s="668"/>
      <c r="L178" s="668">
        <f t="shared" si="57"/>
        <v>51.3</v>
      </c>
      <c r="M178" s="668">
        <f t="shared" si="57"/>
        <v>51.3</v>
      </c>
      <c r="N178" s="668"/>
    </row>
    <row r="179" spans="1:14" s="671" customFormat="1" ht="75">
      <c r="A179" s="669"/>
      <c r="B179" s="91" t="s">
        <v>365</v>
      </c>
      <c r="C179" s="670" t="s">
        <v>344</v>
      </c>
      <c r="D179" s="540" t="s">
        <v>297</v>
      </c>
      <c r="E179" s="540" t="s">
        <v>89</v>
      </c>
      <c r="F179" s="538" t="s">
        <v>307</v>
      </c>
      <c r="G179" s="538" t="s">
        <v>97</v>
      </c>
      <c r="H179" s="538" t="s">
        <v>89</v>
      </c>
      <c r="I179" s="539" t="s">
        <v>96</v>
      </c>
      <c r="J179" s="540"/>
      <c r="K179" s="668"/>
      <c r="L179" s="668">
        <f t="shared" si="57"/>
        <v>51.3</v>
      </c>
      <c r="M179" s="668">
        <f t="shared" si="57"/>
        <v>51.3</v>
      </c>
      <c r="N179" s="668"/>
    </row>
    <row r="180" spans="1:14" s="671" customFormat="1" ht="37.5">
      <c r="A180" s="669"/>
      <c r="B180" s="91" t="s">
        <v>308</v>
      </c>
      <c r="C180" s="670" t="s">
        <v>344</v>
      </c>
      <c r="D180" s="540" t="s">
        <v>297</v>
      </c>
      <c r="E180" s="540" t="s">
        <v>89</v>
      </c>
      <c r="F180" s="538" t="s">
        <v>307</v>
      </c>
      <c r="G180" s="538" t="s">
        <v>97</v>
      </c>
      <c r="H180" s="538" t="s">
        <v>89</v>
      </c>
      <c r="I180" s="539" t="s">
        <v>359</v>
      </c>
      <c r="J180" s="540"/>
      <c r="K180" s="668"/>
      <c r="L180" s="668">
        <f t="shared" si="57"/>
        <v>51.3</v>
      </c>
      <c r="M180" s="668">
        <f t="shared" si="57"/>
        <v>51.3</v>
      </c>
      <c r="N180" s="668"/>
    </row>
    <row r="181" spans="1:14" s="671" customFormat="1" ht="56.25">
      <c r="A181" s="669"/>
      <c r="B181" s="455" t="s">
        <v>134</v>
      </c>
      <c r="C181" s="670" t="s">
        <v>344</v>
      </c>
      <c r="D181" s="540" t="s">
        <v>297</v>
      </c>
      <c r="E181" s="540" t="s">
        <v>89</v>
      </c>
      <c r="F181" s="538" t="s">
        <v>307</v>
      </c>
      <c r="G181" s="538" t="s">
        <v>97</v>
      </c>
      <c r="H181" s="538" t="s">
        <v>89</v>
      </c>
      <c r="I181" s="539" t="s">
        <v>359</v>
      </c>
      <c r="J181" s="540" t="s">
        <v>135</v>
      </c>
      <c r="K181" s="668"/>
      <c r="L181" s="460">
        <f>M181-K181</f>
        <v>51.3</v>
      </c>
      <c r="M181" s="668">
        <v>51.3</v>
      </c>
      <c r="N181" s="668"/>
    </row>
    <row r="182" spans="1:14" s="597" customFormat="1" ht="18.75">
      <c r="A182" s="583"/>
      <c r="B182" s="455" t="s">
        <v>251</v>
      </c>
      <c r="C182" s="456" t="s">
        <v>344</v>
      </c>
      <c r="D182" s="457" t="s">
        <v>297</v>
      </c>
      <c r="E182" s="457" t="s">
        <v>91</v>
      </c>
      <c r="F182" s="458"/>
      <c r="G182" s="458"/>
      <c r="H182" s="458"/>
      <c r="I182" s="459"/>
      <c r="J182" s="457"/>
      <c r="K182" s="460">
        <f>K183</f>
        <v>463725.29999999993</v>
      </c>
      <c r="L182" s="460">
        <f>L183</f>
        <v>0</v>
      </c>
      <c r="M182" s="460">
        <f>M183</f>
        <v>463725.29999999993</v>
      </c>
      <c r="N182" s="460">
        <f>N183</f>
        <v>456174.89999999991</v>
      </c>
    </row>
    <row r="183" spans="1:14" s="597" customFormat="1" ht="56.25">
      <c r="A183" s="583"/>
      <c r="B183" s="455" t="s">
        <v>277</v>
      </c>
      <c r="C183" s="456" t="s">
        <v>344</v>
      </c>
      <c r="D183" s="457" t="s">
        <v>297</v>
      </c>
      <c r="E183" s="457" t="s">
        <v>91</v>
      </c>
      <c r="F183" s="458" t="s">
        <v>91</v>
      </c>
      <c r="G183" s="458" t="s">
        <v>94</v>
      </c>
      <c r="H183" s="458" t="s">
        <v>95</v>
      </c>
      <c r="I183" s="459" t="s">
        <v>96</v>
      </c>
      <c r="J183" s="457"/>
      <c r="K183" s="460">
        <f>K184+K202</f>
        <v>463725.29999999993</v>
      </c>
      <c r="L183" s="460">
        <f>L184+L202</f>
        <v>0</v>
      </c>
      <c r="M183" s="460">
        <f>M184+M202</f>
        <v>463725.29999999993</v>
      </c>
      <c r="N183" s="460">
        <f>N184+N202</f>
        <v>456174.89999999991</v>
      </c>
    </row>
    <row r="184" spans="1:14" s="597" customFormat="1" ht="37.5">
      <c r="A184" s="583"/>
      <c r="B184" s="455" t="s">
        <v>278</v>
      </c>
      <c r="C184" s="456" t="s">
        <v>344</v>
      </c>
      <c r="D184" s="457" t="s">
        <v>297</v>
      </c>
      <c r="E184" s="457" t="s">
        <v>91</v>
      </c>
      <c r="F184" s="458" t="s">
        <v>91</v>
      </c>
      <c r="G184" s="458" t="s">
        <v>97</v>
      </c>
      <c r="H184" s="458" t="s">
        <v>95</v>
      </c>
      <c r="I184" s="459" t="s">
        <v>96</v>
      </c>
      <c r="J184" s="457"/>
      <c r="K184" s="460">
        <f>K185</f>
        <v>461653.19999999995</v>
      </c>
      <c r="L184" s="460">
        <f>L185</f>
        <v>0</v>
      </c>
      <c r="M184" s="460">
        <f>M185</f>
        <v>461653.19999999995</v>
      </c>
      <c r="N184" s="460">
        <f>N185</f>
        <v>454102.79999999993</v>
      </c>
    </row>
    <row r="185" spans="1:14" s="597" customFormat="1" ht="18.75">
      <c r="A185" s="583"/>
      <c r="B185" s="455" t="s">
        <v>350</v>
      </c>
      <c r="C185" s="456" t="s">
        <v>344</v>
      </c>
      <c r="D185" s="457" t="s">
        <v>297</v>
      </c>
      <c r="E185" s="457" t="s">
        <v>91</v>
      </c>
      <c r="F185" s="458" t="s">
        <v>91</v>
      </c>
      <c r="G185" s="458" t="s">
        <v>97</v>
      </c>
      <c r="H185" s="458" t="s">
        <v>91</v>
      </c>
      <c r="I185" s="459" t="s">
        <v>96</v>
      </c>
      <c r="J185" s="457"/>
      <c r="K185" s="460">
        <f>K191+K195+K199+K186</f>
        <v>461653.19999999995</v>
      </c>
      <c r="L185" s="460">
        <f>L191+L195+L199+L186</f>
        <v>0</v>
      </c>
      <c r="M185" s="460">
        <f>M191+M195+M199+M186</f>
        <v>461653.19999999995</v>
      </c>
      <c r="N185" s="460">
        <f>N191+N195+N199+N186</f>
        <v>454102.79999999993</v>
      </c>
    </row>
    <row r="186" spans="1:14" s="599" customFormat="1" ht="73.900000000000006" customHeight="1">
      <c r="A186" s="583"/>
      <c r="B186" s="455" t="s">
        <v>150</v>
      </c>
      <c r="C186" s="456" t="s">
        <v>344</v>
      </c>
      <c r="D186" s="457" t="s">
        <v>297</v>
      </c>
      <c r="E186" s="457" t="s">
        <v>91</v>
      </c>
      <c r="F186" s="458" t="s">
        <v>91</v>
      </c>
      <c r="G186" s="458" t="s">
        <v>97</v>
      </c>
      <c r="H186" s="458" t="s">
        <v>91</v>
      </c>
      <c r="I186" s="459" t="s">
        <v>152</v>
      </c>
      <c r="J186" s="457"/>
      <c r="K186" s="460">
        <f>SUM(K187:K190)</f>
        <v>71283.799999999988</v>
      </c>
      <c r="L186" s="460">
        <f>SUM(L187:L190)</f>
        <v>0</v>
      </c>
      <c r="M186" s="460">
        <f>SUM(M187:M190)</f>
        <v>71283.799999999988</v>
      </c>
      <c r="N186" s="460">
        <f>SUM(N187:N190)</f>
        <v>63584.600000000006</v>
      </c>
    </row>
    <row r="187" spans="1:14" s="599" customFormat="1" ht="93" customHeight="1">
      <c r="A187" s="583"/>
      <c r="B187" s="58" t="s">
        <v>101</v>
      </c>
      <c r="C187" s="456" t="s">
        <v>344</v>
      </c>
      <c r="D187" s="457" t="s">
        <v>297</v>
      </c>
      <c r="E187" s="457" t="s">
        <v>91</v>
      </c>
      <c r="F187" s="462" t="s">
        <v>91</v>
      </c>
      <c r="G187" s="458" t="s">
        <v>97</v>
      </c>
      <c r="H187" s="458" t="s">
        <v>91</v>
      </c>
      <c r="I187" s="459" t="s">
        <v>152</v>
      </c>
      <c r="J187" s="457" t="s">
        <v>102</v>
      </c>
      <c r="K187" s="460">
        <v>3791.6</v>
      </c>
      <c r="L187" s="460">
        <f t="shared" ref="L187:L190" si="58">M187-K187</f>
        <v>0</v>
      </c>
      <c r="M187" s="460">
        <v>3791.6</v>
      </c>
      <c r="N187" s="460">
        <v>3791.6</v>
      </c>
    </row>
    <row r="188" spans="1:14" s="599" customFormat="1" ht="36.6" customHeight="1">
      <c r="A188" s="583"/>
      <c r="B188" s="58" t="s">
        <v>107</v>
      </c>
      <c r="C188" s="456" t="s">
        <v>344</v>
      </c>
      <c r="D188" s="457" t="s">
        <v>297</v>
      </c>
      <c r="E188" s="457" t="s">
        <v>91</v>
      </c>
      <c r="F188" s="462" t="s">
        <v>91</v>
      </c>
      <c r="G188" s="458" t="s">
        <v>97</v>
      </c>
      <c r="H188" s="458" t="s">
        <v>91</v>
      </c>
      <c r="I188" s="459" t="s">
        <v>152</v>
      </c>
      <c r="J188" s="457" t="s">
        <v>108</v>
      </c>
      <c r="K188" s="460">
        <v>3218.8</v>
      </c>
      <c r="L188" s="460">
        <f t="shared" si="58"/>
        <v>0</v>
      </c>
      <c r="M188" s="460">
        <v>3218.8</v>
      </c>
      <c r="N188" s="460">
        <v>1518.2</v>
      </c>
    </row>
    <row r="189" spans="1:14" s="599" customFormat="1" ht="56.25">
      <c r="A189" s="583"/>
      <c r="B189" s="455" t="s">
        <v>134</v>
      </c>
      <c r="C189" s="456" t="s">
        <v>344</v>
      </c>
      <c r="D189" s="457" t="s">
        <v>297</v>
      </c>
      <c r="E189" s="457" t="s">
        <v>91</v>
      </c>
      <c r="F189" s="458" t="s">
        <v>91</v>
      </c>
      <c r="G189" s="458" t="s">
        <v>97</v>
      </c>
      <c r="H189" s="458" t="s">
        <v>91</v>
      </c>
      <c r="I189" s="459" t="s">
        <v>152</v>
      </c>
      <c r="J189" s="457" t="s">
        <v>135</v>
      </c>
      <c r="K189" s="460">
        <f>63783.2-198</f>
        <v>63585.2</v>
      </c>
      <c r="L189" s="460">
        <f t="shared" si="58"/>
        <v>0</v>
      </c>
      <c r="M189" s="460">
        <f>63783.2-198</f>
        <v>63585.2</v>
      </c>
      <c r="N189" s="460">
        <f>57796.9-197.5</f>
        <v>57599.4</v>
      </c>
    </row>
    <row r="190" spans="1:14" s="599" customFormat="1" ht="18.75">
      <c r="A190" s="583"/>
      <c r="B190" s="455" t="s">
        <v>109</v>
      </c>
      <c r="C190" s="456" t="s">
        <v>344</v>
      </c>
      <c r="D190" s="457" t="s">
        <v>297</v>
      </c>
      <c r="E190" s="457" t="s">
        <v>91</v>
      </c>
      <c r="F190" s="458" t="s">
        <v>91</v>
      </c>
      <c r="G190" s="458" t="s">
        <v>97</v>
      </c>
      <c r="H190" s="458" t="s">
        <v>91</v>
      </c>
      <c r="I190" s="459" t="s">
        <v>152</v>
      </c>
      <c r="J190" s="457" t="s">
        <v>110</v>
      </c>
      <c r="K190" s="460">
        <v>688.2</v>
      </c>
      <c r="L190" s="460">
        <f t="shared" si="58"/>
        <v>0</v>
      </c>
      <c r="M190" s="460">
        <v>688.2</v>
      </c>
      <c r="N190" s="460">
        <v>675.4</v>
      </c>
    </row>
    <row r="191" spans="1:14" s="597" customFormat="1" ht="18.75">
      <c r="A191" s="583"/>
      <c r="B191" s="455" t="s">
        <v>346</v>
      </c>
      <c r="C191" s="456" t="s">
        <v>344</v>
      </c>
      <c r="D191" s="457" t="s">
        <v>297</v>
      </c>
      <c r="E191" s="457" t="s">
        <v>91</v>
      </c>
      <c r="F191" s="458" t="s">
        <v>91</v>
      </c>
      <c r="G191" s="458" t="s">
        <v>97</v>
      </c>
      <c r="H191" s="458" t="s">
        <v>91</v>
      </c>
      <c r="I191" s="459" t="s">
        <v>347</v>
      </c>
      <c r="J191" s="457"/>
      <c r="K191" s="460">
        <f>SUM(K192:K194)</f>
        <v>1829.1</v>
      </c>
      <c r="L191" s="460">
        <f>SUM(L192:L194)</f>
        <v>0</v>
      </c>
      <c r="M191" s="460">
        <f>SUM(M192:M194)</f>
        <v>1829.1</v>
      </c>
      <c r="N191" s="460">
        <f>SUM(N192:N194)</f>
        <v>1902.3</v>
      </c>
    </row>
    <row r="192" spans="1:14" s="597" customFormat="1" ht="94.9" customHeight="1">
      <c r="A192" s="583"/>
      <c r="B192" s="58" t="s">
        <v>101</v>
      </c>
      <c r="C192" s="456" t="s">
        <v>344</v>
      </c>
      <c r="D192" s="457" t="s">
        <v>297</v>
      </c>
      <c r="E192" s="457" t="s">
        <v>91</v>
      </c>
      <c r="F192" s="462" t="s">
        <v>91</v>
      </c>
      <c r="G192" s="458" t="s">
        <v>97</v>
      </c>
      <c r="H192" s="458" t="s">
        <v>91</v>
      </c>
      <c r="I192" s="459" t="s">
        <v>347</v>
      </c>
      <c r="J192" s="457" t="s">
        <v>102</v>
      </c>
      <c r="K192" s="460">
        <v>138.30000000000001</v>
      </c>
      <c r="L192" s="460">
        <f t="shared" ref="L192:L194" si="59">M192-K192</f>
        <v>0</v>
      </c>
      <c r="M192" s="460">
        <v>138.30000000000001</v>
      </c>
      <c r="N192" s="460">
        <v>138.30000000000001</v>
      </c>
    </row>
    <row r="193" spans="1:14" s="597" customFormat="1" ht="37.5">
      <c r="A193" s="583"/>
      <c r="B193" s="58" t="s">
        <v>182</v>
      </c>
      <c r="C193" s="456" t="s">
        <v>344</v>
      </c>
      <c r="D193" s="457" t="s">
        <v>297</v>
      </c>
      <c r="E193" s="457" t="s">
        <v>91</v>
      </c>
      <c r="F193" s="462" t="s">
        <v>91</v>
      </c>
      <c r="G193" s="458" t="s">
        <v>97</v>
      </c>
      <c r="H193" s="458" t="s">
        <v>91</v>
      </c>
      <c r="I193" s="459" t="s">
        <v>347</v>
      </c>
      <c r="J193" s="457" t="s">
        <v>183</v>
      </c>
      <c r="K193" s="460">
        <v>14</v>
      </c>
      <c r="L193" s="460">
        <f t="shared" si="59"/>
        <v>0</v>
      </c>
      <c r="M193" s="460">
        <v>14</v>
      </c>
      <c r="N193" s="460">
        <v>14</v>
      </c>
    </row>
    <row r="194" spans="1:14" s="597" customFormat="1" ht="56.25">
      <c r="A194" s="583"/>
      <c r="B194" s="455" t="s">
        <v>134</v>
      </c>
      <c r="C194" s="456" t="s">
        <v>344</v>
      </c>
      <c r="D194" s="457" t="s">
        <v>297</v>
      </c>
      <c r="E194" s="457" t="s">
        <v>91</v>
      </c>
      <c r="F194" s="458" t="s">
        <v>91</v>
      </c>
      <c r="G194" s="458" t="s">
        <v>97</v>
      </c>
      <c r="H194" s="458" t="s">
        <v>91</v>
      </c>
      <c r="I194" s="459" t="s">
        <v>347</v>
      </c>
      <c r="J194" s="457" t="s">
        <v>135</v>
      </c>
      <c r="K194" s="460">
        <f>1591.2+85.6</f>
        <v>1676.8</v>
      </c>
      <c r="L194" s="460">
        <f t="shared" si="59"/>
        <v>0</v>
      </c>
      <c r="M194" s="460">
        <f>1591.2+85.6</f>
        <v>1676.8</v>
      </c>
      <c r="N194" s="460">
        <f>1667.3+82.7</f>
        <v>1750</v>
      </c>
    </row>
    <row r="195" spans="1:14" s="597" customFormat="1" ht="131.25">
      <c r="A195" s="583"/>
      <c r="B195" s="455" t="s">
        <v>467</v>
      </c>
      <c r="C195" s="456" t="s">
        <v>344</v>
      </c>
      <c r="D195" s="457" t="s">
        <v>297</v>
      </c>
      <c r="E195" s="457" t="s">
        <v>91</v>
      </c>
      <c r="F195" s="458" t="s">
        <v>91</v>
      </c>
      <c r="G195" s="458" t="s">
        <v>97</v>
      </c>
      <c r="H195" s="458" t="s">
        <v>91</v>
      </c>
      <c r="I195" s="459" t="s">
        <v>348</v>
      </c>
      <c r="J195" s="457"/>
      <c r="K195" s="460">
        <f>K196+K197+K198</f>
        <v>384214.1</v>
      </c>
      <c r="L195" s="460">
        <f>L196+L197+L198</f>
        <v>0</v>
      </c>
      <c r="M195" s="460">
        <f>M196+M197+M198</f>
        <v>384214.1</v>
      </c>
      <c r="N195" s="460">
        <f>N196+N197+N198</f>
        <v>384214.1</v>
      </c>
    </row>
    <row r="196" spans="1:14" s="597" customFormat="1" ht="90.6" customHeight="1">
      <c r="A196" s="583"/>
      <c r="B196" s="455" t="s">
        <v>101</v>
      </c>
      <c r="C196" s="456" t="s">
        <v>344</v>
      </c>
      <c r="D196" s="457" t="s">
        <v>297</v>
      </c>
      <c r="E196" s="457" t="s">
        <v>91</v>
      </c>
      <c r="F196" s="458" t="s">
        <v>91</v>
      </c>
      <c r="G196" s="458" t="s">
        <v>97</v>
      </c>
      <c r="H196" s="458" t="s">
        <v>91</v>
      </c>
      <c r="I196" s="459" t="s">
        <v>348</v>
      </c>
      <c r="J196" s="457" t="s">
        <v>102</v>
      </c>
      <c r="K196" s="460">
        <f>29719.1+566.4</f>
        <v>30285.5</v>
      </c>
      <c r="L196" s="460">
        <f t="shared" ref="L196:L198" si="60">M196-K196</f>
        <v>0</v>
      </c>
      <c r="M196" s="460">
        <f>29719.1+566.4</f>
        <v>30285.5</v>
      </c>
      <c r="N196" s="460">
        <f>29719.1+566.4</f>
        <v>30285.5</v>
      </c>
    </row>
    <row r="197" spans="1:14" s="597" customFormat="1" ht="33" customHeight="1">
      <c r="A197" s="583"/>
      <c r="B197" s="455" t="s">
        <v>107</v>
      </c>
      <c r="C197" s="456" t="s">
        <v>344</v>
      </c>
      <c r="D197" s="457" t="s">
        <v>297</v>
      </c>
      <c r="E197" s="457" t="s">
        <v>91</v>
      </c>
      <c r="F197" s="458" t="s">
        <v>91</v>
      </c>
      <c r="G197" s="458" t="s">
        <v>97</v>
      </c>
      <c r="H197" s="458" t="s">
        <v>91</v>
      </c>
      <c r="I197" s="459" t="s">
        <v>348</v>
      </c>
      <c r="J197" s="457" t="s">
        <v>108</v>
      </c>
      <c r="K197" s="460">
        <f>1729.7+36.1</f>
        <v>1765.8</v>
      </c>
      <c r="L197" s="460">
        <f t="shared" si="60"/>
        <v>0</v>
      </c>
      <c r="M197" s="460">
        <f>1729.7+36.1</f>
        <v>1765.8</v>
      </c>
      <c r="N197" s="460">
        <f>1729.7+36.1</f>
        <v>1765.8</v>
      </c>
    </row>
    <row r="198" spans="1:14" s="597" customFormat="1" ht="56.25">
      <c r="A198" s="583"/>
      <c r="B198" s="455" t="s">
        <v>134</v>
      </c>
      <c r="C198" s="456" t="s">
        <v>344</v>
      </c>
      <c r="D198" s="457" t="s">
        <v>297</v>
      </c>
      <c r="E198" s="457" t="s">
        <v>91</v>
      </c>
      <c r="F198" s="458" t="s">
        <v>91</v>
      </c>
      <c r="G198" s="458" t="s">
        <v>97</v>
      </c>
      <c r="H198" s="458" t="s">
        <v>91</v>
      </c>
      <c r="I198" s="459" t="s">
        <v>348</v>
      </c>
      <c r="J198" s="457" t="s">
        <v>135</v>
      </c>
      <c r="K198" s="460">
        <f>345592.1+6570.7</f>
        <v>352162.8</v>
      </c>
      <c r="L198" s="460">
        <f t="shared" si="60"/>
        <v>0</v>
      </c>
      <c r="M198" s="460">
        <f>345592.1+6570.7</f>
        <v>352162.8</v>
      </c>
      <c r="N198" s="460">
        <f>345592.1+6570.7</f>
        <v>352162.8</v>
      </c>
    </row>
    <row r="199" spans="1:14" s="597" customFormat="1" ht="93.75">
      <c r="A199" s="583"/>
      <c r="B199" s="455" t="s">
        <v>282</v>
      </c>
      <c r="C199" s="456" t="s">
        <v>344</v>
      </c>
      <c r="D199" s="457" t="s">
        <v>297</v>
      </c>
      <c r="E199" s="457" t="s">
        <v>91</v>
      </c>
      <c r="F199" s="458" t="s">
        <v>91</v>
      </c>
      <c r="G199" s="458" t="s">
        <v>97</v>
      </c>
      <c r="H199" s="458" t="s">
        <v>91</v>
      </c>
      <c r="I199" s="459" t="s">
        <v>354</v>
      </c>
      <c r="J199" s="457"/>
      <c r="K199" s="460">
        <f>SUM(K200:K201)</f>
        <v>4326.2</v>
      </c>
      <c r="L199" s="460">
        <f>SUM(L200:L201)</f>
        <v>0</v>
      </c>
      <c r="M199" s="460">
        <f>SUM(M200:M201)</f>
        <v>4326.2</v>
      </c>
      <c r="N199" s="460">
        <f>SUM(N200:N201)</f>
        <v>4401.8</v>
      </c>
    </row>
    <row r="200" spans="1:14" s="597" customFormat="1" ht="43.9" customHeight="1">
      <c r="A200" s="583"/>
      <c r="B200" s="58" t="s">
        <v>107</v>
      </c>
      <c r="C200" s="456" t="s">
        <v>344</v>
      </c>
      <c r="D200" s="457" t="s">
        <v>297</v>
      </c>
      <c r="E200" s="457" t="s">
        <v>91</v>
      </c>
      <c r="F200" s="462" t="s">
        <v>91</v>
      </c>
      <c r="G200" s="458" t="s">
        <v>97</v>
      </c>
      <c r="H200" s="458" t="s">
        <v>91</v>
      </c>
      <c r="I200" s="459" t="s">
        <v>354</v>
      </c>
      <c r="J200" s="457" t="s">
        <v>108</v>
      </c>
      <c r="K200" s="460">
        <v>239.1</v>
      </c>
      <c r="L200" s="460">
        <f t="shared" ref="L200:L201" si="61">M200-K200</f>
        <v>0</v>
      </c>
      <c r="M200" s="460">
        <v>239.1</v>
      </c>
      <c r="N200" s="460">
        <v>256.2</v>
      </c>
    </row>
    <row r="201" spans="1:14" s="597" customFormat="1" ht="56.25">
      <c r="A201" s="583"/>
      <c r="B201" s="455" t="s">
        <v>134</v>
      </c>
      <c r="C201" s="456" t="s">
        <v>344</v>
      </c>
      <c r="D201" s="457" t="s">
        <v>297</v>
      </c>
      <c r="E201" s="457" t="s">
        <v>91</v>
      </c>
      <c r="F201" s="458" t="s">
        <v>91</v>
      </c>
      <c r="G201" s="458" t="s">
        <v>97</v>
      </c>
      <c r="H201" s="458" t="s">
        <v>91</v>
      </c>
      <c r="I201" s="459" t="s">
        <v>354</v>
      </c>
      <c r="J201" s="457" t="s">
        <v>135</v>
      </c>
      <c r="K201" s="460">
        <v>4087.1</v>
      </c>
      <c r="L201" s="460">
        <f t="shared" si="61"/>
        <v>0</v>
      </c>
      <c r="M201" s="460">
        <v>4087.1</v>
      </c>
      <c r="N201" s="460">
        <v>4145.6000000000004</v>
      </c>
    </row>
    <row r="202" spans="1:14" s="597" customFormat="1" ht="56.25">
      <c r="A202" s="583"/>
      <c r="B202" s="455" t="s">
        <v>285</v>
      </c>
      <c r="C202" s="456" t="s">
        <v>344</v>
      </c>
      <c r="D202" s="457" t="s">
        <v>297</v>
      </c>
      <c r="E202" s="457" t="s">
        <v>91</v>
      </c>
      <c r="F202" s="458" t="s">
        <v>91</v>
      </c>
      <c r="G202" s="458" t="s">
        <v>82</v>
      </c>
      <c r="H202" s="458" t="s">
        <v>95</v>
      </c>
      <c r="I202" s="459" t="s">
        <v>96</v>
      </c>
      <c r="J202" s="457"/>
      <c r="K202" s="460">
        <f t="shared" ref="K202:N204" si="62">K203</f>
        <v>2072.1</v>
      </c>
      <c r="L202" s="460">
        <f t="shared" si="62"/>
        <v>0</v>
      </c>
      <c r="M202" s="460">
        <f t="shared" si="62"/>
        <v>2072.1</v>
      </c>
      <c r="N202" s="460">
        <f t="shared" si="62"/>
        <v>2072.1</v>
      </c>
    </row>
    <row r="203" spans="1:14" s="597" customFormat="1" ht="37.5">
      <c r="A203" s="583"/>
      <c r="B203" s="455" t="s">
        <v>361</v>
      </c>
      <c r="C203" s="456" t="s">
        <v>344</v>
      </c>
      <c r="D203" s="457" t="s">
        <v>297</v>
      </c>
      <c r="E203" s="457" t="s">
        <v>91</v>
      </c>
      <c r="F203" s="458" t="s">
        <v>91</v>
      </c>
      <c r="G203" s="458" t="s">
        <v>82</v>
      </c>
      <c r="H203" s="458" t="s">
        <v>89</v>
      </c>
      <c r="I203" s="459" t="s">
        <v>96</v>
      </c>
      <c r="J203" s="457"/>
      <c r="K203" s="460">
        <f t="shared" si="62"/>
        <v>2072.1</v>
      </c>
      <c r="L203" s="460">
        <f t="shared" si="62"/>
        <v>0</v>
      </c>
      <c r="M203" s="460">
        <f t="shared" si="62"/>
        <v>2072.1</v>
      </c>
      <c r="N203" s="460">
        <f t="shared" si="62"/>
        <v>2072.1</v>
      </c>
    </row>
    <row r="204" spans="1:14" s="597" customFormat="1" ht="18.75">
      <c r="A204" s="583"/>
      <c r="B204" s="58" t="s">
        <v>696</v>
      </c>
      <c r="C204" s="456" t="s">
        <v>344</v>
      </c>
      <c r="D204" s="457" t="s">
        <v>297</v>
      </c>
      <c r="E204" s="457" t="s">
        <v>91</v>
      </c>
      <c r="F204" s="458" t="s">
        <v>91</v>
      </c>
      <c r="G204" s="458" t="s">
        <v>82</v>
      </c>
      <c r="H204" s="458" t="s">
        <v>89</v>
      </c>
      <c r="I204" s="459" t="s">
        <v>468</v>
      </c>
      <c r="J204" s="457"/>
      <c r="K204" s="460">
        <f t="shared" si="62"/>
        <v>2072.1</v>
      </c>
      <c r="L204" s="460">
        <f t="shared" si="62"/>
        <v>0</v>
      </c>
      <c r="M204" s="460">
        <f t="shared" si="62"/>
        <v>2072.1</v>
      </c>
      <c r="N204" s="460">
        <f t="shared" si="62"/>
        <v>2072.1</v>
      </c>
    </row>
    <row r="205" spans="1:14" s="597" customFormat="1" ht="56.25">
      <c r="A205" s="583"/>
      <c r="B205" s="455" t="s">
        <v>134</v>
      </c>
      <c r="C205" s="456" t="s">
        <v>344</v>
      </c>
      <c r="D205" s="457" t="s">
        <v>297</v>
      </c>
      <c r="E205" s="457" t="s">
        <v>91</v>
      </c>
      <c r="F205" s="458" t="s">
        <v>91</v>
      </c>
      <c r="G205" s="458" t="s">
        <v>82</v>
      </c>
      <c r="H205" s="458" t="s">
        <v>89</v>
      </c>
      <c r="I205" s="459" t="s">
        <v>468</v>
      </c>
      <c r="J205" s="457" t="s">
        <v>135</v>
      </c>
      <c r="K205" s="460">
        <v>2072.1</v>
      </c>
      <c r="L205" s="460">
        <f>M205-K205</f>
        <v>0</v>
      </c>
      <c r="M205" s="460">
        <v>2072.1</v>
      </c>
      <c r="N205" s="460">
        <v>2072.1</v>
      </c>
    </row>
    <row r="206" spans="1:14" s="597" customFormat="1" ht="18.75">
      <c r="A206" s="583"/>
      <c r="B206" s="455" t="s">
        <v>481</v>
      </c>
      <c r="C206" s="456" t="s">
        <v>344</v>
      </c>
      <c r="D206" s="457" t="s">
        <v>297</v>
      </c>
      <c r="E206" s="457" t="s">
        <v>118</v>
      </c>
      <c r="F206" s="458"/>
      <c r="G206" s="458"/>
      <c r="H206" s="458"/>
      <c r="I206" s="459"/>
      <c r="J206" s="457"/>
      <c r="K206" s="460">
        <f t="shared" ref="K206:N208" si="63">K207</f>
        <v>43264.6</v>
      </c>
      <c r="L206" s="460">
        <f t="shared" si="63"/>
        <v>0</v>
      </c>
      <c r="M206" s="460">
        <f t="shared" si="63"/>
        <v>43264.6</v>
      </c>
      <c r="N206" s="460">
        <f t="shared" si="63"/>
        <v>41646.799999999996</v>
      </c>
    </row>
    <row r="207" spans="1:14" s="597" customFormat="1" ht="56.25">
      <c r="A207" s="583"/>
      <c r="B207" s="646" t="s">
        <v>277</v>
      </c>
      <c r="C207" s="456" t="s">
        <v>344</v>
      </c>
      <c r="D207" s="457" t="s">
        <v>297</v>
      </c>
      <c r="E207" s="457" t="s">
        <v>118</v>
      </c>
      <c r="F207" s="458" t="s">
        <v>91</v>
      </c>
      <c r="G207" s="458" t="s">
        <v>94</v>
      </c>
      <c r="H207" s="458" t="s">
        <v>95</v>
      </c>
      <c r="I207" s="459" t="s">
        <v>96</v>
      </c>
      <c r="J207" s="457"/>
      <c r="K207" s="460">
        <f t="shared" si="63"/>
        <v>43264.6</v>
      </c>
      <c r="L207" s="460">
        <f t="shared" si="63"/>
        <v>0</v>
      </c>
      <c r="M207" s="460">
        <f t="shared" si="63"/>
        <v>43264.6</v>
      </c>
      <c r="N207" s="460">
        <f t="shared" si="63"/>
        <v>41646.799999999996</v>
      </c>
    </row>
    <row r="208" spans="1:14" s="597" customFormat="1" ht="37.5">
      <c r="A208" s="583"/>
      <c r="B208" s="455" t="s">
        <v>283</v>
      </c>
      <c r="C208" s="456" t="s">
        <v>344</v>
      </c>
      <c r="D208" s="457" t="s">
        <v>297</v>
      </c>
      <c r="E208" s="457" t="s">
        <v>118</v>
      </c>
      <c r="F208" s="458" t="s">
        <v>91</v>
      </c>
      <c r="G208" s="458" t="s">
        <v>149</v>
      </c>
      <c r="H208" s="458" t="s">
        <v>95</v>
      </c>
      <c r="I208" s="459" t="s">
        <v>96</v>
      </c>
      <c r="J208" s="457"/>
      <c r="K208" s="460">
        <f t="shared" si="63"/>
        <v>43264.6</v>
      </c>
      <c r="L208" s="460">
        <f t="shared" si="63"/>
        <v>0</v>
      </c>
      <c r="M208" s="460">
        <f t="shared" si="63"/>
        <v>43264.6</v>
      </c>
      <c r="N208" s="460">
        <f t="shared" si="63"/>
        <v>41646.799999999996</v>
      </c>
    </row>
    <row r="209" spans="1:14" s="597" customFormat="1" ht="37.5">
      <c r="A209" s="583"/>
      <c r="B209" s="455" t="s">
        <v>355</v>
      </c>
      <c r="C209" s="456" t="s">
        <v>344</v>
      </c>
      <c r="D209" s="457" t="s">
        <v>297</v>
      </c>
      <c r="E209" s="457" t="s">
        <v>118</v>
      </c>
      <c r="F209" s="458" t="s">
        <v>91</v>
      </c>
      <c r="G209" s="458" t="s">
        <v>149</v>
      </c>
      <c r="H209" s="458" t="s">
        <v>89</v>
      </c>
      <c r="I209" s="459" t="s">
        <v>96</v>
      </c>
      <c r="J209" s="457"/>
      <c r="K209" s="460">
        <f t="shared" ref="K209" si="64">K210+K217+K215</f>
        <v>43264.6</v>
      </c>
      <c r="L209" s="460">
        <f>L210+L217+L215</f>
        <v>0</v>
      </c>
      <c r="M209" s="460">
        <f t="shared" ref="M209:N209" si="65">M210+M217+M215</f>
        <v>43264.6</v>
      </c>
      <c r="N209" s="460">
        <f t="shared" si="65"/>
        <v>41646.799999999996</v>
      </c>
    </row>
    <row r="210" spans="1:14" s="597" customFormat="1" ht="70.150000000000006" customHeight="1">
      <c r="A210" s="583"/>
      <c r="B210" s="455" t="s">
        <v>150</v>
      </c>
      <c r="C210" s="456" t="s">
        <v>344</v>
      </c>
      <c r="D210" s="457" t="s">
        <v>297</v>
      </c>
      <c r="E210" s="457" t="s">
        <v>118</v>
      </c>
      <c r="F210" s="458" t="s">
        <v>91</v>
      </c>
      <c r="G210" s="458" t="s">
        <v>149</v>
      </c>
      <c r="H210" s="458" t="s">
        <v>89</v>
      </c>
      <c r="I210" s="459" t="s">
        <v>152</v>
      </c>
      <c r="J210" s="457"/>
      <c r="K210" s="460">
        <f>SUM(K211:K214)</f>
        <v>42982.2</v>
      </c>
      <c r="L210" s="460">
        <f>SUM(L211:L214)</f>
        <v>0</v>
      </c>
      <c r="M210" s="460">
        <f>SUM(M211:M214)</f>
        <v>42982.2</v>
      </c>
      <c r="N210" s="460">
        <f>SUM(N211:N214)</f>
        <v>41358.1</v>
      </c>
    </row>
    <row r="211" spans="1:14" s="597" customFormat="1" ht="70.150000000000006" customHeight="1">
      <c r="A211" s="583"/>
      <c r="B211" s="58" t="s">
        <v>101</v>
      </c>
      <c r="C211" s="456" t="s">
        <v>344</v>
      </c>
      <c r="D211" s="457" t="s">
        <v>297</v>
      </c>
      <c r="E211" s="457" t="s">
        <v>118</v>
      </c>
      <c r="F211" s="462" t="s">
        <v>91</v>
      </c>
      <c r="G211" s="458" t="s">
        <v>149</v>
      </c>
      <c r="H211" s="458" t="s">
        <v>89</v>
      </c>
      <c r="I211" s="459" t="s">
        <v>152</v>
      </c>
      <c r="J211" s="457" t="s">
        <v>102</v>
      </c>
      <c r="K211" s="460">
        <v>23223.3</v>
      </c>
      <c r="L211" s="460">
        <f t="shared" ref="L211:L214" si="66">M211-K211</f>
        <v>0</v>
      </c>
      <c r="M211" s="460">
        <v>23223.3</v>
      </c>
      <c r="N211" s="460">
        <v>23223.3</v>
      </c>
    </row>
    <row r="212" spans="1:14" s="597" customFormat="1" ht="40.9" customHeight="1">
      <c r="A212" s="583"/>
      <c r="B212" s="58" t="s">
        <v>107</v>
      </c>
      <c r="C212" s="456" t="s">
        <v>344</v>
      </c>
      <c r="D212" s="457" t="s">
        <v>297</v>
      </c>
      <c r="E212" s="457" t="s">
        <v>118</v>
      </c>
      <c r="F212" s="462" t="s">
        <v>91</v>
      </c>
      <c r="G212" s="458" t="s">
        <v>149</v>
      </c>
      <c r="H212" s="458" t="s">
        <v>89</v>
      </c>
      <c r="I212" s="459" t="s">
        <v>152</v>
      </c>
      <c r="J212" s="457" t="s">
        <v>108</v>
      </c>
      <c r="K212" s="460">
        <v>1876.6</v>
      </c>
      <c r="L212" s="460">
        <f t="shared" si="66"/>
        <v>0</v>
      </c>
      <c r="M212" s="460">
        <v>1876.6</v>
      </c>
      <c r="N212" s="460">
        <v>699.8</v>
      </c>
    </row>
    <row r="213" spans="1:14" s="597" customFormat="1" ht="56.25">
      <c r="A213" s="583"/>
      <c r="B213" s="455" t="s">
        <v>134</v>
      </c>
      <c r="C213" s="456" t="s">
        <v>344</v>
      </c>
      <c r="D213" s="457" t="s">
        <v>297</v>
      </c>
      <c r="E213" s="457" t="s">
        <v>118</v>
      </c>
      <c r="F213" s="458" t="s">
        <v>91</v>
      </c>
      <c r="G213" s="458" t="s">
        <v>149</v>
      </c>
      <c r="H213" s="458" t="s">
        <v>89</v>
      </c>
      <c r="I213" s="459" t="s">
        <v>152</v>
      </c>
      <c r="J213" s="457" t="s">
        <v>135</v>
      </c>
      <c r="K213" s="460">
        <v>17822.599999999999</v>
      </c>
      <c r="L213" s="460">
        <f t="shared" si="66"/>
        <v>0</v>
      </c>
      <c r="M213" s="460">
        <v>17822.599999999999</v>
      </c>
      <c r="N213" s="460">
        <v>17376.099999999999</v>
      </c>
    </row>
    <row r="214" spans="1:14" s="597" customFormat="1" ht="18.75">
      <c r="A214" s="583"/>
      <c r="B214" s="58" t="s">
        <v>109</v>
      </c>
      <c r="C214" s="456" t="s">
        <v>344</v>
      </c>
      <c r="D214" s="457" t="s">
        <v>297</v>
      </c>
      <c r="E214" s="457" t="s">
        <v>118</v>
      </c>
      <c r="F214" s="462" t="s">
        <v>91</v>
      </c>
      <c r="G214" s="458" t="s">
        <v>149</v>
      </c>
      <c r="H214" s="458" t="s">
        <v>89</v>
      </c>
      <c r="I214" s="459" t="s">
        <v>152</v>
      </c>
      <c r="J214" s="457" t="s">
        <v>110</v>
      </c>
      <c r="K214" s="460">
        <v>59.7</v>
      </c>
      <c r="L214" s="460">
        <f t="shared" si="66"/>
        <v>0</v>
      </c>
      <c r="M214" s="460">
        <v>59.7</v>
      </c>
      <c r="N214" s="460">
        <v>58.9</v>
      </c>
    </row>
    <row r="215" spans="1:14" s="597" customFormat="1" ht="18.75">
      <c r="A215" s="583"/>
      <c r="B215" s="58" t="s">
        <v>601</v>
      </c>
      <c r="C215" s="456" t="s">
        <v>344</v>
      </c>
      <c r="D215" s="457" t="s">
        <v>297</v>
      </c>
      <c r="E215" s="457" t="s">
        <v>118</v>
      </c>
      <c r="F215" s="462" t="s">
        <v>91</v>
      </c>
      <c r="G215" s="458" t="s">
        <v>149</v>
      </c>
      <c r="H215" s="458" t="s">
        <v>89</v>
      </c>
      <c r="I215" s="459" t="s">
        <v>600</v>
      </c>
      <c r="J215" s="457"/>
      <c r="K215" s="460">
        <f t="shared" ref="K215:N215" si="67">K216</f>
        <v>125</v>
      </c>
      <c r="L215" s="460">
        <f t="shared" si="67"/>
        <v>0</v>
      </c>
      <c r="M215" s="460">
        <f t="shared" si="67"/>
        <v>125</v>
      </c>
      <c r="N215" s="460">
        <f t="shared" si="67"/>
        <v>125</v>
      </c>
    </row>
    <row r="216" spans="1:14" s="597" customFormat="1" ht="91.15" customHeight="1">
      <c r="A216" s="583"/>
      <c r="B216" s="58" t="s">
        <v>101</v>
      </c>
      <c r="C216" s="456" t="s">
        <v>344</v>
      </c>
      <c r="D216" s="457" t="s">
        <v>297</v>
      </c>
      <c r="E216" s="457" t="s">
        <v>118</v>
      </c>
      <c r="F216" s="462" t="s">
        <v>91</v>
      </c>
      <c r="G216" s="458" t="s">
        <v>149</v>
      </c>
      <c r="H216" s="458" t="s">
        <v>89</v>
      </c>
      <c r="I216" s="459" t="s">
        <v>600</v>
      </c>
      <c r="J216" s="457" t="s">
        <v>102</v>
      </c>
      <c r="K216" s="460">
        <v>125</v>
      </c>
      <c r="L216" s="460">
        <f>M216-K216</f>
        <v>0</v>
      </c>
      <c r="M216" s="460">
        <v>125</v>
      </c>
      <c r="N216" s="460">
        <v>125</v>
      </c>
    </row>
    <row r="217" spans="1:14" s="597" customFormat="1" ht="177" customHeight="1">
      <c r="A217" s="583"/>
      <c r="B217" s="455" t="s">
        <v>346</v>
      </c>
      <c r="C217" s="456" t="s">
        <v>344</v>
      </c>
      <c r="D217" s="457" t="s">
        <v>297</v>
      </c>
      <c r="E217" s="457" t="s">
        <v>118</v>
      </c>
      <c r="F217" s="458" t="s">
        <v>91</v>
      </c>
      <c r="G217" s="458" t="s">
        <v>149</v>
      </c>
      <c r="H217" s="458" t="s">
        <v>89</v>
      </c>
      <c r="I217" s="459" t="s">
        <v>347</v>
      </c>
      <c r="J217" s="457"/>
      <c r="K217" s="460">
        <f>K218</f>
        <v>157.4</v>
      </c>
      <c r="L217" s="460">
        <f>L218</f>
        <v>0</v>
      </c>
      <c r="M217" s="460">
        <f>M218</f>
        <v>157.4</v>
      </c>
      <c r="N217" s="460">
        <f>N218</f>
        <v>163.69999999999999</v>
      </c>
    </row>
    <row r="218" spans="1:14" s="597" customFormat="1" ht="90" customHeight="1">
      <c r="A218" s="583"/>
      <c r="B218" s="58" t="s">
        <v>101</v>
      </c>
      <c r="C218" s="456" t="s">
        <v>344</v>
      </c>
      <c r="D218" s="457" t="s">
        <v>297</v>
      </c>
      <c r="E218" s="457" t="s">
        <v>118</v>
      </c>
      <c r="F218" s="458" t="s">
        <v>91</v>
      </c>
      <c r="G218" s="458" t="s">
        <v>149</v>
      </c>
      <c r="H218" s="458" t="s">
        <v>89</v>
      </c>
      <c r="I218" s="459" t="s">
        <v>347</v>
      </c>
      <c r="J218" s="457" t="s">
        <v>102</v>
      </c>
      <c r="K218" s="460">
        <f>193.3-35.9</f>
        <v>157.4</v>
      </c>
      <c r="L218" s="460">
        <f>M218-K218</f>
        <v>0</v>
      </c>
      <c r="M218" s="460">
        <f>193.3-35.9</f>
        <v>157.4</v>
      </c>
      <c r="N218" s="460">
        <f>203.2-39.5</f>
        <v>163.69999999999999</v>
      </c>
    </row>
    <row r="219" spans="1:14" s="597" customFormat="1" ht="18.75">
      <c r="A219" s="583"/>
      <c r="B219" s="58" t="s">
        <v>482</v>
      </c>
      <c r="C219" s="456" t="s">
        <v>344</v>
      </c>
      <c r="D219" s="457" t="s">
        <v>297</v>
      </c>
      <c r="E219" s="457" t="s">
        <v>297</v>
      </c>
      <c r="F219" s="462"/>
      <c r="G219" s="458"/>
      <c r="H219" s="458"/>
      <c r="I219" s="459"/>
      <c r="J219" s="457"/>
      <c r="K219" s="460">
        <f>K220</f>
        <v>3957.6</v>
      </c>
      <c r="L219" s="460">
        <f>L220</f>
        <v>0</v>
      </c>
      <c r="M219" s="460">
        <f>M220</f>
        <v>3957.6</v>
      </c>
      <c r="N219" s="460">
        <f>N220</f>
        <v>3947.7</v>
      </c>
    </row>
    <row r="220" spans="1:14" s="597" customFormat="1" ht="56.25">
      <c r="A220" s="583"/>
      <c r="B220" s="58" t="s">
        <v>277</v>
      </c>
      <c r="C220" s="456" t="s">
        <v>344</v>
      </c>
      <c r="D220" s="457" t="s">
        <v>297</v>
      </c>
      <c r="E220" s="457" t="s">
        <v>297</v>
      </c>
      <c r="F220" s="462" t="s">
        <v>91</v>
      </c>
      <c r="G220" s="458" t="s">
        <v>94</v>
      </c>
      <c r="H220" s="458" t="s">
        <v>95</v>
      </c>
      <c r="I220" s="459" t="s">
        <v>96</v>
      </c>
      <c r="J220" s="457"/>
      <c r="K220" s="460">
        <f t="shared" ref="K220:N221" si="68">K221</f>
        <v>3957.6</v>
      </c>
      <c r="L220" s="460">
        <f t="shared" si="68"/>
        <v>0</v>
      </c>
      <c r="M220" s="460">
        <f t="shared" si="68"/>
        <v>3957.6</v>
      </c>
      <c r="N220" s="460">
        <f t="shared" si="68"/>
        <v>3947.7</v>
      </c>
    </row>
    <row r="221" spans="1:14" s="597" customFormat="1" ht="56.25">
      <c r="A221" s="583"/>
      <c r="B221" s="58" t="s">
        <v>285</v>
      </c>
      <c r="C221" s="456" t="s">
        <v>344</v>
      </c>
      <c r="D221" s="457" t="s">
        <v>297</v>
      </c>
      <c r="E221" s="457" t="s">
        <v>297</v>
      </c>
      <c r="F221" s="462" t="s">
        <v>91</v>
      </c>
      <c r="G221" s="458" t="s">
        <v>82</v>
      </c>
      <c r="H221" s="458" t="s">
        <v>95</v>
      </c>
      <c r="I221" s="459" t="s">
        <v>96</v>
      </c>
      <c r="J221" s="457"/>
      <c r="K221" s="460">
        <f t="shared" si="68"/>
        <v>3957.6</v>
      </c>
      <c r="L221" s="460">
        <f t="shared" si="68"/>
        <v>0</v>
      </c>
      <c r="M221" s="460">
        <f t="shared" si="68"/>
        <v>3957.6</v>
      </c>
      <c r="N221" s="460">
        <f t="shared" si="68"/>
        <v>3947.7</v>
      </c>
    </row>
    <row r="222" spans="1:14" s="597" customFormat="1" ht="32.450000000000003" customHeight="1">
      <c r="A222" s="583"/>
      <c r="B222" s="58" t="s">
        <v>360</v>
      </c>
      <c r="C222" s="456" t="s">
        <v>344</v>
      </c>
      <c r="D222" s="457" t="s">
        <v>297</v>
      </c>
      <c r="E222" s="457" t="s">
        <v>297</v>
      </c>
      <c r="F222" s="462" t="s">
        <v>91</v>
      </c>
      <c r="G222" s="458" t="s">
        <v>82</v>
      </c>
      <c r="H222" s="458" t="s">
        <v>91</v>
      </c>
      <c r="I222" s="459" t="s">
        <v>96</v>
      </c>
      <c r="J222" s="457"/>
      <c r="K222" s="460">
        <f>K223+K225</f>
        <v>3957.6</v>
      </c>
      <c r="L222" s="460">
        <f>L223+L225</f>
        <v>0</v>
      </c>
      <c r="M222" s="460">
        <f>M223+M225</f>
        <v>3957.6</v>
      </c>
      <c r="N222" s="460">
        <f>N223+N225</f>
        <v>3947.7</v>
      </c>
    </row>
    <row r="223" spans="1:14" s="597" customFormat="1" ht="39" customHeight="1">
      <c r="A223" s="583"/>
      <c r="B223" s="58" t="s">
        <v>470</v>
      </c>
      <c r="C223" s="456" t="s">
        <v>344</v>
      </c>
      <c r="D223" s="457" t="s">
        <v>297</v>
      </c>
      <c r="E223" s="457" t="s">
        <v>297</v>
      </c>
      <c r="F223" s="462" t="s">
        <v>91</v>
      </c>
      <c r="G223" s="458" t="s">
        <v>82</v>
      </c>
      <c r="H223" s="458" t="s">
        <v>91</v>
      </c>
      <c r="I223" s="459" t="s">
        <v>469</v>
      </c>
      <c r="J223" s="457"/>
      <c r="K223" s="460">
        <f>K224</f>
        <v>0</v>
      </c>
      <c r="L223" s="460">
        <f t="shared" ref="L223" si="69">L224</f>
        <v>0</v>
      </c>
      <c r="M223" s="460">
        <f>M224</f>
        <v>0</v>
      </c>
      <c r="N223" s="460">
        <f>N224</f>
        <v>0</v>
      </c>
    </row>
    <row r="224" spans="1:14" s="597" customFormat="1" ht="56.25">
      <c r="A224" s="583"/>
      <c r="B224" s="58" t="s">
        <v>134</v>
      </c>
      <c r="C224" s="456" t="s">
        <v>344</v>
      </c>
      <c r="D224" s="457" t="s">
        <v>297</v>
      </c>
      <c r="E224" s="457" t="s">
        <v>297</v>
      </c>
      <c r="F224" s="462" t="s">
        <v>91</v>
      </c>
      <c r="G224" s="458" t="s">
        <v>82</v>
      </c>
      <c r="H224" s="458" t="s">
        <v>91</v>
      </c>
      <c r="I224" s="459" t="s">
        <v>469</v>
      </c>
      <c r="J224" s="457" t="s">
        <v>135</v>
      </c>
      <c r="K224" s="460">
        <f>3759.6-3759.6</f>
        <v>0</v>
      </c>
      <c r="L224" s="460">
        <f>M224-K224</f>
        <v>0</v>
      </c>
      <c r="M224" s="460">
        <f>3759.6-3759.6</f>
        <v>0</v>
      </c>
      <c r="N224" s="460">
        <f>3750.2-3750.2</f>
        <v>0</v>
      </c>
    </row>
    <row r="225" spans="1:14" s="597" customFormat="1" ht="56.25">
      <c r="A225" s="583"/>
      <c r="B225" s="58" t="s">
        <v>470</v>
      </c>
      <c r="C225" s="456" t="s">
        <v>344</v>
      </c>
      <c r="D225" s="457" t="s">
        <v>297</v>
      </c>
      <c r="E225" s="457" t="s">
        <v>297</v>
      </c>
      <c r="F225" s="458" t="s">
        <v>91</v>
      </c>
      <c r="G225" s="458" t="s">
        <v>82</v>
      </c>
      <c r="H225" s="458" t="s">
        <v>91</v>
      </c>
      <c r="I225" s="459" t="s">
        <v>591</v>
      </c>
      <c r="J225" s="457"/>
      <c r="K225" s="460">
        <f>K226</f>
        <v>3957.6</v>
      </c>
      <c r="L225" s="460">
        <f t="shared" ref="L225:L226" si="70">M225-K225</f>
        <v>0</v>
      </c>
      <c r="M225" s="460">
        <f>M226</f>
        <v>3957.6</v>
      </c>
      <c r="N225" s="460">
        <f>N226</f>
        <v>3947.7</v>
      </c>
    </row>
    <row r="226" spans="1:14" s="597" customFormat="1" ht="56.25">
      <c r="A226" s="583"/>
      <c r="B226" s="58" t="s">
        <v>134</v>
      </c>
      <c r="C226" s="456" t="s">
        <v>344</v>
      </c>
      <c r="D226" s="457" t="s">
        <v>297</v>
      </c>
      <c r="E226" s="457" t="s">
        <v>297</v>
      </c>
      <c r="F226" s="458" t="s">
        <v>91</v>
      </c>
      <c r="G226" s="458" t="s">
        <v>82</v>
      </c>
      <c r="H226" s="458" t="s">
        <v>91</v>
      </c>
      <c r="I226" s="459" t="s">
        <v>591</v>
      </c>
      <c r="J226" s="457" t="s">
        <v>135</v>
      </c>
      <c r="K226" s="460">
        <f>198+3759.6</f>
        <v>3957.6</v>
      </c>
      <c r="L226" s="460">
        <f t="shared" si="70"/>
        <v>0</v>
      </c>
      <c r="M226" s="460">
        <f>198+3759.6</f>
        <v>3957.6</v>
      </c>
      <c r="N226" s="460">
        <f>197.5+3750.2</f>
        <v>3947.7</v>
      </c>
    </row>
    <row r="227" spans="1:14" s="597" customFormat="1" ht="18.75">
      <c r="A227" s="583"/>
      <c r="B227" s="455" t="s">
        <v>254</v>
      </c>
      <c r="C227" s="456" t="s">
        <v>344</v>
      </c>
      <c r="D227" s="457" t="s">
        <v>297</v>
      </c>
      <c r="E227" s="457" t="s">
        <v>138</v>
      </c>
      <c r="F227" s="458"/>
      <c r="G227" s="458"/>
      <c r="H227" s="458"/>
      <c r="I227" s="459"/>
      <c r="J227" s="457"/>
      <c r="K227" s="460">
        <f t="shared" ref="K227:N229" si="71">K228</f>
        <v>39346.5</v>
      </c>
      <c r="L227" s="460">
        <f t="shared" si="71"/>
        <v>0</v>
      </c>
      <c r="M227" s="460">
        <f t="shared" si="71"/>
        <v>39346.5</v>
      </c>
      <c r="N227" s="460">
        <f t="shared" si="71"/>
        <v>38419.1</v>
      </c>
    </row>
    <row r="228" spans="1:14" s="597" customFormat="1" ht="56.25">
      <c r="A228" s="583"/>
      <c r="B228" s="455" t="s">
        <v>277</v>
      </c>
      <c r="C228" s="456" t="s">
        <v>344</v>
      </c>
      <c r="D228" s="457" t="s">
        <v>297</v>
      </c>
      <c r="E228" s="457" t="s">
        <v>138</v>
      </c>
      <c r="F228" s="458" t="s">
        <v>91</v>
      </c>
      <c r="G228" s="458" t="s">
        <v>94</v>
      </c>
      <c r="H228" s="458" t="s">
        <v>95</v>
      </c>
      <c r="I228" s="459" t="s">
        <v>96</v>
      </c>
      <c r="J228" s="457"/>
      <c r="K228" s="460">
        <f t="shared" si="71"/>
        <v>39346.5</v>
      </c>
      <c r="L228" s="460">
        <f t="shared" si="71"/>
        <v>0</v>
      </c>
      <c r="M228" s="460">
        <f t="shared" si="71"/>
        <v>39346.5</v>
      </c>
      <c r="N228" s="460">
        <f t="shared" si="71"/>
        <v>38419.1</v>
      </c>
    </row>
    <row r="229" spans="1:14" s="597" customFormat="1" ht="56.25">
      <c r="A229" s="583"/>
      <c r="B229" s="455" t="s">
        <v>285</v>
      </c>
      <c r="C229" s="456" t="s">
        <v>344</v>
      </c>
      <c r="D229" s="457" t="s">
        <v>297</v>
      </c>
      <c r="E229" s="457" t="s">
        <v>138</v>
      </c>
      <c r="F229" s="458" t="s">
        <v>91</v>
      </c>
      <c r="G229" s="458" t="s">
        <v>82</v>
      </c>
      <c r="H229" s="458" t="s">
        <v>95</v>
      </c>
      <c r="I229" s="459" t="s">
        <v>96</v>
      </c>
      <c r="J229" s="457"/>
      <c r="K229" s="460">
        <f t="shared" si="71"/>
        <v>39346.5</v>
      </c>
      <c r="L229" s="460">
        <f t="shared" si="71"/>
        <v>0</v>
      </c>
      <c r="M229" s="460">
        <f t="shared" si="71"/>
        <v>39346.5</v>
      </c>
      <c r="N229" s="460">
        <f t="shared" si="71"/>
        <v>38419.1</v>
      </c>
    </row>
    <row r="230" spans="1:14" s="597" customFormat="1" ht="37.5">
      <c r="A230" s="583"/>
      <c r="B230" s="455" t="s">
        <v>361</v>
      </c>
      <c r="C230" s="456" t="s">
        <v>344</v>
      </c>
      <c r="D230" s="457" t="s">
        <v>297</v>
      </c>
      <c r="E230" s="457" t="s">
        <v>138</v>
      </c>
      <c r="F230" s="458" t="s">
        <v>91</v>
      </c>
      <c r="G230" s="458" t="s">
        <v>82</v>
      </c>
      <c r="H230" s="458" t="s">
        <v>89</v>
      </c>
      <c r="I230" s="459" t="s">
        <v>96</v>
      </c>
      <c r="J230" s="457"/>
      <c r="K230" s="460">
        <f>K231+K235+K238</f>
        <v>39346.5</v>
      </c>
      <c r="L230" s="460">
        <f>L231+L235+L238</f>
        <v>0</v>
      </c>
      <c r="M230" s="460">
        <f>M231+M235+M238</f>
        <v>39346.5</v>
      </c>
      <c r="N230" s="460">
        <f>N231+N235+N238</f>
        <v>38419.1</v>
      </c>
    </row>
    <row r="231" spans="1:14" s="597" customFormat="1" ht="37.5">
      <c r="A231" s="583"/>
      <c r="B231" s="455" t="s">
        <v>99</v>
      </c>
      <c r="C231" s="456" t="s">
        <v>344</v>
      </c>
      <c r="D231" s="457" t="s">
        <v>297</v>
      </c>
      <c r="E231" s="457" t="s">
        <v>138</v>
      </c>
      <c r="F231" s="458" t="s">
        <v>91</v>
      </c>
      <c r="G231" s="458" t="s">
        <v>82</v>
      </c>
      <c r="H231" s="458" t="s">
        <v>89</v>
      </c>
      <c r="I231" s="459" t="s">
        <v>100</v>
      </c>
      <c r="J231" s="457"/>
      <c r="K231" s="460">
        <f>K232+K233+K234</f>
        <v>8014.5</v>
      </c>
      <c r="L231" s="460">
        <f>L232+L233+L234</f>
        <v>0</v>
      </c>
      <c r="M231" s="460">
        <f>M232+M233+M234</f>
        <v>8014.5</v>
      </c>
      <c r="N231" s="460">
        <f>N232+N233+N234</f>
        <v>7866.5</v>
      </c>
    </row>
    <row r="232" spans="1:14" s="597" customFormat="1" ht="87.6" customHeight="1">
      <c r="A232" s="583"/>
      <c r="B232" s="455" t="s">
        <v>101</v>
      </c>
      <c r="C232" s="456" t="s">
        <v>344</v>
      </c>
      <c r="D232" s="457" t="s">
        <v>297</v>
      </c>
      <c r="E232" s="457" t="s">
        <v>138</v>
      </c>
      <c r="F232" s="458" t="s">
        <v>91</v>
      </c>
      <c r="G232" s="458" t="s">
        <v>82</v>
      </c>
      <c r="H232" s="458" t="s">
        <v>89</v>
      </c>
      <c r="I232" s="459" t="s">
        <v>100</v>
      </c>
      <c r="J232" s="457" t="s">
        <v>102</v>
      </c>
      <c r="K232" s="460">
        <v>7866.5</v>
      </c>
      <c r="L232" s="460">
        <f t="shared" ref="L232:L234" si="72">M232-K232</f>
        <v>0</v>
      </c>
      <c r="M232" s="460">
        <v>7866.5</v>
      </c>
      <c r="N232" s="460">
        <v>7866.5</v>
      </c>
    </row>
    <row r="233" spans="1:14" s="597" customFormat="1" ht="31.9" customHeight="1">
      <c r="A233" s="583"/>
      <c r="B233" s="455" t="s">
        <v>107</v>
      </c>
      <c r="C233" s="456" t="s">
        <v>344</v>
      </c>
      <c r="D233" s="457" t="s">
        <v>297</v>
      </c>
      <c r="E233" s="457" t="s">
        <v>138</v>
      </c>
      <c r="F233" s="458" t="s">
        <v>91</v>
      </c>
      <c r="G233" s="458" t="s">
        <v>82</v>
      </c>
      <c r="H233" s="458" t="s">
        <v>89</v>
      </c>
      <c r="I233" s="459" t="s">
        <v>100</v>
      </c>
      <c r="J233" s="457" t="s">
        <v>108</v>
      </c>
      <c r="K233" s="460">
        <v>133.19999999999999</v>
      </c>
      <c r="L233" s="460">
        <f t="shared" si="72"/>
        <v>0</v>
      </c>
      <c r="M233" s="460">
        <v>133.19999999999999</v>
      </c>
      <c r="N233" s="460">
        <v>0</v>
      </c>
    </row>
    <row r="234" spans="1:14" s="597" customFormat="1" ht="18.75">
      <c r="A234" s="583"/>
      <c r="B234" s="455" t="s">
        <v>109</v>
      </c>
      <c r="C234" s="456" t="s">
        <v>344</v>
      </c>
      <c r="D234" s="457" t="s">
        <v>297</v>
      </c>
      <c r="E234" s="457" t="s">
        <v>138</v>
      </c>
      <c r="F234" s="458" t="s">
        <v>91</v>
      </c>
      <c r="G234" s="458" t="s">
        <v>82</v>
      </c>
      <c r="H234" s="458" t="s">
        <v>89</v>
      </c>
      <c r="I234" s="459" t="s">
        <v>100</v>
      </c>
      <c r="J234" s="457" t="s">
        <v>110</v>
      </c>
      <c r="K234" s="460">
        <v>14.8</v>
      </c>
      <c r="L234" s="460">
        <f t="shared" si="72"/>
        <v>0</v>
      </c>
      <c r="M234" s="460">
        <v>14.8</v>
      </c>
      <c r="N234" s="460">
        <v>0</v>
      </c>
    </row>
    <row r="235" spans="1:14" s="597" customFormat="1" ht="69.599999999999994" customHeight="1">
      <c r="A235" s="583"/>
      <c r="B235" s="455" t="s">
        <v>150</v>
      </c>
      <c r="C235" s="456" t="s">
        <v>344</v>
      </c>
      <c r="D235" s="457" t="s">
        <v>297</v>
      </c>
      <c r="E235" s="457" t="s">
        <v>138</v>
      </c>
      <c r="F235" s="458" t="s">
        <v>91</v>
      </c>
      <c r="G235" s="458" t="s">
        <v>82</v>
      </c>
      <c r="H235" s="458" t="s">
        <v>89</v>
      </c>
      <c r="I235" s="459" t="s">
        <v>152</v>
      </c>
      <c r="J235" s="457"/>
      <c r="K235" s="460">
        <f t="shared" ref="K235" si="73">SUM(K236:K237)</f>
        <v>25568.799999999999</v>
      </c>
      <c r="L235" s="460">
        <f>SUM(L236:L237)</f>
        <v>0</v>
      </c>
      <c r="M235" s="460">
        <f t="shared" ref="M235:N235" si="74">SUM(M236:M237)</f>
        <v>25568.799999999999</v>
      </c>
      <c r="N235" s="460">
        <f t="shared" si="74"/>
        <v>24789.399999999998</v>
      </c>
    </row>
    <row r="236" spans="1:14" s="597" customFormat="1" ht="89.45" customHeight="1">
      <c r="A236" s="583"/>
      <c r="B236" s="455" t="s">
        <v>101</v>
      </c>
      <c r="C236" s="456" t="s">
        <v>344</v>
      </c>
      <c r="D236" s="457" t="s">
        <v>297</v>
      </c>
      <c r="E236" s="457" t="s">
        <v>138</v>
      </c>
      <c r="F236" s="458" t="s">
        <v>91</v>
      </c>
      <c r="G236" s="458" t="s">
        <v>82</v>
      </c>
      <c r="H236" s="458" t="s">
        <v>89</v>
      </c>
      <c r="I236" s="459" t="s">
        <v>152</v>
      </c>
      <c r="J236" s="457" t="s">
        <v>102</v>
      </c>
      <c r="K236" s="460">
        <v>24757.3</v>
      </c>
      <c r="L236" s="460">
        <f t="shared" ref="L236:L237" si="75">M236-K236</f>
        <v>0</v>
      </c>
      <c r="M236" s="460">
        <v>24757.3</v>
      </c>
      <c r="N236" s="460">
        <v>24757.3</v>
      </c>
    </row>
    <row r="237" spans="1:14" s="597" customFormat="1" ht="33.6" customHeight="1">
      <c r="A237" s="583"/>
      <c r="B237" s="455" t="s">
        <v>107</v>
      </c>
      <c r="C237" s="456" t="s">
        <v>344</v>
      </c>
      <c r="D237" s="457" t="s">
        <v>297</v>
      </c>
      <c r="E237" s="457" t="s">
        <v>138</v>
      </c>
      <c r="F237" s="458" t="s">
        <v>91</v>
      </c>
      <c r="G237" s="458" t="s">
        <v>82</v>
      </c>
      <c r="H237" s="458" t="s">
        <v>89</v>
      </c>
      <c r="I237" s="459" t="s">
        <v>152</v>
      </c>
      <c r="J237" s="457" t="s">
        <v>108</v>
      </c>
      <c r="K237" s="460">
        <v>811.5</v>
      </c>
      <c r="L237" s="460">
        <f t="shared" si="75"/>
        <v>0</v>
      </c>
      <c r="M237" s="460">
        <v>811.5</v>
      </c>
      <c r="N237" s="460">
        <v>32.1</v>
      </c>
    </row>
    <row r="238" spans="1:14" s="597" customFormat="1" ht="131.25">
      <c r="A238" s="583"/>
      <c r="B238" s="58" t="s">
        <v>467</v>
      </c>
      <c r="C238" s="456" t="s">
        <v>344</v>
      </c>
      <c r="D238" s="457" t="s">
        <v>297</v>
      </c>
      <c r="E238" s="457" t="s">
        <v>138</v>
      </c>
      <c r="F238" s="462" t="s">
        <v>91</v>
      </c>
      <c r="G238" s="458" t="s">
        <v>82</v>
      </c>
      <c r="H238" s="458" t="s">
        <v>89</v>
      </c>
      <c r="I238" s="459" t="s">
        <v>348</v>
      </c>
      <c r="J238" s="457"/>
      <c r="K238" s="460">
        <f t="shared" ref="K238" si="76">SUM(K239:K240)</f>
        <v>5763.2</v>
      </c>
      <c r="L238" s="460">
        <f>SUM(L239:L240)</f>
        <v>0</v>
      </c>
      <c r="M238" s="460">
        <f t="shared" ref="M238:N238" si="77">SUM(M239:M240)</f>
        <v>5763.2</v>
      </c>
      <c r="N238" s="460">
        <f t="shared" si="77"/>
        <v>5763.2</v>
      </c>
    </row>
    <row r="239" spans="1:14" s="597" customFormat="1" ht="88.15" customHeight="1">
      <c r="A239" s="583"/>
      <c r="B239" s="58" t="s">
        <v>101</v>
      </c>
      <c r="C239" s="456" t="s">
        <v>344</v>
      </c>
      <c r="D239" s="457" t="s">
        <v>297</v>
      </c>
      <c r="E239" s="457" t="s">
        <v>138</v>
      </c>
      <c r="F239" s="462" t="s">
        <v>91</v>
      </c>
      <c r="G239" s="458" t="s">
        <v>82</v>
      </c>
      <c r="H239" s="458" t="s">
        <v>89</v>
      </c>
      <c r="I239" s="459" t="s">
        <v>348</v>
      </c>
      <c r="J239" s="457" t="s">
        <v>102</v>
      </c>
      <c r="K239" s="460">
        <v>5594.5</v>
      </c>
      <c r="L239" s="460">
        <f t="shared" ref="L239:L240" si="78">M239-K239</f>
        <v>0</v>
      </c>
      <c r="M239" s="460">
        <v>5594.5</v>
      </c>
      <c r="N239" s="460">
        <v>5594.5</v>
      </c>
    </row>
    <row r="240" spans="1:14" s="597" customFormat="1" ht="36" customHeight="1">
      <c r="A240" s="583"/>
      <c r="B240" s="58" t="s">
        <v>107</v>
      </c>
      <c r="C240" s="456" t="s">
        <v>344</v>
      </c>
      <c r="D240" s="457" t="s">
        <v>297</v>
      </c>
      <c r="E240" s="457" t="s">
        <v>138</v>
      </c>
      <c r="F240" s="462" t="s">
        <v>91</v>
      </c>
      <c r="G240" s="458" t="s">
        <v>82</v>
      </c>
      <c r="H240" s="458" t="s">
        <v>89</v>
      </c>
      <c r="I240" s="459" t="s">
        <v>348</v>
      </c>
      <c r="J240" s="457" t="s">
        <v>108</v>
      </c>
      <c r="K240" s="460">
        <f>61.1+107.6</f>
        <v>168.7</v>
      </c>
      <c r="L240" s="460">
        <f t="shared" si="78"/>
        <v>0</v>
      </c>
      <c r="M240" s="460">
        <f>61.1+107.6</f>
        <v>168.7</v>
      </c>
      <c r="N240" s="460">
        <f>61.1+107.6</f>
        <v>168.7</v>
      </c>
    </row>
    <row r="241" spans="1:14" s="597" customFormat="1" ht="18.75">
      <c r="A241" s="583"/>
      <c r="B241" s="602" t="s">
        <v>181</v>
      </c>
      <c r="C241" s="456" t="s">
        <v>344</v>
      </c>
      <c r="D241" s="457" t="s">
        <v>166</v>
      </c>
      <c r="E241" s="457"/>
      <c r="F241" s="458"/>
      <c r="G241" s="458"/>
      <c r="H241" s="458"/>
      <c r="I241" s="459"/>
      <c r="J241" s="457"/>
      <c r="K241" s="460">
        <f t="shared" ref="K241:N242" si="79">K242</f>
        <v>9069.2000000000007</v>
      </c>
      <c r="L241" s="460">
        <f t="shared" si="79"/>
        <v>0</v>
      </c>
      <c r="M241" s="460">
        <f t="shared" si="79"/>
        <v>9069.2000000000007</v>
      </c>
      <c r="N241" s="460">
        <f t="shared" si="79"/>
        <v>9069.2000000000007</v>
      </c>
    </row>
    <row r="242" spans="1:14" s="597" customFormat="1" ht="18.75">
      <c r="A242" s="583"/>
      <c r="B242" s="602" t="s">
        <v>265</v>
      </c>
      <c r="C242" s="456" t="s">
        <v>344</v>
      </c>
      <c r="D242" s="457" t="s">
        <v>166</v>
      </c>
      <c r="E242" s="457" t="s">
        <v>104</v>
      </c>
      <c r="F242" s="458"/>
      <c r="G242" s="458"/>
      <c r="H242" s="458"/>
      <c r="I242" s="459"/>
      <c r="J242" s="457"/>
      <c r="K242" s="460">
        <f t="shared" si="79"/>
        <v>9069.2000000000007</v>
      </c>
      <c r="L242" s="460">
        <f t="shared" si="79"/>
        <v>0</v>
      </c>
      <c r="M242" s="460">
        <f t="shared" si="79"/>
        <v>9069.2000000000007</v>
      </c>
      <c r="N242" s="460">
        <f t="shared" si="79"/>
        <v>9069.2000000000007</v>
      </c>
    </row>
    <row r="243" spans="1:14" s="597" customFormat="1" ht="56.25">
      <c r="A243" s="583"/>
      <c r="B243" s="455" t="s">
        <v>277</v>
      </c>
      <c r="C243" s="456" t="s">
        <v>344</v>
      </c>
      <c r="D243" s="457" t="s">
        <v>166</v>
      </c>
      <c r="E243" s="457" t="s">
        <v>104</v>
      </c>
      <c r="F243" s="458" t="s">
        <v>91</v>
      </c>
      <c r="G243" s="458" t="s">
        <v>94</v>
      </c>
      <c r="H243" s="458" t="s">
        <v>95</v>
      </c>
      <c r="I243" s="459" t="s">
        <v>96</v>
      </c>
      <c r="J243" s="457"/>
      <c r="K243" s="460">
        <f t="shared" ref="K243:N245" si="80">K244</f>
        <v>9069.2000000000007</v>
      </c>
      <c r="L243" s="460">
        <f t="shared" si="80"/>
        <v>0</v>
      </c>
      <c r="M243" s="460">
        <f t="shared" si="80"/>
        <v>9069.2000000000007</v>
      </c>
      <c r="N243" s="460">
        <f t="shared" si="80"/>
        <v>9069.2000000000007</v>
      </c>
    </row>
    <row r="244" spans="1:14" s="597" customFormat="1" ht="37.5">
      <c r="A244" s="583"/>
      <c r="B244" s="455" t="s">
        <v>278</v>
      </c>
      <c r="C244" s="456" t="s">
        <v>344</v>
      </c>
      <c r="D244" s="457" t="s">
        <v>166</v>
      </c>
      <c r="E244" s="457" t="s">
        <v>104</v>
      </c>
      <c r="F244" s="458" t="s">
        <v>91</v>
      </c>
      <c r="G244" s="458" t="s">
        <v>97</v>
      </c>
      <c r="H244" s="458" t="s">
        <v>95</v>
      </c>
      <c r="I244" s="459" t="s">
        <v>96</v>
      </c>
      <c r="J244" s="457"/>
      <c r="K244" s="460">
        <f t="shared" si="80"/>
        <v>9069.2000000000007</v>
      </c>
      <c r="L244" s="460">
        <f t="shared" si="80"/>
        <v>0</v>
      </c>
      <c r="M244" s="460">
        <f t="shared" si="80"/>
        <v>9069.2000000000007</v>
      </c>
      <c r="N244" s="460">
        <f t="shared" si="80"/>
        <v>9069.2000000000007</v>
      </c>
    </row>
    <row r="245" spans="1:14" s="597" customFormat="1" ht="15.6" customHeight="1">
      <c r="A245" s="583"/>
      <c r="B245" s="455" t="s">
        <v>345</v>
      </c>
      <c r="C245" s="456" t="s">
        <v>344</v>
      </c>
      <c r="D245" s="457" t="s">
        <v>166</v>
      </c>
      <c r="E245" s="457" t="s">
        <v>104</v>
      </c>
      <c r="F245" s="458" t="s">
        <v>91</v>
      </c>
      <c r="G245" s="458" t="s">
        <v>97</v>
      </c>
      <c r="H245" s="458" t="s">
        <v>89</v>
      </c>
      <c r="I245" s="459" t="s">
        <v>96</v>
      </c>
      <c r="J245" s="457"/>
      <c r="K245" s="460">
        <f t="shared" si="80"/>
        <v>9069.2000000000007</v>
      </c>
      <c r="L245" s="460">
        <f t="shared" si="80"/>
        <v>0</v>
      </c>
      <c r="M245" s="460">
        <f t="shared" si="80"/>
        <v>9069.2000000000007</v>
      </c>
      <c r="N245" s="460">
        <f t="shared" si="80"/>
        <v>9069.2000000000007</v>
      </c>
    </row>
    <row r="246" spans="1:14" s="597" customFormat="1" ht="124.15" customHeight="1">
      <c r="A246" s="583"/>
      <c r="B246" s="455" t="s">
        <v>362</v>
      </c>
      <c r="C246" s="456" t="s">
        <v>344</v>
      </c>
      <c r="D246" s="457" t="s">
        <v>166</v>
      </c>
      <c r="E246" s="457" t="s">
        <v>104</v>
      </c>
      <c r="F246" s="458" t="s">
        <v>91</v>
      </c>
      <c r="G246" s="458" t="s">
        <v>97</v>
      </c>
      <c r="H246" s="458" t="s">
        <v>89</v>
      </c>
      <c r="I246" s="459" t="s">
        <v>363</v>
      </c>
      <c r="J246" s="457"/>
      <c r="K246" s="460">
        <f>K247+K248</f>
        <v>9069.2000000000007</v>
      </c>
      <c r="L246" s="460">
        <f>L247+L248</f>
        <v>0</v>
      </c>
      <c r="M246" s="460">
        <f>M247+M248</f>
        <v>9069.2000000000007</v>
      </c>
      <c r="N246" s="460">
        <f>N247+N248</f>
        <v>9069.2000000000007</v>
      </c>
    </row>
    <row r="247" spans="1:14" s="597" customFormat="1" ht="32.450000000000003" customHeight="1">
      <c r="A247" s="583"/>
      <c r="B247" s="455" t="s">
        <v>107</v>
      </c>
      <c r="C247" s="456" t="s">
        <v>344</v>
      </c>
      <c r="D247" s="457" t="s">
        <v>166</v>
      </c>
      <c r="E247" s="457" t="s">
        <v>104</v>
      </c>
      <c r="F247" s="458" t="s">
        <v>91</v>
      </c>
      <c r="G247" s="458" t="s">
        <v>97</v>
      </c>
      <c r="H247" s="458" t="s">
        <v>89</v>
      </c>
      <c r="I247" s="459" t="s">
        <v>363</v>
      </c>
      <c r="J247" s="457" t="s">
        <v>108</v>
      </c>
      <c r="K247" s="460">
        <v>134</v>
      </c>
      <c r="L247" s="460">
        <f t="shared" ref="L247:L248" si="81">M247-K247</f>
        <v>0</v>
      </c>
      <c r="M247" s="460">
        <v>134</v>
      </c>
      <c r="N247" s="460">
        <v>134</v>
      </c>
    </row>
    <row r="248" spans="1:14" s="597" customFormat="1" ht="34.15" customHeight="1">
      <c r="A248" s="583"/>
      <c r="B248" s="647" t="s">
        <v>182</v>
      </c>
      <c r="C248" s="456" t="s">
        <v>344</v>
      </c>
      <c r="D248" s="457" t="s">
        <v>166</v>
      </c>
      <c r="E248" s="457" t="s">
        <v>104</v>
      </c>
      <c r="F248" s="458" t="s">
        <v>91</v>
      </c>
      <c r="G248" s="458" t="s">
        <v>97</v>
      </c>
      <c r="H248" s="458" t="s">
        <v>89</v>
      </c>
      <c r="I248" s="459" t="s">
        <v>363</v>
      </c>
      <c r="J248" s="457" t="s">
        <v>183</v>
      </c>
      <c r="K248" s="460">
        <v>8935.2000000000007</v>
      </c>
      <c r="L248" s="460">
        <f t="shared" si="81"/>
        <v>0</v>
      </c>
      <c r="M248" s="460">
        <v>8935.2000000000007</v>
      </c>
      <c r="N248" s="460">
        <v>8935.2000000000007</v>
      </c>
    </row>
    <row r="249" spans="1:14" ht="18.75">
      <c r="A249" s="583"/>
      <c r="B249" s="455"/>
      <c r="C249" s="648"/>
      <c r="D249" s="649"/>
      <c r="E249" s="649"/>
      <c r="F249" s="625"/>
      <c r="G249" s="625"/>
      <c r="H249" s="625"/>
      <c r="I249" s="650"/>
      <c r="J249" s="649"/>
      <c r="K249" s="460"/>
      <c r="L249" s="460"/>
      <c r="M249" s="460"/>
      <c r="N249" s="460"/>
    </row>
    <row r="250" spans="1:14" s="597" customFormat="1" ht="56.25">
      <c r="A250" s="590">
        <v>6</v>
      </c>
      <c r="B250" s="651" t="s">
        <v>56</v>
      </c>
      <c r="C250" s="592" t="s">
        <v>418</v>
      </c>
      <c r="D250" s="593"/>
      <c r="E250" s="593"/>
      <c r="F250" s="594"/>
      <c r="G250" s="594"/>
      <c r="H250" s="594"/>
      <c r="I250" s="595"/>
      <c r="J250" s="593"/>
      <c r="K250" s="596">
        <f>K251+K258</f>
        <v>77127.399999999994</v>
      </c>
      <c r="L250" s="596">
        <f>L251+L258</f>
        <v>0</v>
      </c>
      <c r="M250" s="596">
        <f>M251+M258</f>
        <v>77127.399999999994</v>
      </c>
      <c r="N250" s="596">
        <f>N251+N258</f>
        <v>77097.5</v>
      </c>
    </row>
    <row r="251" spans="1:14" s="598" customFormat="1" ht="18.75">
      <c r="A251" s="583"/>
      <c r="B251" s="604" t="s">
        <v>247</v>
      </c>
      <c r="C251" s="456" t="s">
        <v>418</v>
      </c>
      <c r="D251" s="457" t="s">
        <v>297</v>
      </c>
      <c r="E251" s="457"/>
      <c r="F251" s="458"/>
      <c r="G251" s="458"/>
      <c r="H251" s="458"/>
      <c r="I251" s="459"/>
      <c r="J251" s="457"/>
      <c r="K251" s="460">
        <f t="shared" ref="K251:N253" si="82">K252</f>
        <v>48567.5</v>
      </c>
      <c r="L251" s="460">
        <f t="shared" si="82"/>
        <v>0</v>
      </c>
      <c r="M251" s="460">
        <f t="shared" si="82"/>
        <v>48567.5</v>
      </c>
      <c r="N251" s="460">
        <f t="shared" si="82"/>
        <v>48567.5</v>
      </c>
    </row>
    <row r="252" spans="1:14" s="599" customFormat="1" ht="18.75">
      <c r="A252" s="583"/>
      <c r="B252" s="604" t="s">
        <v>481</v>
      </c>
      <c r="C252" s="456" t="s">
        <v>418</v>
      </c>
      <c r="D252" s="457" t="s">
        <v>297</v>
      </c>
      <c r="E252" s="457" t="s">
        <v>118</v>
      </c>
      <c r="F252" s="458"/>
      <c r="G252" s="458"/>
      <c r="H252" s="458"/>
      <c r="I252" s="459"/>
      <c r="J252" s="457"/>
      <c r="K252" s="460">
        <f t="shared" si="82"/>
        <v>48567.5</v>
      </c>
      <c r="L252" s="460">
        <f t="shared" si="82"/>
        <v>0</v>
      </c>
      <c r="M252" s="460">
        <f t="shared" si="82"/>
        <v>48567.5</v>
      </c>
      <c r="N252" s="460">
        <f t="shared" si="82"/>
        <v>48567.5</v>
      </c>
    </row>
    <row r="253" spans="1:14" s="599" customFormat="1" ht="56.25">
      <c r="A253" s="583"/>
      <c r="B253" s="604" t="s">
        <v>286</v>
      </c>
      <c r="C253" s="456" t="s">
        <v>418</v>
      </c>
      <c r="D253" s="457" t="s">
        <v>297</v>
      </c>
      <c r="E253" s="457" t="s">
        <v>118</v>
      </c>
      <c r="F253" s="458" t="s">
        <v>118</v>
      </c>
      <c r="G253" s="458" t="s">
        <v>94</v>
      </c>
      <c r="H253" s="458" t="s">
        <v>95</v>
      </c>
      <c r="I253" s="459" t="s">
        <v>96</v>
      </c>
      <c r="J253" s="457"/>
      <c r="K253" s="460">
        <f t="shared" si="82"/>
        <v>48567.5</v>
      </c>
      <c r="L253" s="460">
        <f t="shared" si="82"/>
        <v>0</v>
      </c>
      <c r="M253" s="460">
        <f t="shared" si="82"/>
        <v>48567.5</v>
      </c>
      <c r="N253" s="460">
        <f t="shared" si="82"/>
        <v>48567.5</v>
      </c>
    </row>
    <row r="254" spans="1:14" s="599" customFormat="1" ht="75">
      <c r="A254" s="583"/>
      <c r="B254" s="604" t="s">
        <v>287</v>
      </c>
      <c r="C254" s="456" t="s">
        <v>418</v>
      </c>
      <c r="D254" s="457" t="s">
        <v>297</v>
      </c>
      <c r="E254" s="457" t="s">
        <v>118</v>
      </c>
      <c r="F254" s="458" t="s">
        <v>118</v>
      </c>
      <c r="G254" s="458" t="s">
        <v>97</v>
      </c>
      <c r="H254" s="458" t="s">
        <v>95</v>
      </c>
      <c r="I254" s="459" t="s">
        <v>96</v>
      </c>
      <c r="J254" s="457"/>
      <c r="K254" s="460">
        <f t="shared" ref="K254:N256" si="83">K255</f>
        <v>48567.5</v>
      </c>
      <c r="L254" s="460">
        <f t="shared" si="83"/>
        <v>0</v>
      </c>
      <c r="M254" s="460">
        <f t="shared" si="83"/>
        <v>48567.5</v>
      </c>
      <c r="N254" s="460">
        <f t="shared" si="83"/>
        <v>48567.5</v>
      </c>
    </row>
    <row r="255" spans="1:14" s="599" customFormat="1" ht="37.5">
      <c r="A255" s="583"/>
      <c r="B255" s="604" t="s">
        <v>355</v>
      </c>
      <c r="C255" s="456" t="s">
        <v>418</v>
      </c>
      <c r="D255" s="457" t="s">
        <v>297</v>
      </c>
      <c r="E255" s="457" t="s">
        <v>118</v>
      </c>
      <c r="F255" s="458" t="s">
        <v>118</v>
      </c>
      <c r="G255" s="458" t="s">
        <v>97</v>
      </c>
      <c r="H255" s="458" t="s">
        <v>89</v>
      </c>
      <c r="I255" s="459" t="s">
        <v>96</v>
      </c>
      <c r="J255" s="457"/>
      <c r="K255" s="460">
        <f t="shared" si="83"/>
        <v>48567.5</v>
      </c>
      <c r="L255" s="460">
        <f t="shared" si="83"/>
        <v>0</v>
      </c>
      <c r="M255" s="460">
        <f t="shared" si="83"/>
        <v>48567.5</v>
      </c>
      <c r="N255" s="460">
        <f t="shared" si="83"/>
        <v>48567.5</v>
      </c>
    </row>
    <row r="256" spans="1:14" s="599" customFormat="1" ht="67.900000000000006" customHeight="1">
      <c r="A256" s="583"/>
      <c r="B256" s="600" t="s">
        <v>419</v>
      </c>
      <c r="C256" s="456" t="s">
        <v>418</v>
      </c>
      <c r="D256" s="457" t="s">
        <v>297</v>
      </c>
      <c r="E256" s="457" t="s">
        <v>118</v>
      </c>
      <c r="F256" s="458" t="s">
        <v>118</v>
      </c>
      <c r="G256" s="458" t="s">
        <v>97</v>
      </c>
      <c r="H256" s="458" t="s">
        <v>89</v>
      </c>
      <c r="I256" s="459" t="s">
        <v>152</v>
      </c>
      <c r="J256" s="457"/>
      <c r="K256" s="460">
        <f t="shared" si="83"/>
        <v>48567.5</v>
      </c>
      <c r="L256" s="460">
        <f t="shared" si="83"/>
        <v>0</v>
      </c>
      <c r="M256" s="460">
        <f t="shared" si="83"/>
        <v>48567.5</v>
      </c>
      <c r="N256" s="460">
        <f t="shared" si="83"/>
        <v>48567.5</v>
      </c>
    </row>
    <row r="257" spans="1:16" s="598" customFormat="1" ht="56.25">
      <c r="A257" s="583"/>
      <c r="B257" s="647" t="s">
        <v>134</v>
      </c>
      <c r="C257" s="456" t="s">
        <v>418</v>
      </c>
      <c r="D257" s="457" t="s">
        <v>297</v>
      </c>
      <c r="E257" s="457" t="s">
        <v>118</v>
      </c>
      <c r="F257" s="458" t="s">
        <v>118</v>
      </c>
      <c r="G257" s="458" t="s">
        <v>97</v>
      </c>
      <c r="H257" s="458" t="s">
        <v>89</v>
      </c>
      <c r="I257" s="459" t="s">
        <v>152</v>
      </c>
      <c r="J257" s="457" t="s">
        <v>135</v>
      </c>
      <c r="K257" s="460">
        <v>48567.5</v>
      </c>
      <c r="L257" s="460">
        <f>M257-K257</f>
        <v>0</v>
      </c>
      <c r="M257" s="460">
        <v>48567.5</v>
      </c>
      <c r="N257" s="460">
        <v>48567.5</v>
      </c>
    </row>
    <row r="258" spans="1:16" s="598" customFormat="1" ht="18.75">
      <c r="A258" s="583"/>
      <c r="B258" s="455" t="s">
        <v>256</v>
      </c>
      <c r="C258" s="456" t="s">
        <v>418</v>
      </c>
      <c r="D258" s="457" t="s">
        <v>299</v>
      </c>
      <c r="E258" s="457"/>
      <c r="F258" s="458"/>
      <c r="G258" s="458"/>
      <c r="H258" s="458"/>
      <c r="I258" s="459"/>
      <c r="J258" s="457"/>
      <c r="K258" s="460">
        <f>K259+K274</f>
        <v>28559.899999999998</v>
      </c>
      <c r="L258" s="460">
        <f>L259+L274</f>
        <v>0</v>
      </c>
      <c r="M258" s="460">
        <f>M259+M274</f>
        <v>28559.899999999998</v>
      </c>
      <c r="N258" s="460">
        <f>N259+N274</f>
        <v>28530</v>
      </c>
      <c r="P258" s="652"/>
    </row>
    <row r="259" spans="1:16" s="598" customFormat="1" ht="18.75">
      <c r="A259" s="583"/>
      <c r="B259" s="455" t="s">
        <v>258</v>
      </c>
      <c r="C259" s="456" t="s">
        <v>418</v>
      </c>
      <c r="D259" s="457" t="s">
        <v>299</v>
      </c>
      <c r="E259" s="457" t="s">
        <v>89</v>
      </c>
      <c r="F259" s="458"/>
      <c r="G259" s="458"/>
      <c r="H259" s="458"/>
      <c r="I259" s="459"/>
      <c r="J259" s="457"/>
      <c r="K259" s="460">
        <f t="shared" ref="K259:N259" si="84">K260</f>
        <v>20602.699999999997</v>
      </c>
      <c r="L259" s="460">
        <f t="shared" si="84"/>
        <v>0</v>
      </c>
      <c r="M259" s="460">
        <f t="shared" si="84"/>
        <v>20602.699999999997</v>
      </c>
      <c r="N259" s="460">
        <f t="shared" si="84"/>
        <v>20598</v>
      </c>
    </row>
    <row r="260" spans="1:16" s="598" customFormat="1" ht="56.25">
      <c r="A260" s="583"/>
      <c r="B260" s="604" t="s">
        <v>286</v>
      </c>
      <c r="C260" s="456" t="s">
        <v>418</v>
      </c>
      <c r="D260" s="457" t="s">
        <v>299</v>
      </c>
      <c r="E260" s="457" t="s">
        <v>89</v>
      </c>
      <c r="F260" s="458" t="s">
        <v>118</v>
      </c>
      <c r="G260" s="458" t="s">
        <v>94</v>
      </c>
      <c r="H260" s="458" t="s">
        <v>95</v>
      </c>
      <c r="I260" s="459" t="s">
        <v>96</v>
      </c>
      <c r="J260" s="457"/>
      <c r="K260" s="460">
        <f>K261+K270</f>
        <v>20602.699999999997</v>
      </c>
      <c r="L260" s="460">
        <f>L261+L270</f>
        <v>0</v>
      </c>
      <c r="M260" s="460">
        <f>M261+M270</f>
        <v>20602.699999999997</v>
      </c>
      <c r="N260" s="460">
        <f>N261+N270</f>
        <v>20598</v>
      </c>
      <c r="P260" s="652"/>
    </row>
    <row r="261" spans="1:16" s="576" customFormat="1" ht="75">
      <c r="A261" s="583"/>
      <c r="B261" s="604" t="s">
        <v>287</v>
      </c>
      <c r="C261" s="456" t="s">
        <v>418</v>
      </c>
      <c r="D261" s="457" t="s">
        <v>299</v>
      </c>
      <c r="E261" s="457" t="s">
        <v>89</v>
      </c>
      <c r="F261" s="625" t="s">
        <v>118</v>
      </c>
      <c r="G261" s="625" t="s">
        <v>97</v>
      </c>
      <c r="H261" s="625" t="s">
        <v>95</v>
      </c>
      <c r="I261" s="650" t="s">
        <v>96</v>
      </c>
      <c r="J261" s="649"/>
      <c r="K261" s="460">
        <f>K262+K267</f>
        <v>20600.599999999999</v>
      </c>
      <c r="L261" s="460">
        <f>L262+L267</f>
        <v>0</v>
      </c>
      <c r="M261" s="460">
        <f>M262+M267</f>
        <v>20600.599999999999</v>
      </c>
      <c r="N261" s="460">
        <f>N262+N267</f>
        <v>20598</v>
      </c>
    </row>
    <row r="262" spans="1:16" s="576" customFormat="1" ht="18.75">
      <c r="A262" s="583"/>
      <c r="B262" s="455" t="s">
        <v>422</v>
      </c>
      <c r="C262" s="456" t="s">
        <v>418</v>
      </c>
      <c r="D262" s="457" t="s">
        <v>299</v>
      </c>
      <c r="E262" s="457" t="s">
        <v>89</v>
      </c>
      <c r="F262" s="625" t="s">
        <v>118</v>
      </c>
      <c r="G262" s="625" t="s">
        <v>97</v>
      </c>
      <c r="H262" s="625" t="s">
        <v>118</v>
      </c>
      <c r="I262" s="650" t="s">
        <v>96</v>
      </c>
      <c r="J262" s="649"/>
      <c r="K262" s="460">
        <f>K263+K265</f>
        <v>10546.4</v>
      </c>
      <c r="L262" s="460">
        <f>L263+L265</f>
        <v>0</v>
      </c>
      <c r="M262" s="460">
        <f>M263+M265</f>
        <v>10546.4</v>
      </c>
      <c r="N262" s="460">
        <f>N263+N265</f>
        <v>10543.8</v>
      </c>
    </row>
    <row r="263" spans="1:16" s="576" customFormat="1" ht="68.45" customHeight="1">
      <c r="A263" s="583"/>
      <c r="B263" s="600" t="s">
        <v>423</v>
      </c>
      <c r="C263" s="456" t="s">
        <v>418</v>
      </c>
      <c r="D263" s="457" t="s">
        <v>299</v>
      </c>
      <c r="E263" s="457" t="s">
        <v>89</v>
      </c>
      <c r="F263" s="625" t="s">
        <v>118</v>
      </c>
      <c r="G263" s="625" t="s">
        <v>97</v>
      </c>
      <c r="H263" s="625" t="s">
        <v>118</v>
      </c>
      <c r="I263" s="650" t="s">
        <v>152</v>
      </c>
      <c r="J263" s="649"/>
      <c r="K263" s="460">
        <f t="shared" ref="K263:N263" si="85">K264</f>
        <v>10543.8</v>
      </c>
      <c r="L263" s="460">
        <f t="shared" si="85"/>
        <v>0</v>
      </c>
      <c r="M263" s="460">
        <f t="shared" si="85"/>
        <v>10543.8</v>
      </c>
      <c r="N263" s="460">
        <f t="shared" si="85"/>
        <v>10543.8</v>
      </c>
    </row>
    <row r="264" spans="1:16" s="598" customFormat="1" ht="56.25">
      <c r="A264" s="583"/>
      <c r="B264" s="647" t="s">
        <v>134</v>
      </c>
      <c r="C264" s="456" t="s">
        <v>418</v>
      </c>
      <c r="D264" s="457" t="s">
        <v>299</v>
      </c>
      <c r="E264" s="457" t="s">
        <v>89</v>
      </c>
      <c r="F264" s="458" t="s">
        <v>118</v>
      </c>
      <c r="G264" s="458" t="s">
        <v>97</v>
      </c>
      <c r="H264" s="458" t="s">
        <v>118</v>
      </c>
      <c r="I264" s="459" t="s">
        <v>152</v>
      </c>
      <c r="J264" s="457" t="s">
        <v>135</v>
      </c>
      <c r="K264" s="460">
        <v>10543.8</v>
      </c>
      <c r="L264" s="460">
        <f>M264-K264</f>
        <v>0</v>
      </c>
      <c r="M264" s="460">
        <v>10543.8</v>
      </c>
      <c r="N264" s="460">
        <v>10543.8</v>
      </c>
      <c r="P264" s="652"/>
    </row>
    <row r="265" spans="1:16" s="598" customFormat="1" ht="37.5">
      <c r="A265" s="583"/>
      <c r="B265" s="606" t="s">
        <v>420</v>
      </c>
      <c r="C265" s="456" t="s">
        <v>418</v>
      </c>
      <c r="D265" s="457" t="s">
        <v>299</v>
      </c>
      <c r="E265" s="457" t="s">
        <v>89</v>
      </c>
      <c r="F265" s="462" t="s">
        <v>118</v>
      </c>
      <c r="G265" s="458" t="s">
        <v>97</v>
      </c>
      <c r="H265" s="458" t="s">
        <v>118</v>
      </c>
      <c r="I265" s="459" t="s">
        <v>421</v>
      </c>
      <c r="J265" s="457"/>
      <c r="K265" s="460">
        <f>K266</f>
        <v>2.6</v>
      </c>
      <c r="L265" s="460">
        <f>L266</f>
        <v>0</v>
      </c>
      <c r="M265" s="460">
        <f>M266</f>
        <v>2.6</v>
      </c>
      <c r="N265" s="460">
        <f>N266</f>
        <v>0</v>
      </c>
      <c r="P265" s="652"/>
    </row>
    <row r="266" spans="1:16" s="598" customFormat="1" ht="56.25">
      <c r="A266" s="583"/>
      <c r="B266" s="606" t="s">
        <v>134</v>
      </c>
      <c r="C266" s="456" t="s">
        <v>418</v>
      </c>
      <c r="D266" s="457" t="s">
        <v>299</v>
      </c>
      <c r="E266" s="457" t="s">
        <v>89</v>
      </c>
      <c r="F266" s="462" t="s">
        <v>118</v>
      </c>
      <c r="G266" s="458" t="s">
        <v>97</v>
      </c>
      <c r="H266" s="458" t="s">
        <v>118</v>
      </c>
      <c r="I266" s="459" t="s">
        <v>421</v>
      </c>
      <c r="J266" s="457" t="s">
        <v>135</v>
      </c>
      <c r="K266" s="460">
        <v>2.6</v>
      </c>
      <c r="L266" s="460">
        <f>M266-K266</f>
        <v>0</v>
      </c>
      <c r="M266" s="460">
        <v>2.6</v>
      </c>
      <c r="N266" s="460">
        <v>0</v>
      </c>
      <c r="P266" s="652"/>
    </row>
    <row r="267" spans="1:16" s="576" customFormat="1" ht="37.5">
      <c r="A267" s="583"/>
      <c r="B267" s="647" t="s">
        <v>425</v>
      </c>
      <c r="C267" s="456" t="s">
        <v>418</v>
      </c>
      <c r="D267" s="457" t="s">
        <v>299</v>
      </c>
      <c r="E267" s="457" t="s">
        <v>89</v>
      </c>
      <c r="F267" s="625" t="s">
        <v>118</v>
      </c>
      <c r="G267" s="625" t="s">
        <v>97</v>
      </c>
      <c r="H267" s="625" t="s">
        <v>104</v>
      </c>
      <c r="I267" s="459" t="s">
        <v>96</v>
      </c>
      <c r="J267" s="457"/>
      <c r="K267" s="460">
        <f>K268</f>
        <v>10054.200000000001</v>
      </c>
      <c r="L267" s="460">
        <f>L268</f>
        <v>0</v>
      </c>
      <c r="M267" s="460">
        <f>M268</f>
        <v>10054.200000000001</v>
      </c>
      <c r="N267" s="460">
        <f>N268</f>
        <v>10054.200000000001</v>
      </c>
    </row>
    <row r="268" spans="1:16" s="576" customFormat="1" ht="71.45" customHeight="1">
      <c r="A268" s="583"/>
      <c r="B268" s="600" t="s">
        <v>423</v>
      </c>
      <c r="C268" s="456" t="s">
        <v>418</v>
      </c>
      <c r="D268" s="457" t="s">
        <v>299</v>
      </c>
      <c r="E268" s="457" t="s">
        <v>89</v>
      </c>
      <c r="F268" s="625" t="s">
        <v>118</v>
      </c>
      <c r="G268" s="625" t="s">
        <v>97</v>
      </c>
      <c r="H268" s="625" t="s">
        <v>104</v>
      </c>
      <c r="I268" s="650" t="s">
        <v>152</v>
      </c>
      <c r="J268" s="649"/>
      <c r="K268" s="460">
        <f>SUM(K269:K269)</f>
        <v>10054.200000000001</v>
      </c>
      <c r="L268" s="460">
        <f>SUM(L269:L269)</f>
        <v>0</v>
      </c>
      <c r="M268" s="460">
        <f>SUM(M269:M269)</f>
        <v>10054.200000000001</v>
      </c>
      <c r="N268" s="460">
        <f>SUM(N269:N269)</f>
        <v>10054.200000000001</v>
      </c>
    </row>
    <row r="269" spans="1:16" s="598" customFormat="1" ht="92.45" customHeight="1">
      <c r="A269" s="583"/>
      <c r="B269" s="58" t="s">
        <v>101</v>
      </c>
      <c r="C269" s="456" t="s">
        <v>418</v>
      </c>
      <c r="D269" s="457" t="s">
        <v>299</v>
      </c>
      <c r="E269" s="457" t="s">
        <v>89</v>
      </c>
      <c r="F269" s="462" t="s">
        <v>118</v>
      </c>
      <c r="G269" s="458" t="s">
        <v>97</v>
      </c>
      <c r="H269" s="458" t="s">
        <v>104</v>
      </c>
      <c r="I269" s="459" t="s">
        <v>152</v>
      </c>
      <c r="J269" s="457" t="s">
        <v>102</v>
      </c>
      <c r="K269" s="460">
        <v>10054.200000000001</v>
      </c>
      <c r="L269" s="460">
        <f>M269-K269</f>
        <v>0</v>
      </c>
      <c r="M269" s="460">
        <v>10054.200000000001</v>
      </c>
      <c r="N269" s="460">
        <v>10054.200000000001</v>
      </c>
      <c r="P269" s="652"/>
    </row>
    <row r="270" spans="1:16" s="598" customFormat="1" ht="39.6" customHeight="1">
      <c r="A270" s="583"/>
      <c r="B270" s="58" t="s">
        <v>433</v>
      </c>
      <c r="C270" s="456" t="s">
        <v>418</v>
      </c>
      <c r="D270" s="457" t="s">
        <v>299</v>
      </c>
      <c r="E270" s="457" t="s">
        <v>89</v>
      </c>
      <c r="F270" s="458" t="s">
        <v>118</v>
      </c>
      <c r="G270" s="458" t="s">
        <v>149</v>
      </c>
      <c r="H270" s="458" t="s">
        <v>94</v>
      </c>
      <c r="I270" s="459" t="s">
        <v>96</v>
      </c>
      <c r="J270" s="457"/>
      <c r="K270" s="460">
        <f t="shared" ref="K270:N272" si="86">K271</f>
        <v>2.1</v>
      </c>
      <c r="L270" s="460">
        <f t="shared" si="86"/>
        <v>0</v>
      </c>
      <c r="M270" s="460">
        <f t="shared" si="86"/>
        <v>2.1</v>
      </c>
      <c r="N270" s="460">
        <f t="shared" si="86"/>
        <v>0</v>
      </c>
      <c r="P270" s="652"/>
    </row>
    <row r="271" spans="1:16" s="598" customFormat="1" ht="92.45" customHeight="1">
      <c r="A271" s="583"/>
      <c r="B271" s="58" t="s">
        <v>426</v>
      </c>
      <c r="C271" s="456" t="s">
        <v>418</v>
      </c>
      <c r="D271" s="457" t="s">
        <v>299</v>
      </c>
      <c r="E271" s="457" t="s">
        <v>89</v>
      </c>
      <c r="F271" s="458" t="s">
        <v>118</v>
      </c>
      <c r="G271" s="458" t="s">
        <v>149</v>
      </c>
      <c r="H271" s="458" t="s">
        <v>118</v>
      </c>
      <c r="I271" s="459" t="s">
        <v>96</v>
      </c>
      <c r="J271" s="457"/>
      <c r="K271" s="460">
        <f t="shared" si="86"/>
        <v>2.1</v>
      </c>
      <c r="L271" s="460">
        <f t="shared" si="86"/>
        <v>0</v>
      </c>
      <c r="M271" s="460">
        <f t="shared" si="86"/>
        <v>2.1</v>
      </c>
      <c r="N271" s="460">
        <f t="shared" si="86"/>
        <v>0</v>
      </c>
      <c r="P271" s="652"/>
    </row>
    <row r="272" spans="1:16" s="598" customFormat="1" ht="41.45" customHeight="1">
      <c r="A272" s="583"/>
      <c r="B272" s="58" t="s">
        <v>420</v>
      </c>
      <c r="C272" s="456" t="s">
        <v>418</v>
      </c>
      <c r="D272" s="457" t="s">
        <v>299</v>
      </c>
      <c r="E272" s="457" t="s">
        <v>89</v>
      </c>
      <c r="F272" s="458" t="s">
        <v>118</v>
      </c>
      <c r="G272" s="458" t="s">
        <v>149</v>
      </c>
      <c r="H272" s="458" t="s">
        <v>118</v>
      </c>
      <c r="I272" s="459" t="s">
        <v>421</v>
      </c>
      <c r="J272" s="457"/>
      <c r="K272" s="460">
        <f t="shared" si="86"/>
        <v>2.1</v>
      </c>
      <c r="L272" s="460">
        <f t="shared" si="86"/>
        <v>0</v>
      </c>
      <c r="M272" s="460">
        <f t="shared" si="86"/>
        <v>2.1</v>
      </c>
      <c r="N272" s="460">
        <f t="shared" si="86"/>
        <v>0</v>
      </c>
      <c r="P272" s="652"/>
    </row>
    <row r="273" spans="1:16" s="598" customFormat="1" ht="54.6" customHeight="1">
      <c r="A273" s="583"/>
      <c r="B273" s="58" t="s">
        <v>134</v>
      </c>
      <c r="C273" s="456" t="s">
        <v>418</v>
      </c>
      <c r="D273" s="457" t="s">
        <v>299</v>
      </c>
      <c r="E273" s="457" t="s">
        <v>89</v>
      </c>
      <c r="F273" s="458" t="s">
        <v>118</v>
      </c>
      <c r="G273" s="458" t="s">
        <v>149</v>
      </c>
      <c r="H273" s="458" t="s">
        <v>118</v>
      </c>
      <c r="I273" s="459" t="s">
        <v>421</v>
      </c>
      <c r="J273" s="457" t="s">
        <v>135</v>
      </c>
      <c r="K273" s="460">
        <v>2.1</v>
      </c>
      <c r="L273" s="460">
        <f>M273-K273</f>
        <v>0</v>
      </c>
      <c r="M273" s="460">
        <v>2.1</v>
      </c>
      <c r="N273" s="460">
        <v>0</v>
      </c>
      <c r="P273" s="652"/>
    </row>
    <row r="274" spans="1:16" s="576" customFormat="1" ht="37.5">
      <c r="A274" s="583"/>
      <c r="B274" s="455" t="s">
        <v>427</v>
      </c>
      <c r="C274" s="456" t="s">
        <v>418</v>
      </c>
      <c r="D274" s="457" t="s">
        <v>299</v>
      </c>
      <c r="E274" s="457" t="s">
        <v>104</v>
      </c>
      <c r="F274" s="625"/>
      <c r="G274" s="625"/>
      <c r="H274" s="625"/>
      <c r="I274" s="650"/>
      <c r="J274" s="649"/>
      <c r="K274" s="460">
        <f t="shared" ref="K274:N276" si="87">K275</f>
        <v>7957.2</v>
      </c>
      <c r="L274" s="460">
        <f t="shared" si="87"/>
        <v>0</v>
      </c>
      <c r="M274" s="460">
        <f t="shared" si="87"/>
        <v>7957.2</v>
      </c>
      <c r="N274" s="460">
        <f t="shared" si="87"/>
        <v>7932</v>
      </c>
    </row>
    <row r="275" spans="1:16" s="576" customFormat="1" ht="56.25">
      <c r="A275" s="583"/>
      <c r="B275" s="604" t="s">
        <v>286</v>
      </c>
      <c r="C275" s="456" t="s">
        <v>418</v>
      </c>
      <c r="D275" s="457" t="s">
        <v>299</v>
      </c>
      <c r="E275" s="457" t="s">
        <v>104</v>
      </c>
      <c r="F275" s="625" t="s">
        <v>118</v>
      </c>
      <c r="G275" s="625" t="s">
        <v>94</v>
      </c>
      <c r="H275" s="625" t="s">
        <v>95</v>
      </c>
      <c r="I275" s="650" t="s">
        <v>96</v>
      </c>
      <c r="J275" s="649"/>
      <c r="K275" s="460">
        <f t="shared" si="87"/>
        <v>7957.2</v>
      </c>
      <c r="L275" s="460">
        <f t="shared" si="87"/>
        <v>0</v>
      </c>
      <c r="M275" s="460">
        <f t="shared" si="87"/>
        <v>7957.2</v>
      </c>
      <c r="N275" s="460">
        <f t="shared" si="87"/>
        <v>7932</v>
      </c>
    </row>
    <row r="276" spans="1:16" s="598" customFormat="1" ht="56.25">
      <c r="A276" s="583"/>
      <c r="B276" s="455" t="s">
        <v>289</v>
      </c>
      <c r="C276" s="456" t="s">
        <v>418</v>
      </c>
      <c r="D276" s="457" t="s">
        <v>299</v>
      </c>
      <c r="E276" s="457" t="s">
        <v>104</v>
      </c>
      <c r="F276" s="458" t="s">
        <v>118</v>
      </c>
      <c r="G276" s="458" t="s">
        <v>82</v>
      </c>
      <c r="H276" s="458" t="s">
        <v>95</v>
      </c>
      <c r="I276" s="459" t="s">
        <v>96</v>
      </c>
      <c r="J276" s="457"/>
      <c r="K276" s="460">
        <f t="shared" si="87"/>
        <v>7957.2</v>
      </c>
      <c r="L276" s="460">
        <f t="shared" si="87"/>
        <v>0</v>
      </c>
      <c r="M276" s="460">
        <f t="shared" si="87"/>
        <v>7957.2</v>
      </c>
      <c r="N276" s="460">
        <f t="shared" si="87"/>
        <v>7932</v>
      </c>
      <c r="P276" s="652"/>
    </row>
    <row r="277" spans="1:16" s="598" customFormat="1" ht="37.5">
      <c r="A277" s="583"/>
      <c r="B277" s="455" t="s">
        <v>361</v>
      </c>
      <c r="C277" s="456" t="s">
        <v>418</v>
      </c>
      <c r="D277" s="457" t="s">
        <v>299</v>
      </c>
      <c r="E277" s="457" t="s">
        <v>104</v>
      </c>
      <c r="F277" s="458" t="s">
        <v>118</v>
      </c>
      <c r="G277" s="458" t="s">
        <v>82</v>
      </c>
      <c r="H277" s="458" t="s">
        <v>89</v>
      </c>
      <c r="I277" s="459" t="s">
        <v>96</v>
      </c>
      <c r="J277" s="457"/>
      <c r="K277" s="460">
        <f>K278+K281</f>
        <v>7957.2</v>
      </c>
      <c r="L277" s="460">
        <f>L278+L281</f>
        <v>0</v>
      </c>
      <c r="M277" s="460">
        <f>M278+M281</f>
        <v>7957.2</v>
      </c>
      <c r="N277" s="460">
        <f>N278+N281</f>
        <v>7932</v>
      </c>
      <c r="P277" s="652"/>
    </row>
    <row r="278" spans="1:16" s="576" customFormat="1" ht="37.5">
      <c r="A278" s="583"/>
      <c r="B278" s="455" t="s">
        <v>99</v>
      </c>
      <c r="C278" s="456" t="s">
        <v>418</v>
      </c>
      <c r="D278" s="457" t="s">
        <v>299</v>
      </c>
      <c r="E278" s="457" t="s">
        <v>104</v>
      </c>
      <c r="F278" s="458" t="s">
        <v>118</v>
      </c>
      <c r="G278" s="458" t="s">
        <v>82</v>
      </c>
      <c r="H278" s="458" t="s">
        <v>89</v>
      </c>
      <c r="I278" s="459" t="s">
        <v>100</v>
      </c>
      <c r="J278" s="649"/>
      <c r="K278" s="460">
        <f t="shared" ref="K278" si="88">SUM(K279:K280)</f>
        <v>2438.3999999999996</v>
      </c>
      <c r="L278" s="460">
        <f>SUM(L279:L280)</f>
        <v>0</v>
      </c>
      <c r="M278" s="460">
        <f t="shared" ref="M278:N278" si="89">SUM(M279:M280)</f>
        <v>2438.3999999999996</v>
      </c>
      <c r="N278" s="460">
        <f t="shared" si="89"/>
        <v>2413.1999999999998</v>
      </c>
    </row>
    <row r="279" spans="1:16" s="576" customFormat="1" ht="87.6" customHeight="1">
      <c r="A279" s="583"/>
      <c r="B279" s="455" t="s">
        <v>101</v>
      </c>
      <c r="C279" s="456" t="s">
        <v>418</v>
      </c>
      <c r="D279" s="457" t="s">
        <v>299</v>
      </c>
      <c r="E279" s="457" t="s">
        <v>104</v>
      </c>
      <c r="F279" s="458" t="s">
        <v>118</v>
      </c>
      <c r="G279" s="458" t="s">
        <v>82</v>
      </c>
      <c r="H279" s="458" t="s">
        <v>89</v>
      </c>
      <c r="I279" s="459" t="s">
        <v>100</v>
      </c>
      <c r="J279" s="649" t="s">
        <v>102</v>
      </c>
      <c r="K279" s="460">
        <v>2413.1999999999998</v>
      </c>
      <c r="L279" s="460">
        <f t="shared" ref="L279:L280" si="90">M279-K279</f>
        <v>0</v>
      </c>
      <c r="M279" s="460">
        <v>2413.1999999999998</v>
      </c>
      <c r="N279" s="460">
        <v>2413.1999999999998</v>
      </c>
    </row>
    <row r="280" spans="1:16" s="576" customFormat="1" ht="33" customHeight="1">
      <c r="A280" s="583"/>
      <c r="B280" s="455" t="s">
        <v>107</v>
      </c>
      <c r="C280" s="456" t="s">
        <v>418</v>
      </c>
      <c r="D280" s="457" t="s">
        <v>299</v>
      </c>
      <c r="E280" s="457" t="s">
        <v>104</v>
      </c>
      <c r="F280" s="458" t="s">
        <v>118</v>
      </c>
      <c r="G280" s="458" t="s">
        <v>82</v>
      </c>
      <c r="H280" s="458" t="s">
        <v>89</v>
      </c>
      <c r="I280" s="459" t="s">
        <v>100</v>
      </c>
      <c r="J280" s="649" t="s">
        <v>108</v>
      </c>
      <c r="K280" s="460">
        <v>25.2</v>
      </c>
      <c r="L280" s="460">
        <f t="shared" si="90"/>
        <v>0</v>
      </c>
      <c r="M280" s="460">
        <v>25.2</v>
      </c>
      <c r="N280" s="460">
        <v>0</v>
      </c>
    </row>
    <row r="281" spans="1:16" s="598" customFormat="1" ht="69.599999999999994" customHeight="1">
      <c r="A281" s="583"/>
      <c r="B281" s="600" t="s">
        <v>423</v>
      </c>
      <c r="C281" s="456" t="s">
        <v>418</v>
      </c>
      <c r="D281" s="457" t="s">
        <v>299</v>
      </c>
      <c r="E281" s="457" t="s">
        <v>104</v>
      </c>
      <c r="F281" s="458" t="s">
        <v>118</v>
      </c>
      <c r="G281" s="458" t="s">
        <v>82</v>
      </c>
      <c r="H281" s="458" t="s">
        <v>89</v>
      </c>
      <c r="I281" s="459" t="s">
        <v>152</v>
      </c>
      <c r="J281" s="457"/>
      <c r="K281" s="460">
        <f t="shared" ref="K281:N281" si="91">K282</f>
        <v>5518.8</v>
      </c>
      <c r="L281" s="460">
        <f>L282</f>
        <v>0</v>
      </c>
      <c r="M281" s="460">
        <f t="shared" si="91"/>
        <v>5518.8</v>
      </c>
      <c r="N281" s="460">
        <f t="shared" si="91"/>
        <v>5518.8</v>
      </c>
      <c r="P281" s="652"/>
    </row>
    <row r="282" spans="1:16" s="576" customFormat="1" ht="90.6" customHeight="1">
      <c r="A282" s="583"/>
      <c r="B282" s="455" t="s">
        <v>101</v>
      </c>
      <c r="C282" s="648" t="s">
        <v>418</v>
      </c>
      <c r="D282" s="649" t="s">
        <v>299</v>
      </c>
      <c r="E282" s="649" t="s">
        <v>104</v>
      </c>
      <c r="F282" s="458" t="s">
        <v>118</v>
      </c>
      <c r="G282" s="458" t="s">
        <v>82</v>
      </c>
      <c r="H282" s="458" t="s">
        <v>89</v>
      </c>
      <c r="I282" s="459" t="s">
        <v>152</v>
      </c>
      <c r="J282" s="649" t="s">
        <v>102</v>
      </c>
      <c r="K282" s="460">
        <v>5518.8</v>
      </c>
      <c r="L282" s="460">
        <f>M282-K282</f>
        <v>0</v>
      </c>
      <c r="M282" s="460">
        <v>5518.8</v>
      </c>
      <c r="N282" s="460">
        <v>5518.8</v>
      </c>
    </row>
    <row r="283" spans="1:16" s="598" customFormat="1" ht="18.75">
      <c r="A283" s="583"/>
      <c r="B283" s="455"/>
      <c r="C283" s="648"/>
      <c r="D283" s="649"/>
      <c r="E283" s="649"/>
      <c r="F283" s="458"/>
      <c r="G283" s="458"/>
      <c r="H283" s="458"/>
      <c r="I283" s="459"/>
      <c r="J283" s="457"/>
      <c r="K283" s="460"/>
      <c r="L283" s="460"/>
      <c r="M283" s="460"/>
      <c r="N283" s="460"/>
      <c r="P283" s="652"/>
    </row>
    <row r="284" spans="1:16" s="597" customFormat="1" ht="56.25">
      <c r="A284" s="590">
        <v>7</v>
      </c>
      <c r="B284" s="591" t="s">
        <v>57</v>
      </c>
      <c r="C284" s="592" t="s">
        <v>370</v>
      </c>
      <c r="D284" s="593"/>
      <c r="E284" s="593"/>
      <c r="F284" s="594"/>
      <c r="G284" s="594"/>
      <c r="H284" s="594"/>
      <c r="I284" s="595"/>
      <c r="J284" s="593"/>
      <c r="K284" s="596">
        <f>K285</f>
        <v>36478.631000000001</v>
      </c>
      <c r="L284" s="596">
        <f>L285</f>
        <v>44.9</v>
      </c>
      <c r="M284" s="596">
        <f>M285</f>
        <v>36523.530999999995</v>
      </c>
      <c r="N284" s="596">
        <f>N285</f>
        <v>27558</v>
      </c>
    </row>
    <row r="285" spans="1:16" s="598" customFormat="1" ht="18.75">
      <c r="A285" s="583"/>
      <c r="B285" s="604" t="s">
        <v>428</v>
      </c>
      <c r="C285" s="456" t="s">
        <v>370</v>
      </c>
      <c r="D285" s="457" t="s">
        <v>122</v>
      </c>
      <c r="E285" s="457"/>
      <c r="F285" s="458"/>
      <c r="G285" s="458"/>
      <c r="H285" s="458"/>
      <c r="I285" s="459"/>
      <c r="J285" s="457"/>
      <c r="K285" s="460">
        <f>K286+K301</f>
        <v>36478.631000000001</v>
      </c>
      <c r="L285" s="460">
        <f>L286+L301</f>
        <v>44.9</v>
      </c>
      <c r="M285" s="460">
        <f>M286+M301</f>
        <v>36523.530999999995</v>
      </c>
      <c r="N285" s="460">
        <f>N286+N301</f>
        <v>27558</v>
      </c>
    </row>
    <row r="286" spans="1:16" s="597" customFormat="1" ht="18.75">
      <c r="A286" s="583"/>
      <c r="B286" s="604" t="s">
        <v>500</v>
      </c>
      <c r="C286" s="456" t="s">
        <v>370</v>
      </c>
      <c r="D286" s="457" t="s">
        <v>122</v>
      </c>
      <c r="E286" s="457" t="s">
        <v>89</v>
      </c>
      <c r="F286" s="458"/>
      <c r="G286" s="458"/>
      <c r="H286" s="458"/>
      <c r="I286" s="459"/>
      <c r="J286" s="457"/>
      <c r="K286" s="460">
        <f t="shared" ref="K286:N288" si="92">K287</f>
        <v>34195.631000000001</v>
      </c>
      <c r="L286" s="460">
        <f t="shared" si="92"/>
        <v>44.9</v>
      </c>
      <c r="M286" s="460">
        <f t="shared" si="92"/>
        <v>34240.530999999995</v>
      </c>
      <c r="N286" s="460">
        <f t="shared" si="92"/>
        <v>25295.9</v>
      </c>
    </row>
    <row r="287" spans="1:16" s="597" customFormat="1" ht="56.25">
      <c r="A287" s="583"/>
      <c r="B287" s="455" t="s">
        <v>290</v>
      </c>
      <c r="C287" s="456" t="s">
        <v>370</v>
      </c>
      <c r="D287" s="457" t="s">
        <v>122</v>
      </c>
      <c r="E287" s="457" t="s">
        <v>89</v>
      </c>
      <c r="F287" s="458" t="s">
        <v>104</v>
      </c>
      <c r="G287" s="458" t="s">
        <v>94</v>
      </c>
      <c r="H287" s="458" t="s">
        <v>95</v>
      </c>
      <c r="I287" s="459" t="s">
        <v>96</v>
      </c>
      <c r="J287" s="457"/>
      <c r="K287" s="460">
        <f>K288+K297</f>
        <v>34195.631000000001</v>
      </c>
      <c r="L287" s="460">
        <f>L288+L297</f>
        <v>44.9</v>
      </c>
      <c r="M287" s="460">
        <f>M288+M297</f>
        <v>34240.530999999995</v>
      </c>
      <c r="N287" s="460">
        <f>N288+N297</f>
        <v>25295.9</v>
      </c>
    </row>
    <row r="288" spans="1:16" s="598" customFormat="1" ht="37.5">
      <c r="A288" s="583"/>
      <c r="B288" s="455" t="s">
        <v>293</v>
      </c>
      <c r="C288" s="456" t="s">
        <v>370</v>
      </c>
      <c r="D288" s="457" t="s">
        <v>122</v>
      </c>
      <c r="E288" s="457" t="s">
        <v>89</v>
      </c>
      <c r="F288" s="458" t="s">
        <v>104</v>
      </c>
      <c r="G288" s="458" t="s">
        <v>149</v>
      </c>
      <c r="H288" s="458" t="s">
        <v>95</v>
      </c>
      <c r="I288" s="459" t="s">
        <v>96</v>
      </c>
      <c r="J288" s="457"/>
      <c r="K288" s="460">
        <f t="shared" si="92"/>
        <v>29730.2</v>
      </c>
      <c r="L288" s="460">
        <f t="shared" si="92"/>
        <v>44.9</v>
      </c>
      <c r="M288" s="460">
        <f t="shared" si="92"/>
        <v>29775.1</v>
      </c>
      <c r="N288" s="460">
        <f t="shared" si="92"/>
        <v>25295.9</v>
      </c>
    </row>
    <row r="289" spans="1:16" s="597" customFormat="1" ht="37.5">
      <c r="A289" s="583"/>
      <c r="B289" s="455" t="s">
        <v>503</v>
      </c>
      <c r="C289" s="456" t="s">
        <v>370</v>
      </c>
      <c r="D289" s="457" t="s">
        <v>122</v>
      </c>
      <c r="E289" s="457" t="s">
        <v>89</v>
      </c>
      <c r="F289" s="458" t="s">
        <v>104</v>
      </c>
      <c r="G289" s="458" t="s">
        <v>149</v>
      </c>
      <c r="H289" s="458" t="s">
        <v>91</v>
      </c>
      <c r="I289" s="459" t="s">
        <v>96</v>
      </c>
      <c r="J289" s="457"/>
      <c r="K289" s="460">
        <f>K290+K294</f>
        <v>29730.2</v>
      </c>
      <c r="L289" s="460">
        <f>L290+L294</f>
        <v>44.9</v>
      </c>
      <c r="M289" s="460">
        <f>M290+M294</f>
        <v>29775.1</v>
      </c>
      <c r="N289" s="460">
        <f>N290+N294</f>
        <v>25295.9</v>
      </c>
    </row>
    <row r="290" spans="1:16" s="597" customFormat="1" ht="68.45" customHeight="1">
      <c r="A290" s="583"/>
      <c r="B290" s="455" t="s">
        <v>150</v>
      </c>
      <c r="C290" s="456" t="s">
        <v>370</v>
      </c>
      <c r="D290" s="457" t="s">
        <v>122</v>
      </c>
      <c r="E290" s="457" t="s">
        <v>89</v>
      </c>
      <c r="F290" s="458" t="s">
        <v>104</v>
      </c>
      <c r="G290" s="458" t="s">
        <v>149</v>
      </c>
      <c r="H290" s="458" t="s">
        <v>91</v>
      </c>
      <c r="I290" s="459" t="s">
        <v>152</v>
      </c>
      <c r="J290" s="457"/>
      <c r="K290" s="460">
        <f>K291+K292+K293</f>
        <v>29688.5</v>
      </c>
      <c r="L290" s="460">
        <f>L291+L292+L293</f>
        <v>0</v>
      </c>
      <c r="M290" s="460">
        <f>M291+M292+M293</f>
        <v>29688.5</v>
      </c>
      <c r="N290" s="460">
        <f>N291+N292+N293</f>
        <v>25254.2</v>
      </c>
    </row>
    <row r="291" spans="1:16" s="597" customFormat="1" ht="88.15" customHeight="1">
      <c r="A291" s="583"/>
      <c r="B291" s="455" t="s">
        <v>101</v>
      </c>
      <c r="C291" s="456" t="s">
        <v>370</v>
      </c>
      <c r="D291" s="457" t="s">
        <v>122</v>
      </c>
      <c r="E291" s="457" t="s">
        <v>89</v>
      </c>
      <c r="F291" s="458" t="s">
        <v>104</v>
      </c>
      <c r="G291" s="458" t="s">
        <v>149</v>
      </c>
      <c r="H291" s="458" t="s">
        <v>91</v>
      </c>
      <c r="I291" s="459" t="s">
        <v>152</v>
      </c>
      <c r="J291" s="457" t="s">
        <v>102</v>
      </c>
      <c r="K291" s="460">
        <v>20730.2</v>
      </c>
      <c r="L291" s="460">
        <f t="shared" ref="L291:L293" si="93">M291-K291</f>
        <v>0</v>
      </c>
      <c r="M291" s="460">
        <v>20730.2</v>
      </c>
      <c r="N291" s="460">
        <v>20730.2</v>
      </c>
    </row>
    <row r="292" spans="1:16" s="598" customFormat="1" ht="34.15" customHeight="1">
      <c r="A292" s="583"/>
      <c r="B292" s="455" t="s">
        <v>107</v>
      </c>
      <c r="C292" s="456" t="s">
        <v>370</v>
      </c>
      <c r="D292" s="457" t="s">
        <v>122</v>
      </c>
      <c r="E292" s="457" t="s">
        <v>89</v>
      </c>
      <c r="F292" s="458" t="s">
        <v>104</v>
      </c>
      <c r="G292" s="458" t="s">
        <v>149</v>
      </c>
      <c r="H292" s="458" t="s">
        <v>91</v>
      </c>
      <c r="I292" s="459" t="s">
        <v>152</v>
      </c>
      <c r="J292" s="457" t="s">
        <v>108</v>
      </c>
      <c r="K292" s="460">
        <v>5658.3</v>
      </c>
      <c r="L292" s="460">
        <f t="shared" si="93"/>
        <v>0</v>
      </c>
      <c r="M292" s="460">
        <v>5658.3</v>
      </c>
      <c r="N292" s="460">
        <v>4524</v>
      </c>
    </row>
    <row r="293" spans="1:16" s="597" customFormat="1" ht="18.75">
      <c r="A293" s="583"/>
      <c r="B293" s="455" t="s">
        <v>109</v>
      </c>
      <c r="C293" s="456" t="s">
        <v>370</v>
      </c>
      <c r="D293" s="457" t="s">
        <v>122</v>
      </c>
      <c r="E293" s="457" t="s">
        <v>89</v>
      </c>
      <c r="F293" s="458" t="s">
        <v>104</v>
      </c>
      <c r="G293" s="458" t="s">
        <v>149</v>
      </c>
      <c r="H293" s="458" t="s">
        <v>91</v>
      </c>
      <c r="I293" s="459" t="s">
        <v>152</v>
      </c>
      <c r="J293" s="457" t="s">
        <v>110</v>
      </c>
      <c r="K293" s="460">
        <v>3300</v>
      </c>
      <c r="L293" s="460">
        <f t="shared" si="93"/>
        <v>0</v>
      </c>
      <c r="M293" s="460">
        <v>3300</v>
      </c>
      <c r="N293" s="460">
        <v>0</v>
      </c>
    </row>
    <row r="294" spans="1:16" s="597" customFormat="1" ht="56.25">
      <c r="A294" s="583"/>
      <c r="B294" s="58" t="s">
        <v>292</v>
      </c>
      <c r="C294" s="456" t="s">
        <v>370</v>
      </c>
      <c r="D294" s="457" t="s">
        <v>122</v>
      </c>
      <c r="E294" s="457" t="s">
        <v>89</v>
      </c>
      <c r="F294" s="462" t="s">
        <v>104</v>
      </c>
      <c r="G294" s="458" t="s">
        <v>149</v>
      </c>
      <c r="H294" s="458" t="s">
        <v>91</v>
      </c>
      <c r="I294" s="459" t="s">
        <v>372</v>
      </c>
      <c r="J294" s="457"/>
      <c r="K294" s="460">
        <f>K296</f>
        <v>41.7</v>
      </c>
      <c r="L294" s="460">
        <f>L295+L296</f>
        <v>44.9</v>
      </c>
      <c r="M294" s="460">
        <f t="shared" ref="M294:N294" si="94">M295+M296</f>
        <v>86.6</v>
      </c>
      <c r="N294" s="460">
        <f t="shared" si="94"/>
        <v>41.7</v>
      </c>
    </row>
    <row r="295" spans="1:16" s="597" customFormat="1" ht="112.5">
      <c r="A295" s="583"/>
      <c r="B295" s="455" t="s">
        <v>101</v>
      </c>
      <c r="C295" s="456" t="s">
        <v>370</v>
      </c>
      <c r="D295" s="457" t="s">
        <v>122</v>
      </c>
      <c r="E295" s="457" t="s">
        <v>89</v>
      </c>
      <c r="F295" s="462" t="s">
        <v>104</v>
      </c>
      <c r="G295" s="691" t="s">
        <v>149</v>
      </c>
      <c r="H295" s="691" t="s">
        <v>91</v>
      </c>
      <c r="I295" s="692" t="s">
        <v>372</v>
      </c>
      <c r="J295" s="457" t="s">
        <v>102</v>
      </c>
      <c r="K295" s="460"/>
      <c r="L295" s="460">
        <f>M295-K295</f>
        <v>44.9</v>
      </c>
      <c r="M295" s="460">
        <v>44.9</v>
      </c>
      <c r="N295" s="460"/>
    </row>
    <row r="296" spans="1:16" s="597" customFormat="1" ht="38.450000000000003" customHeight="1">
      <c r="A296" s="583"/>
      <c r="B296" s="58" t="s">
        <v>107</v>
      </c>
      <c r="C296" s="456" t="s">
        <v>370</v>
      </c>
      <c r="D296" s="457" t="s">
        <v>122</v>
      </c>
      <c r="E296" s="457" t="s">
        <v>89</v>
      </c>
      <c r="F296" s="462" t="s">
        <v>104</v>
      </c>
      <c r="G296" s="458" t="s">
        <v>149</v>
      </c>
      <c r="H296" s="458" t="s">
        <v>91</v>
      </c>
      <c r="I296" s="459" t="s">
        <v>372</v>
      </c>
      <c r="J296" s="457" t="s">
        <v>108</v>
      </c>
      <c r="K296" s="460">
        <v>41.7</v>
      </c>
      <c r="L296" s="460">
        <f>M296-K296</f>
        <v>0</v>
      </c>
      <c r="M296" s="460">
        <f>41.7</f>
        <v>41.7</v>
      </c>
      <c r="N296" s="460">
        <v>41.7</v>
      </c>
    </row>
    <row r="297" spans="1:16" s="597" customFormat="1" ht="37.5">
      <c r="A297" s="583"/>
      <c r="B297" s="479" t="s">
        <v>455</v>
      </c>
      <c r="C297" s="468" t="s">
        <v>370</v>
      </c>
      <c r="D297" s="469" t="s">
        <v>122</v>
      </c>
      <c r="E297" s="469" t="s">
        <v>89</v>
      </c>
      <c r="F297" s="470" t="s">
        <v>104</v>
      </c>
      <c r="G297" s="480" t="s">
        <v>83</v>
      </c>
      <c r="H297" s="480" t="s">
        <v>95</v>
      </c>
      <c r="I297" s="471" t="s">
        <v>96</v>
      </c>
      <c r="J297" s="481"/>
      <c r="K297" s="460">
        <f>K298</f>
        <v>4465.4309999999996</v>
      </c>
      <c r="L297" s="460">
        <f t="shared" ref="L297:L300" si="95">M297-K297</f>
        <v>0</v>
      </c>
      <c r="M297" s="460">
        <f>M298</f>
        <v>4465.4309999999996</v>
      </c>
      <c r="N297" s="460">
        <v>0</v>
      </c>
    </row>
    <row r="298" spans="1:16" s="597" customFormat="1" ht="75">
      <c r="A298" s="583"/>
      <c r="B298" s="479" t="s">
        <v>720</v>
      </c>
      <c r="C298" s="468" t="s">
        <v>370</v>
      </c>
      <c r="D298" s="469" t="s">
        <v>122</v>
      </c>
      <c r="E298" s="469" t="s">
        <v>89</v>
      </c>
      <c r="F298" s="470" t="s">
        <v>104</v>
      </c>
      <c r="G298" s="480" t="s">
        <v>83</v>
      </c>
      <c r="H298" s="480" t="s">
        <v>118</v>
      </c>
      <c r="I298" s="471" t="s">
        <v>96</v>
      </c>
      <c r="J298" s="481"/>
      <c r="K298" s="460">
        <f>K299</f>
        <v>4465.4309999999996</v>
      </c>
      <c r="L298" s="460">
        <f t="shared" si="95"/>
        <v>0</v>
      </c>
      <c r="M298" s="460">
        <f>M299</f>
        <v>4465.4309999999996</v>
      </c>
      <c r="N298" s="460">
        <v>0</v>
      </c>
    </row>
    <row r="299" spans="1:16" s="597" customFormat="1" ht="56.25">
      <c r="A299" s="583"/>
      <c r="B299" s="479" t="s">
        <v>292</v>
      </c>
      <c r="C299" s="468" t="s">
        <v>370</v>
      </c>
      <c r="D299" s="469" t="s">
        <v>122</v>
      </c>
      <c r="E299" s="469" t="s">
        <v>89</v>
      </c>
      <c r="F299" s="470" t="s">
        <v>104</v>
      </c>
      <c r="G299" s="480" t="s">
        <v>83</v>
      </c>
      <c r="H299" s="480" t="s">
        <v>118</v>
      </c>
      <c r="I299" s="471" t="s">
        <v>372</v>
      </c>
      <c r="J299" s="481"/>
      <c r="K299" s="460">
        <f>K300</f>
        <v>4465.4309999999996</v>
      </c>
      <c r="L299" s="460">
        <f t="shared" si="95"/>
        <v>0</v>
      </c>
      <c r="M299" s="460">
        <f>M300</f>
        <v>4465.4309999999996</v>
      </c>
      <c r="N299" s="460">
        <v>0</v>
      </c>
    </row>
    <row r="300" spans="1:16" s="597" customFormat="1" ht="56.25">
      <c r="A300" s="583"/>
      <c r="B300" s="58" t="s">
        <v>275</v>
      </c>
      <c r="C300" s="468" t="s">
        <v>370</v>
      </c>
      <c r="D300" s="469" t="s">
        <v>122</v>
      </c>
      <c r="E300" s="469" t="s">
        <v>89</v>
      </c>
      <c r="F300" s="470" t="s">
        <v>104</v>
      </c>
      <c r="G300" s="480" t="s">
        <v>83</v>
      </c>
      <c r="H300" s="480" t="s">
        <v>118</v>
      </c>
      <c r="I300" s="471" t="s">
        <v>372</v>
      </c>
      <c r="J300" s="481" t="s">
        <v>276</v>
      </c>
      <c r="K300" s="460">
        <v>4465.4309999999996</v>
      </c>
      <c r="L300" s="460">
        <f t="shared" si="95"/>
        <v>0</v>
      </c>
      <c r="M300" s="460">
        <v>4465.4309999999996</v>
      </c>
      <c r="N300" s="460">
        <v>0</v>
      </c>
    </row>
    <row r="301" spans="1:16" s="598" customFormat="1" ht="37.5">
      <c r="A301" s="583"/>
      <c r="B301" s="604" t="s">
        <v>271</v>
      </c>
      <c r="C301" s="456" t="s">
        <v>370</v>
      </c>
      <c r="D301" s="457" t="s">
        <v>122</v>
      </c>
      <c r="E301" s="457" t="s">
        <v>120</v>
      </c>
      <c r="F301" s="458"/>
      <c r="G301" s="458"/>
      <c r="H301" s="458"/>
      <c r="I301" s="459"/>
      <c r="J301" s="457"/>
      <c r="K301" s="460">
        <f t="shared" ref="K301:N304" si="96">K302</f>
        <v>2282.9999999999995</v>
      </c>
      <c r="L301" s="460">
        <f t="shared" si="96"/>
        <v>0</v>
      </c>
      <c r="M301" s="460">
        <f t="shared" si="96"/>
        <v>2282.9999999999995</v>
      </c>
      <c r="N301" s="460">
        <f t="shared" si="96"/>
        <v>2262.1</v>
      </c>
      <c r="P301" s="652"/>
    </row>
    <row r="302" spans="1:16" s="598" customFormat="1" ht="56.25">
      <c r="A302" s="583"/>
      <c r="B302" s="455" t="s">
        <v>290</v>
      </c>
      <c r="C302" s="456" t="s">
        <v>370</v>
      </c>
      <c r="D302" s="457" t="s">
        <v>122</v>
      </c>
      <c r="E302" s="457" t="s">
        <v>120</v>
      </c>
      <c r="F302" s="458" t="s">
        <v>104</v>
      </c>
      <c r="G302" s="458" t="s">
        <v>94</v>
      </c>
      <c r="H302" s="458" t="s">
        <v>95</v>
      </c>
      <c r="I302" s="459" t="s">
        <v>96</v>
      </c>
      <c r="J302" s="457"/>
      <c r="K302" s="460">
        <f t="shared" si="96"/>
        <v>2282.9999999999995</v>
      </c>
      <c r="L302" s="460">
        <f t="shared" si="96"/>
        <v>0</v>
      </c>
      <c r="M302" s="460">
        <f t="shared" si="96"/>
        <v>2282.9999999999995</v>
      </c>
      <c r="N302" s="460">
        <f t="shared" si="96"/>
        <v>2262.1</v>
      </c>
      <c r="P302" s="652"/>
    </row>
    <row r="303" spans="1:16" s="598" customFormat="1" ht="37.5">
      <c r="A303" s="583"/>
      <c r="B303" s="647" t="s">
        <v>293</v>
      </c>
      <c r="C303" s="456" t="s">
        <v>370</v>
      </c>
      <c r="D303" s="457" t="s">
        <v>122</v>
      </c>
      <c r="E303" s="457" t="s">
        <v>120</v>
      </c>
      <c r="F303" s="458" t="s">
        <v>104</v>
      </c>
      <c r="G303" s="458" t="s">
        <v>149</v>
      </c>
      <c r="H303" s="458" t="s">
        <v>95</v>
      </c>
      <c r="I303" s="459" t="s">
        <v>96</v>
      </c>
      <c r="J303" s="457"/>
      <c r="K303" s="460">
        <f t="shared" si="96"/>
        <v>2282.9999999999995</v>
      </c>
      <c r="L303" s="460">
        <f t="shared" si="96"/>
        <v>0</v>
      </c>
      <c r="M303" s="460">
        <f t="shared" si="96"/>
        <v>2282.9999999999995</v>
      </c>
      <c r="N303" s="460">
        <f t="shared" si="96"/>
        <v>2262.1</v>
      </c>
      <c r="P303" s="652"/>
    </row>
    <row r="304" spans="1:16" s="598" customFormat="1" ht="37.5">
      <c r="A304" s="583"/>
      <c r="B304" s="455" t="s">
        <v>361</v>
      </c>
      <c r="C304" s="456" t="s">
        <v>370</v>
      </c>
      <c r="D304" s="457" t="s">
        <v>122</v>
      </c>
      <c r="E304" s="457" t="s">
        <v>120</v>
      </c>
      <c r="F304" s="458" t="s">
        <v>104</v>
      </c>
      <c r="G304" s="458" t="s">
        <v>149</v>
      </c>
      <c r="H304" s="458" t="s">
        <v>89</v>
      </c>
      <c r="I304" s="459" t="s">
        <v>96</v>
      </c>
      <c r="J304" s="457"/>
      <c r="K304" s="460">
        <f t="shared" si="96"/>
        <v>2282.9999999999995</v>
      </c>
      <c r="L304" s="460">
        <f t="shared" si="96"/>
        <v>0</v>
      </c>
      <c r="M304" s="460">
        <f t="shared" si="96"/>
        <v>2282.9999999999995</v>
      </c>
      <c r="N304" s="460">
        <f t="shared" si="96"/>
        <v>2262.1</v>
      </c>
      <c r="P304" s="652"/>
    </row>
    <row r="305" spans="1:16" s="598" customFormat="1" ht="37.5">
      <c r="A305" s="583"/>
      <c r="B305" s="455" t="s">
        <v>99</v>
      </c>
      <c r="C305" s="456" t="s">
        <v>370</v>
      </c>
      <c r="D305" s="457" t="s">
        <v>122</v>
      </c>
      <c r="E305" s="457" t="s">
        <v>120</v>
      </c>
      <c r="F305" s="458" t="s">
        <v>104</v>
      </c>
      <c r="G305" s="458" t="s">
        <v>149</v>
      </c>
      <c r="H305" s="458" t="s">
        <v>89</v>
      </c>
      <c r="I305" s="459" t="s">
        <v>100</v>
      </c>
      <c r="J305" s="457"/>
      <c r="K305" s="460">
        <f t="shared" ref="K305" si="97">SUM(K306:K308)</f>
        <v>2282.9999999999995</v>
      </c>
      <c r="L305" s="460">
        <f>SUM(L306:L308)</f>
        <v>0</v>
      </c>
      <c r="M305" s="460">
        <f t="shared" ref="M305:N305" si="98">SUM(M306:M308)</f>
        <v>2282.9999999999995</v>
      </c>
      <c r="N305" s="460">
        <f t="shared" si="98"/>
        <v>2262.1</v>
      </c>
      <c r="P305" s="652"/>
    </row>
    <row r="306" spans="1:16" s="598" customFormat="1" ht="85.9" customHeight="1">
      <c r="A306" s="583"/>
      <c r="B306" s="455" t="s">
        <v>101</v>
      </c>
      <c r="C306" s="456" t="s">
        <v>370</v>
      </c>
      <c r="D306" s="457" t="s">
        <v>122</v>
      </c>
      <c r="E306" s="457" t="s">
        <v>120</v>
      </c>
      <c r="F306" s="458" t="s">
        <v>104</v>
      </c>
      <c r="G306" s="458" t="s">
        <v>149</v>
      </c>
      <c r="H306" s="458" t="s">
        <v>89</v>
      </c>
      <c r="I306" s="459" t="s">
        <v>100</v>
      </c>
      <c r="J306" s="457" t="s">
        <v>102</v>
      </c>
      <c r="K306" s="460">
        <v>2262.1</v>
      </c>
      <c r="L306" s="460">
        <f t="shared" ref="L306:L308" si="99">M306-K306</f>
        <v>0</v>
      </c>
      <c r="M306" s="460">
        <v>2262.1</v>
      </c>
      <c r="N306" s="460">
        <v>2262.1</v>
      </c>
      <c r="P306" s="652"/>
    </row>
    <row r="307" spans="1:16" s="598" customFormat="1" ht="33" customHeight="1">
      <c r="A307" s="583"/>
      <c r="B307" s="58" t="s">
        <v>107</v>
      </c>
      <c r="C307" s="456" t="s">
        <v>370</v>
      </c>
      <c r="D307" s="457" t="s">
        <v>122</v>
      </c>
      <c r="E307" s="457" t="s">
        <v>120</v>
      </c>
      <c r="F307" s="462" t="s">
        <v>104</v>
      </c>
      <c r="G307" s="458" t="s">
        <v>149</v>
      </c>
      <c r="H307" s="458" t="s">
        <v>89</v>
      </c>
      <c r="I307" s="459" t="s">
        <v>100</v>
      </c>
      <c r="J307" s="457" t="s">
        <v>108</v>
      </c>
      <c r="K307" s="460">
        <v>18.7</v>
      </c>
      <c r="L307" s="460">
        <f t="shared" si="99"/>
        <v>0</v>
      </c>
      <c r="M307" s="460">
        <v>18.7</v>
      </c>
      <c r="N307" s="460">
        <v>0</v>
      </c>
      <c r="O307" s="652"/>
    </row>
    <row r="308" spans="1:16" s="598" customFormat="1" ht="18.75">
      <c r="A308" s="583"/>
      <c r="B308" s="58" t="s">
        <v>109</v>
      </c>
      <c r="C308" s="456" t="s">
        <v>370</v>
      </c>
      <c r="D308" s="457" t="s">
        <v>122</v>
      </c>
      <c r="E308" s="457" t="s">
        <v>120</v>
      </c>
      <c r="F308" s="462" t="s">
        <v>104</v>
      </c>
      <c r="G308" s="458" t="s">
        <v>149</v>
      </c>
      <c r="H308" s="458" t="s">
        <v>89</v>
      </c>
      <c r="I308" s="459" t="s">
        <v>100</v>
      </c>
      <c r="J308" s="457" t="s">
        <v>110</v>
      </c>
      <c r="K308" s="460">
        <v>2.2000000000000002</v>
      </c>
      <c r="L308" s="460">
        <f t="shared" si="99"/>
        <v>0</v>
      </c>
      <c r="M308" s="460">
        <v>2.2000000000000002</v>
      </c>
      <c r="N308" s="460">
        <v>0</v>
      </c>
      <c r="O308" s="652"/>
    </row>
    <row r="309" spans="1:16" s="598" customFormat="1" ht="18.75">
      <c r="A309" s="583"/>
      <c r="B309" s="455"/>
      <c r="C309" s="456"/>
      <c r="D309" s="457"/>
      <c r="E309" s="457"/>
      <c r="F309" s="458"/>
      <c r="G309" s="458"/>
      <c r="H309" s="458"/>
      <c r="I309" s="459"/>
      <c r="J309" s="457"/>
      <c r="K309" s="460"/>
      <c r="L309" s="460"/>
      <c r="M309" s="460"/>
      <c r="N309" s="460"/>
      <c r="P309" s="652"/>
    </row>
    <row r="310" spans="1:16" s="597" customFormat="1" ht="56.25">
      <c r="A310" s="590">
        <v>8</v>
      </c>
      <c r="B310" s="591" t="s">
        <v>58</v>
      </c>
      <c r="C310" s="592" t="s">
        <v>366</v>
      </c>
      <c r="D310" s="593"/>
      <c r="E310" s="593"/>
      <c r="F310" s="594"/>
      <c r="G310" s="594"/>
      <c r="H310" s="594"/>
      <c r="I310" s="595"/>
      <c r="J310" s="593"/>
      <c r="K310" s="596">
        <f>K311</f>
        <v>4804.3999999999996</v>
      </c>
      <c r="L310" s="596">
        <f>L311</f>
        <v>0</v>
      </c>
      <c r="M310" s="596">
        <f>M311</f>
        <v>4804.3999999999996</v>
      </c>
      <c r="N310" s="596">
        <f>N311</f>
        <v>4687</v>
      </c>
    </row>
    <row r="311" spans="1:16" s="598" customFormat="1" ht="18.75">
      <c r="A311" s="590"/>
      <c r="B311" s="455" t="s">
        <v>247</v>
      </c>
      <c r="C311" s="456" t="s">
        <v>366</v>
      </c>
      <c r="D311" s="457" t="s">
        <v>297</v>
      </c>
      <c r="E311" s="457"/>
      <c r="F311" s="458"/>
      <c r="G311" s="458"/>
      <c r="H311" s="458"/>
      <c r="I311" s="459"/>
      <c r="J311" s="457"/>
      <c r="K311" s="460">
        <f>K312+K319</f>
        <v>4804.3999999999996</v>
      </c>
      <c r="L311" s="460">
        <f>L312+L319</f>
        <v>0</v>
      </c>
      <c r="M311" s="460">
        <f>M312+M319</f>
        <v>4804.3999999999996</v>
      </c>
      <c r="N311" s="460">
        <f>N312+N319</f>
        <v>4687</v>
      </c>
    </row>
    <row r="312" spans="1:16" s="599" customFormat="1" ht="18.75">
      <c r="A312" s="590"/>
      <c r="B312" s="455" t="s">
        <v>482</v>
      </c>
      <c r="C312" s="456" t="s">
        <v>366</v>
      </c>
      <c r="D312" s="457" t="s">
        <v>297</v>
      </c>
      <c r="E312" s="457" t="s">
        <v>297</v>
      </c>
      <c r="F312" s="458"/>
      <c r="G312" s="458"/>
      <c r="H312" s="458"/>
      <c r="I312" s="459"/>
      <c r="J312" s="457"/>
      <c r="K312" s="460">
        <f t="shared" ref="K312:N315" si="100">K313</f>
        <v>2153.5</v>
      </c>
      <c r="L312" s="460">
        <f t="shared" si="100"/>
        <v>0</v>
      </c>
      <c r="M312" s="460">
        <f t="shared" si="100"/>
        <v>2153.5</v>
      </c>
      <c r="N312" s="460">
        <f t="shared" si="100"/>
        <v>2153.5</v>
      </c>
    </row>
    <row r="313" spans="1:16" s="599" customFormat="1" ht="56.25">
      <c r="A313" s="590"/>
      <c r="B313" s="455" t="s">
        <v>294</v>
      </c>
      <c r="C313" s="456" t="s">
        <v>366</v>
      </c>
      <c r="D313" s="457" t="s">
        <v>297</v>
      </c>
      <c r="E313" s="457" t="s">
        <v>297</v>
      </c>
      <c r="F313" s="458" t="s">
        <v>120</v>
      </c>
      <c r="G313" s="458" t="s">
        <v>94</v>
      </c>
      <c r="H313" s="458" t="s">
        <v>95</v>
      </c>
      <c r="I313" s="459" t="s">
        <v>96</v>
      </c>
      <c r="J313" s="457"/>
      <c r="K313" s="460">
        <f t="shared" si="100"/>
        <v>2153.5</v>
      </c>
      <c r="L313" s="460">
        <f t="shared" si="100"/>
        <v>0</v>
      </c>
      <c r="M313" s="460">
        <f t="shared" si="100"/>
        <v>2153.5</v>
      </c>
      <c r="N313" s="460">
        <f t="shared" si="100"/>
        <v>2153.5</v>
      </c>
    </row>
    <row r="314" spans="1:16" s="599" customFormat="1" ht="18.75">
      <c r="A314" s="590"/>
      <c r="B314" s="455" t="s">
        <v>295</v>
      </c>
      <c r="C314" s="456" t="s">
        <v>366</v>
      </c>
      <c r="D314" s="457" t="s">
        <v>297</v>
      </c>
      <c r="E314" s="457" t="s">
        <v>297</v>
      </c>
      <c r="F314" s="458" t="s">
        <v>120</v>
      </c>
      <c r="G314" s="458" t="s">
        <v>97</v>
      </c>
      <c r="H314" s="458" t="s">
        <v>95</v>
      </c>
      <c r="I314" s="459" t="s">
        <v>96</v>
      </c>
      <c r="J314" s="457"/>
      <c r="K314" s="460">
        <f t="shared" si="100"/>
        <v>2153.5</v>
      </c>
      <c r="L314" s="460">
        <f t="shared" si="100"/>
        <v>0</v>
      </c>
      <c r="M314" s="460">
        <f t="shared" si="100"/>
        <v>2153.5</v>
      </c>
      <c r="N314" s="460">
        <f t="shared" si="100"/>
        <v>2153.5</v>
      </c>
    </row>
    <row r="315" spans="1:16" s="599" customFormat="1" ht="93.75">
      <c r="A315" s="590"/>
      <c r="B315" s="455" t="s">
        <v>367</v>
      </c>
      <c r="C315" s="456" t="s">
        <v>366</v>
      </c>
      <c r="D315" s="457" t="s">
        <v>297</v>
      </c>
      <c r="E315" s="457" t="s">
        <v>297</v>
      </c>
      <c r="F315" s="458" t="s">
        <v>120</v>
      </c>
      <c r="G315" s="458" t="s">
        <v>97</v>
      </c>
      <c r="H315" s="458" t="s">
        <v>89</v>
      </c>
      <c r="I315" s="459" t="s">
        <v>96</v>
      </c>
      <c r="J315" s="457"/>
      <c r="K315" s="460">
        <f t="shared" si="100"/>
        <v>2153.5</v>
      </c>
      <c r="L315" s="460">
        <f t="shared" si="100"/>
        <v>0</v>
      </c>
      <c r="M315" s="460">
        <f t="shared" si="100"/>
        <v>2153.5</v>
      </c>
      <c r="N315" s="460">
        <f t="shared" si="100"/>
        <v>2153.5</v>
      </c>
    </row>
    <row r="316" spans="1:16" s="599" customFormat="1" ht="70.900000000000006" customHeight="1">
      <c r="A316" s="590"/>
      <c r="B316" s="455" t="s">
        <v>150</v>
      </c>
      <c r="C316" s="456" t="s">
        <v>366</v>
      </c>
      <c r="D316" s="457" t="s">
        <v>297</v>
      </c>
      <c r="E316" s="457" t="s">
        <v>297</v>
      </c>
      <c r="F316" s="458" t="s">
        <v>120</v>
      </c>
      <c r="G316" s="458" t="s">
        <v>97</v>
      </c>
      <c r="H316" s="458" t="s">
        <v>89</v>
      </c>
      <c r="I316" s="459" t="s">
        <v>152</v>
      </c>
      <c r="J316" s="457"/>
      <c r="K316" s="460">
        <f t="shared" ref="K316" si="101">SUM(K317:K318)</f>
        <v>2153.5</v>
      </c>
      <c r="L316" s="460">
        <f>SUM(L317:L318)</f>
        <v>0</v>
      </c>
      <c r="M316" s="460">
        <f t="shared" ref="M316:N316" si="102">SUM(M317:M318)</f>
        <v>2153.5</v>
      </c>
      <c r="N316" s="460">
        <f t="shared" si="102"/>
        <v>2153.5</v>
      </c>
    </row>
    <row r="317" spans="1:16" s="599" customFormat="1" ht="90.6" customHeight="1">
      <c r="A317" s="583"/>
      <c r="B317" s="455" t="s">
        <v>101</v>
      </c>
      <c r="C317" s="456" t="s">
        <v>366</v>
      </c>
      <c r="D317" s="457" t="s">
        <v>297</v>
      </c>
      <c r="E317" s="457" t="s">
        <v>297</v>
      </c>
      <c r="F317" s="458" t="s">
        <v>120</v>
      </c>
      <c r="G317" s="458" t="s">
        <v>97</v>
      </c>
      <c r="H317" s="458" t="s">
        <v>89</v>
      </c>
      <c r="I317" s="459" t="s">
        <v>152</v>
      </c>
      <c r="J317" s="457" t="s">
        <v>102</v>
      </c>
      <c r="K317" s="460">
        <v>2114.5</v>
      </c>
      <c r="L317" s="460">
        <f t="shared" ref="L317:L318" si="103">M317-K317</f>
        <v>0</v>
      </c>
      <c r="M317" s="460">
        <v>2114.5</v>
      </c>
      <c r="N317" s="460">
        <v>2114.5</v>
      </c>
    </row>
    <row r="318" spans="1:16" s="598" customFormat="1" ht="34.9" customHeight="1">
      <c r="A318" s="583"/>
      <c r="B318" s="58" t="s">
        <v>107</v>
      </c>
      <c r="C318" s="456" t="s">
        <v>366</v>
      </c>
      <c r="D318" s="457" t="s">
        <v>297</v>
      </c>
      <c r="E318" s="457" t="s">
        <v>297</v>
      </c>
      <c r="F318" s="462" t="s">
        <v>120</v>
      </c>
      <c r="G318" s="458" t="s">
        <v>97</v>
      </c>
      <c r="H318" s="458" t="s">
        <v>89</v>
      </c>
      <c r="I318" s="459" t="s">
        <v>152</v>
      </c>
      <c r="J318" s="457" t="s">
        <v>108</v>
      </c>
      <c r="K318" s="460">
        <v>39</v>
      </c>
      <c r="L318" s="460">
        <f t="shared" si="103"/>
        <v>0</v>
      </c>
      <c r="M318" s="460">
        <v>39</v>
      </c>
      <c r="N318" s="460">
        <v>39</v>
      </c>
    </row>
    <row r="319" spans="1:16" s="598" customFormat="1" ht="19.899999999999999" customHeight="1">
      <c r="A319" s="583"/>
      <c r="B319" s="58" t="s">
        <v>254</v>
      </c>
      <c r="C319" s="653" t="s">
        <v>366</v>
      </c>
      <c r="D319" s="457" t="s">
        <v>297</v>
      </c>
      <c r="E319" s="457" t="s">
        <v>138</v>
      </c>
      <c r="F319" s="654"/>
      <c r="G319" s="655"/>
      <c r="H319" s="655"/>
      <c r="I319" s="656"/>
      <c r="J319" s="657"/>
      <c r="K319" s="460">
        <f t="shared" ref="K319:N322" si="104">K320</f>
        <v>2650.9</v>
      </c>
      <c r="L319" s="460">
        <f t="shared" si="104"/>
        <v>0</v>
      </c>
      <c r="M319" s="460">
        <f t="shared" si="104"/>
        <v>2650.9</v>
      </c>
      <c r="N319" s="460">
        <f t="shared" si="104"/>
        <v>2533.5</v>
      </c>
      <c r="P319" s="652"/>
    </row>
    <row r="320" spans="1:16" s="598" customFormat="1" ht="37.15" customHeight="1">
      <c r="A320" s="583"/>
      <c r="B320" s="58" t="s">
        <v>294</v>
      </c>
      <c r="C320" s="653" t="s">
        <v>366</v>
      </c>
      <c r="D320" s="457" t="s">
        <v>297</v>
      </c>
      <c r="E320" s="457" t="s">
        <v>138</v>
      </c>
      <c r="F320" s="654" t="s">
        <v>120</v>
      </c>
      <c r="G320" s="655" t="s">
        <v>94</v>
      </c>
      <c r="H320" s="655" t="s">
        <v>95</v>
      </c>
      <c r="I320" s="656" t="s">
        <v>96</v>
      </c>
      <c r="J320" s="657"/>
      <c r="K320" s="460">
        <f t="shared" si="104"/>
        <v>2650.9</v>
      </c>
      <c r="L320" s="460">
        <f t="shared" si="104"/>
        <v>0</v>
      </c>
      <c r="M320" s="460">
        <f t="shared" si="104"/>
        <v>2650.9</v>
      </c>
      <c r="N320" s="460">
        <f t="shared" si="104"/>
        <v>2533.5</v>
      </c>
      <c r="P320" s="652"/>
    </row>
    <row r="321" spans="1:16" s="576" customFormat="1" ht="37.5">
      <c r="A321" s="583"/>
      <c r="B321" s="455" t="s">
        <v>293</v>
      </c>
      <c r="C321" s="456" t="s">
        <v>366</v>
      </c>
      <c r="D321" s="457" t="s">
        <v>297</v>
      </c>
      <c r="E321" s="457" t="s">
        <v>138</v>
      </c>
      <c r="F321" s="458" t="s">
        <v>120</v>
      </c>
      <c r="G321" s="458" t="s">
        <v>149</v>
      </c>
      <c r="H321" s="458" t="s">
        <v>95</v>
      </c>
      <c r="I321" s="459" t="s">
        <v>96</v>
      </c>
      <c r="J321" s="457"/>
      <c r="K321" s="460">
        <f t="shared" si="104"/>
        <v>2650.9</v>
      </c>
      <c r="L321" s="460">
        <f t="shared" si="104"/>
        <v>0</v>
      </c>
      <c r="M321" s="460">
        <f t="shared" si="104"/>
        <v>2650.9</v>
      </c>
      <c r="N321" s="460">
        <f t="shared" si="104"/>
        <v>2533.5</v>
      </c>
    </row>
    <row r="322" spans="1:16" s="599" customFormat="1" ht="37.5">
      <c r="A322" s="583"/>
      <c r="B322" s="455" t="s">
        <v>361</v>
      </c>
      <c r="C322" s="456" t="s">
        <v>366</v>
      </c>
      <c r="D322" s="457" t="s">
        <v>297</v>
      </c>
      <c r="E322" s="457" t="s">
        <v>138</v>
      </c>
      <c r="F322" s="458" t="s">
        <v>120</v>
      </c>
      <c r="G322" s="458" t="s">
        <v>149</v>
      </c>
      <c r="H322" s="458" t="s">
        <v>89</v>
      </c>
      <c r="I322" s="459" t="s">
        <v>96</v>
      </c>
      <c r="J322" s="457"/>
      <c r="K322" s="460">
        <f t="shared" si="104"/>
        <v>2650.9</v>
      </c>
      <c r="L322" s="460">
        <f t="shared" si="104"/>
        <v>0</v>
      </c>
      <c r="M322" s="460">
        <f t="shared" si="104"/>
        <v>2650.9</v>
      </c>
      <c r="N322" s="460">
        <f t="shared" si="104"/>
        <v>2533.5</v>
      </c>
    </row>
    <row r="323" spans="1:16" s="598" customFormat="1" ht="37.5">
      <c r="A323" s="583"/>
      <c r="B323" s="455" t="s">
        <v>99</v>
      </c>
      <c r="C323" s="456" t="s">
        <v>366</v>
      </c>
      <c r="D323" s="457" t="s">
        <v>297</v>
      </c>
      <c r="E323" s="457" t="s">
        <v>138</v>
      </c>
      <c r="F323" s="458" t="s">
        <v>120</v>
      </c>
      <c r="G323" s="458" t="s">
        <v>149</v>
      </c>
      <c r="H323" s="458" t="s">
        <v>89</v>
      </c>
      <c r="I323" s="459" t="s">
        <v>100</v>
      </c>
      <c r="J323" s="457"/>
      <c r="K323" s="460">
        <f>K324+K325+K326</f>
        <v>2650.9</v>
      </c>
      <c r="L323" s="460">
        <f>L324+L325+L326</f>
        <v>0</v>
      </c>
      <c r="M323" s="460">
        <f>M324+M325+M326</f>
        <v>2650.9</v>
      </c>
      <c r="N323" s="460">
        <f>N324+N325+N326</f>
        <v>2533.5</v>
      </c>
    </row>
    <row r="324" spans="1:16" s="598" customFormat="1" ht="88.15" customHeight="1">
      <c r="A324" s="583"/>
      <c r="B324" s="455" t="s">
        <v>101</v>
      </c>
      <c r="C324" s="456" t="s">
        <v>366</v>
      </c>
      <c r="D324" s="457" t="s">
        <v>297</v>
      </c>
      <c r="E324" s="457" t="s">
        <v>138</v>
      </c>
      <c r="F324" s="458" t="s">
        <v>120</v>
      </c>
      <c r="G324" s="458" t="s">
        <v>149</v>
      </c>
      <c r="H324" s="458" t="s">
        <v>89</v>
      </c>
      <c r="I324" s="459" t="s">
        <v>100</v>
      </c>
      <c r="J324" s="457" t="s">
        <v>102</v>
      </c>
      <c r="K324" s="460">
        <v>2533.5</v>
      </c>
      <c r="L324" s="460">
        <f t="shared" ref="L324:L326" si="105">M324-K324</f>
        <v>0</v>
      </c>
      <c r="M324" s="460">
        <v>2533.5</v>
      </c>
      <c r="N324" s="460">
        <v>2533.5</v>
      </c>
      <c r="P324" s="652"/>
    </row>
    <row r="325" spans="1:16" s="598" customFormat="1" ht="33.6" customHeight="1">
      <c r="A325" s="583"/>
      <c r="B325" s="455" t="s">
        <v>107</v>
      </c>
      <c r="C325" s="648" t="s">
        <v>366</v>
      </c>
      <c r="D325" s="649" t="s">
        <v>297</v>
      </c>
      <c r="E325" s="457" t="s">
        <v>138</v>
      </c>
      <c r="F325" s="458" t="s">
        <v>120</v>
      </c>
      <c r="G325" s="458" t="s">
        <v>149</v>
      </c>
      <c r="H325" s="458" t="s">
        <v>89</v>
      </c>
      <c r="I325" s="459" t="s">
        <v>100</v>
      </c>
      <c r="J325" s="457" t="s">
        <v>108</v>
      </c>
      <c r="K325" s="460">
        <v>117.1</v>
      </c>
      <c r="L325" s="460">
        <f t="shared" si="105"/>
        <v>0</v>
      </c>
      <c r="M325" s="460">
        <v>117.1</v>
      </c>
      <c r="N325" s="460">
        <v>0</v>
      </c>
    </row>
    <row r="326" spans="1:16" s="598" customFormat="1" ht="18.75">
      <c r="A326" s="583"/>
      <c r="B326" s="455" t="s">
        <v>109</v>
      </c>
      <c r="C326" s="648" t="s">
        <v>366</v>
      </c>
      <c r="D326" s="649" t="s">
        <v>297</v>
      </c>
      <c r="E326" s="457" t="s">
        <v>138</v>
      </c>
      <c r="F326" s="458" t="s">
        <v>120</v>
      </c>
      <c r="G326" s="458" t="s">
        <v>149</v>
      </c>
      <c r="H326" s="458" t="s">
        <v>89</v>
      </c>
      <c r="I326" s="459" t="s">
        <v>100</v>
      </c>
      <c r="J326" s="457" t="s">
        <v>110</v>
      </c>
      <c r="K326" s="460">
        <v>0.3</v>
      </c>
      <c r="L326" s="460">
        <f t="shared" si="105"/>
        <v>0</v>
      </c>
      <c r="M326" s="460">
        <v>0.3</v>
      </c>
      <c r="N326" s="460">
        <v>0</v>
      </c>
      <c r="P326" s="652"/>
    </row>
    <row r="327" spans="1:16" ht="18.75">
      <c r="A327" s="583"/>
      <c r="B327" s="455"/>
      <c r="C327" s="648"/>
      <c r="D327" s="649"/>
      <c r="E327" s="649"/>
      <c r="F327" s="625"/>
      <c r="G327" s="625"/>
      <c r="H327" s="625"/>
      <c r="I327" s="650"/>
      <c r="J327" s="649"/>
      <c r="K327" s="460"/>
      <c r="L327" s="460"/>
      <c r="M327" s="460"/>
      <c r="N327" s="460"/>
    </row>
    <row r="328" spans="1:16" s="597" customFormat="1" ht="56.25">
      <c r="A328" s="590">
        <v>9</v>
      </c>
      <c r="B328" s="591" t="s">
        <v>59</v>
      </c>
      <c r="C328" s="592" t="s">
        <v>378</v>
      </c>
      <c r="D328" s="593"/>
      <c r="E328" s="593"/>
      <c r="F328" s="594"/>
      <c r="G328" s="594"/>
      <c r="H328" s="594"/>
      <c r="I328" s="595"/>
      <c r="J328" s="593"/>
      <c r="K328" s="596">
        <f>K329+K336</f>
        <v>69041.8</v>
      </c>
      <c r="L328" s="596">
        <f>L329+L336</f>
        <v>0</v>
      </c>
      <c r="M328" s="596">
        <f>M329+M336</f>
        <v>69041.8</v>
      </c>
      <c r="N328" s="596">
        <f>N329+N336</f>
        <v>71541.8</v>
      </c>
    </row>
    <row r="329" spans="1:16" s="598" customFormat="1" ht="18.75">
      <c r="A329" s="583"/>
      <c r="B329" s="604" t="s">
        <v>247</v>
      </c>
      <c r="C329" s="456" t="s">
        <v>378</v>
      </c>
      <c r="D329" s="457" t="s">
        <v>297</v>
      </c>
      <c r="E329" s="457"/>
      <c r="F329" s="458"/>
      <c r="G329" s="458"/>
      <c r="H329" s="458"/>
      <c r="I329" s="459"/>
      <c r="J329" s="457"/>
      <c r="K329" s="460">
        <f t="shared" ref="K329:N334" si="106">K330</f>
        <v>15.6</v>
      </c>
      <c r="L329" s="460">
        <f t="shared" si="106"/>
        <v>0</v>
      </c>
      <c r="M329" s="460">
        <f t="shared" si="106"/>
        <v>15.6</v>
      </c>
      <c r="N329" s="460">
        <f t="shared" si="106"/>
        <v>15.6</v>
      </c>
    </row>
    <row r="330" spans="1:16" s="599" customFormat="1" ht="18.75">
      <c r="A330" s="583"/>
      <c r="B330" s="455" t="s">
        <v>482</v>
      </c>
      <c r="C330" s="456" t="s">
        <v>378</v>
      </c>
      <c r="D330" s="457" t="s">
        <v>297</v>
      </c>
      <c r="E330" s="457" t="s">
        <v>297</v>
      </c>
      <c r="F330" s="458"/>
      <c r="G330" s="458"/>
      <c r="H330" s="458"/>
      <c r="I330" s="459"/>
      <c r="J330" s="457"/>
      <c r="K330" s="460">
        <f t="shared" si="106"/>
        <v>15.6</v>
      </c>
      <c r="L330" s="460">
        <f t="shared" si="106"/>
        <v>0</v>
      </c>
      <c r="M330" s="460">
        <f t="shared" si="106"/>
        <v>15.6</v>
      </c>
      <c r="N330" s="460">
        <f t="shared" si="106"/>
        <v>15.6</v>
      </c>
    </row>
    <row r="331" spans="1:16" s="599" customFormat="1" ht="56.25">
      <c r="A331" s="583"/>
      <c r="B331" s="455" t="s">
        <v>379</v>
      </c>
      <c r="C331" s="456" t="s">
        <v>378</v>
      </c>
      <c r="D331" s="457" t="s">
        <v>297</v>
      </c>
      <c r="E331" s="457" t="s">
        <v>297</v>
      </c>
      <c r="F331" s="458" t="s">
        <v>138</v>
      </c>
      <c r="G331" s="458" t="s">
        <v>94</v>
      </c>
      <c r="H331" s="458" t="s">
        <v>95</v>
      </c>
      <c r="I331" s="459" t="s">
        <v>96</v>
      </c>
      <c r="J331" s="457"/>
      <c r="K331" s="460">
        <f t="shared" si="106"/>
        <v>15.6</v>
      </c>
      <c r="L331" s="460">
        <f t="shared" si="106"/>
        <v>0</v>
      </c>
      <c r="M331" s="460">
        <f t="shared" si="106"/>
        <v>15.6</v>
      </c>
      <c r="N331" s="460">
        <f t="shared" si="106"/>
        <v>15.6</v>
      </c>
    </row>
    <row r="332" spans="1:16" s="599" customFormat="1" ht="34.9" customHeight="1">
      <c r="A332" s="583"/>
      <c r="B332" s="455" t="s">
        <v>455</v>
      </c>
      <c r="C332" s="456" t="s">
        <v>378</v>
      </c>
      <c r="D332" s="457" t="s">
        <v>297</v>
      </c>
      <c r="E332" s="457" t="s">
        <v>297</v>
      </c>
      <c r="F332" s="458" t="s">
        <v>138</v>
      </c>
      <c r="G332" s="458" t="s">
        <v>97</v>
      </c>
      <c r="H332" s="458" t="s">
        <v>95</v>
      </c>
      <c r="I332" s="459" t="s">
        <v>96</v>
      </c>
      <c r="J332" s="457"/>
      <c r="K332" s="460">
        <f t="shared" si="106"/>
        <v>15.6</v>
      </c>
      <c r="L332" s="460">
        <f t="shared" si="106"/>
        <v>0</v>
      </c>
      <c r="M332" s="460">
        <f t="shared" si="106"/>
        <v>15.6</v>
      </c>
      <c r="N332" s="460">
        <f t="shared" si="106"/>
        <v>15.6</v>
      </c>
    </row>
    <row r="333" spans="1:16" s="599" customFormat="1" ht="37.5">
      <c r="A333" s="583"/>
      <c r="B333" s="455" t="s">
        <v>364</v>
      </c>
      <c r="C333" s="456" t="s">
        <v>378</v>
      </c>
      <c r="D333" s="457" t="s">
        <v>297</v>
      </c>
      <c r="E333" s="457" t="s">
        <v>297</v>
      </c>
      <c r="F333" s="458" t="s">
        <v>138</v>
      </c>
      <c r="G333" s="458" t="s">
        <v>97</v>
      </c>
      <c r="H333" s="458" t="s">
        <v>89</v>
      </c>
      <c r="I333" s="459" t="s">
        <v>96</v>
      </c>
      <c r="J333" s="457"/>
      <c r="K333" s="460">
        <f t="shared" si="106"/>
        <v>15.6</v>
      </c>
      <c r="L333" s="460">
        <f t="shared" si="106"/>
        <v>0</v>
      </c>
      <c r="M333" s="460">
        <f t="shared" si="106"/>
        <v>15.6</v>
      </c>
      <c r="N333" s="460">
        <f t="shared" si="106"/>
        <v>15.6</v>
      </c>
    </row>
    <row r="334" spans="1:16" s="599" customFormat="1" ht="168.75">
      <c r="A334" s="583"/>
      <c r="B334" s="658" t="s">
        <v>496</v>
      </c>
      <c r="C334" s="456" t="s">
        <v>378</v>
      </c>
      <c r="D334" s="457" t="s">
        <v>297</v>
      </c>
      <c r="E334" s="457" t="s">
        <v>297</v>
      </c>
      <c r="F334" s="458" t="s">
        <v>138</v>
      </c>
      <c r="G334" s="458" t="s">
        <v>97</v>
      </c>
      <c r="H334" s="458" t="s">
        <v>89</v>
      </c>
      <c r="I334" s="459" t="s">
        <v>380</v>
      </c>
      <c r="J334" s="457"/>
      <c r="K334" s="460">
        <f t="shared" si="106"/>
        <v>15.6</v>
      </c>
      <c r="L334" s="460">
        <f t="shared" si="106"/>
        <v>0</v>
      </c>
      <c r="M334" s="460">
        <f t="shared" si="106"/>
        <v>15.6</v>
      </c>
      <c r="N334" s="460">
        <f t="shared" si="106"/>
        <v>15.6</v>
      </c>
    </row>
    <row r="335" spans="1:16" s="599" customFormat="1" ht="34.15" customHeight="1">
      <c r="A335" s="583"/>
      <c r="B335" s="455" t="s">
        <v>182</v>
      </c>
      <c r="C335" s="456" t="s">
        <v>378</v>
      </c>
      <c r="D335" s="457" t="s">
        <v>297</v>
      </c>
      <c r="E335" s="457" t="s">
        <v>297</v>
      </c>
      <c r="F335" s="458" t="s">
        <v>138</v>
      </c>
      <c r="G335" s="458" t="s">
        <v>97</v>
      </c>
      <c r="H335" s="458" t="s">
        <v>89</v>
      </c>
      <c r="I335" s="459" t="s">
        <v>380</v>
      </c>
      <c r="J335" s="457" t="s">
        <v>183</v>
      </c>
      <c r="K335" s="460">
        <v>15.6</v>
      </c>
      <c r="L335" s="460">
        <f>M335-K335</f>
        <v>0</v>
      </c>
      <c r="M335" s="460">
        <v>15.6</v>
      </c>
      <c r="N335" s="460">
        <v>15.6</v>
      </c>
    </row>
    <row r="336" spans="1:16" s="597" customFormat="1" ht="18.75">
      <c r="A336" s="583"/>
      <c r="B336" s="604" t="s">
        <v>181</v>
      </c>
      <c r="C336" s="456" t="s">
        <v>378</v>
      </c>
      <c r="D336" s="457" t="s">
        <v>166</v>
      </c>
      <c r="E336" s="457"/>
      <c r="F336" s="458"/>
      <c r="G336" s="458"/>
      <c r="H336" s="458"/>
      <c r="I336" s="459"/>
      <c r="J336" s="457"/>
      <c r="K336" s="460">
        <f t="shared" ref="K336" si="107">K337+K358</f>
        <v>69026.2</v>
      </c>
      <c r="L336" s="460">
        <f>L337+L358</f>
        <v>0</v>
      </c>
      <c r="M336" s="460">
        <f t="shared" ref="M336:N336" si="108">M337+M358</f>
        <v>69026.2</v>
      </c>
      <c r="N336" s="460">
        <f t="shared" si="108"/>
        <v>71526.2</v>
      </c>
      <c r="P336" s="644"/>
    </row>
    <row r="337" spans="1:14" s="598" customFormat="1" ht="18.75">
      <c r="A337" s="583"/>
      <c r="B337" s="455" t="s">
        <v>265</v>
      </c>
      <c r="C337" s="456" t="s">
        <v>378</v>
      </c>
      <c r="D337" s="457" t="s">
        <v>166</v>
      </c>
      <c r="E337" s="457" t="s">
        <v>104</v>
      </c>
      <c r="F337" s="458"/>
      <c r="G337" s="458"/>
      <c r="H337" s="458"/>
      <c r="I337" s="459"/>
      <c r="J337" s="457"/>
      <c r="K337" s="460">
        <f t="shared" ref="K337:N337" si="109">K338</f>
        <v>62777.4</v>
      </c>
      <c r="L337" s="460">
        <f>L338</f>
        <v>0</v>
      </c>
      <c r="M337" s="460">
        <f t="shared" si="109"/>
        <v>62777.4</v>
      </c>
      <c r="N337" s="460">
        <f t="shared" si="109"/>
        <v>65277.399999999994</v>
      </c>
    </row>
    <row r="338" spans="1:14" s="576" customFormat="1" ht="56.25">
      <c r="A338" s="583"/>
      <c r="B338" s="647" t="s">
        <v>303</v>
      </c>
      <c r="C338" s="456" t="s">
        <v>378</v>
      </c>
      <c r="D338" s="457" t="s">
        <v>166</v>
      </c>
      <c r="E338" s="457" t="s">
        <v>104</v>
      </c>
      <c r="F338" s="458" t="s">
        <v>138</v>
      </c>
      <c r="G338" s="458" t="s">
        <v>94</v>
      </c>
      <c r="H338" s="458" t="s">
        <v>95</v>
      </c>
      <c r="I338" s="459" t="s">
        <v>96</v>
      </c>
      <c r="J338" s="457"/>
      <c r="K338" s="460">
        <f t="shared" ref="K338:N338" si="110">K339</f>
        <v>62777.4</v>
      </c>
      <c r="L338" s="460">
        <f t="shared" si="110"/>
        <v>0</v>
      </c>
      <c r="M338" s="460">
        <f t="shared" si="110"/>
        <v>62777.4</v>
      </c>
      <c r="N338" s="460">
        <f t="shared" si="110"/>
        <v>65277.399999999994</v>
      </c>
    </row>
    <row r="339" spans="1:14" s="576" customFormat="1" ht="37.5">
      <c r="A339" s="583"/>
      <c r="B339" s="455" t="s">
        <v>455</v>
      </c>
      <c r="C339" s="456" t="s">
        <v>378</v>
      </c>
      <c r="D339" s="457" t="s">
        <v>166</v>
      </c>
      <c r="E339" s="457" t="s">
        <v>104</v>
      </c>
      <c r="F339" s="458" t="s">
        <v>138</v>
      </c>
      <c r="G339" s="458" t="s">
        <v>97</v>
      </c>
      <c r="H339" s="458" t="s">
        <v>95</v>
      </c>
      <c r="I339" s="459" t="s">
        <v>96</v>
      </c>
      <c r="J339" s="457"/>
      <c r="K339" s="460">
        <f t="shared" ref="K339" si="111">K340+K353</f>
        <v>62777.4</v>
      </c>
      <c r="L339" s="460">
        <f>L340+L353</f>
        <v>0</v>
      </c>
      <c r="M339" s="460">
        <f t="shared" ref="M339:N339" si="112">M340+M353</f>
        <v>62777.4</v>
      </c>
      <c r="N339" s="460">
        <f t="shared" si="112"/>
        <v>65277.399999999994</v>
      </c>
    </row>
    <row r="340" spans="1:14" s="599" customFormat="1" ht="37.5">
      <c r="A340" s="583"/>
      <c r="B340" s="455" t="s">
        <v>364</v>
      </c>
      <c r="C340" s="456" t="s">
        <v>378</v>
      </c>
      <c r="D340" s="457" t="s">
        <v>166</v>
      </c>
      <c r="E340" s="457" t="s">
        <v>104</v>
      </c>
      <c r="F340" s="458" t="s">
        <v>138</v>
      </c>
      <c r="G340" s="458" t="s">
        <v>97</v>
      </c>
      <c r="H340" s="458" t="s">
        <v>89</v>
      </c>
      <c r="I340" s="459" t="s">
        <v>96</v>
      </c>
      <c r="J340" s="457"/>
      <c r="K340" s="460">
        <f>K341+K344+K347+K350</f>
        <v>62541.200000000004</v>
      </c>
      <c r="L340" s="460">
        <f>L341+L344+L347+L350</f>
        <v>0</v>
      </c>
      <c r="M340" s="460">
        <f>M341+M344+M347+M350</f>
        <v>62541.200000000004</v>
      </c>
      <c r="N340" s="460">
        <f>N341+N344+N347+N350</f>
        <v>65041.2</v>
      </c>
    </row>
    <row r="341" spans="1:14" s="599" customFormat="1" ht="148.15" customHeight="1">
      <c r="A341" s="583"/>
      <c r="B341" s="659" t="s">
        <v>497</v>
      </c>
      <c r="C341" s="456" t="s">
        <v>378</v>
      </c>
      <c r="D341" s="457" t="s">
        <v>166</v>
      </c>
      <c r="E341" s="457" t="s">
        <v>104</v>
      </c>
      <c r="F341" s="458" t="s">
        <v>138</v>
      </c>
      <c r="G341" s="458" t="s">
        <v>97</v>
      </c>
      <c r="H341" s="458" t="s">
        <v>89</v>
      </c>
      <c r="I341" s="459" t="s">
        <v>381</v>
      </c>
      <c r="J341" s="457"/>
      <c r="K341" s="460">
        <f>SUM(K342:K343)</f>
        <v>34336.800000000003</v>
      </c>
      <c r="L341" s="460">
        <f>SUM(L342:L343)</f>
        <v>0</v>
      </c>
      <c r="M341" s="460">
        <f>SUM(M342:M343)</f>
        <v>34336.800000000003</v>
      </c>
      <c r="N341" s="460">
        <f>SUM(N342:N343)</f>
        <v>35709.599999999999</v>
      </c>
    </row>
    <row r="342" spans="1:14" s="599" customFormat="1" ht="37.15" customHeight="1">
      <c r="A342" s="583"/>
      <c r="B342" s="455" t="s">
        <v>107</v>
      </c>
      <c r="C342" s="456" t="s">
        <v>378</v>
      </c>
      <c r="D342" s="457" t="s">
        <v>166</v>
      </c>
      <c r="E342" s="457" t="s">
        <v>104</v>
      </c>
      <c r="F342" s="458" t="s">
        <v>138</v>
      </c>
      <c r="G342" s="458" t="s">
        <v>97</v>
      </c>
      <c r="H342" s="458" t="s">
        <v>89</v>
      </c>
      <c r="I342" s="459" t="s">
        <v>381</v>
      </c>
      <c r="J342" s="457" t="s">
        <v>108</v>
      </c>
      <c r="K342" s="460">
        <v>170.8</v>
      </c>
      <c r="L342" s="460">
        <f t="shared" ref="L342:L343" si="113">M342-K342</f>
        <v>0</v>
      </c>
      <c r="M342" s="460">
        <v>170.8</v>
      </c>
      <c r="N342" s="460">
        <v>177.6</v>
      </c>
    </row>
    <row r="343" spans="1:14" s="599" customFormat="1" ht="37.5">
      <c r="A343" s="583"/>
      <c r="B343" s="455" t="s">
        <v>182</v>
      </c>
      <c r="C343" s="456" t="s">
        <v>378</v>
      </c>
      <c r="D343" s="457" t="s">
        <v>166</v>
      </c>
      <c r="E343" s="457" t="s">
        <v>104</v>
      </c>
      <c r="F343" s="458" t="s">
        <v>138</v>
      </c>
      <c r="G343" s="458" t="s">
        <v>97</v>
      </c>
      <c r="H343" s="458" t="s">
        <v>89</v>
      </c>
      <c r="I343" s="459" t="s">
        <v>381</v>
      </c>
      <c r="J343" s="457" t="s">
        <v>183</v>
      </c>
      <c r="K343" s="460">
        <v>34166</v>
      </c>
      <c r="L343" s="460">
        <f t="shared" si="113"/>
        <v>0</v>
      </c>
      <c r="M343" s="460">
        <v>34166</v>
      </c>
      <c r="N343" s="460">
        <v>35532</v>
      </c>
    </row>
    <row r="344" spans="1:14" s="599" customFormat="1" ht="93.75">
      <c r="A344" s="583"/>
      <c r="B344" s="455" t="s">
        <v>498</v>
      </c>
      <c r="C344" s="456" t="s">
        <v>378</v>
      </c>
      <c r="D344" s="457" t="s">
        <v>166</v>
      </c>
      <c r="E344" s="457" t="s">
        <v>104</v>
      </c>
      <c r="F344" s="458" t="s">
        <v>138</v>
      </c>
      <c r="G344" s="458" t="s">
        <v>97</v>
      </c>
      <c r="H344" s="458" t="s">
        <v>89</v>
      </c>
      <c r="I344" s="459" t="s">
        <v>382</v>
      </c>
      <c r="J344" s="457"/>
      <c r="K344" s="460">
        <f>SUM(K345:K346)</f>
        <v>27224.300000000003</v>
      </c>
      <c r="L344" s="460">
        <f>SUM(L345:L346)</f>
        <v>0</v>
      </c>
      <c r="M344" s="460">
        <f>SUM(M345:M346)</f>
        <v>27224.300000000003</v>
      </c>
      <c r="N344" s="460">
        <f>SUM(N345:N346)</f>
        <v>28312.300000000003</v>
      </c>
    </row>
    <row r="345" spans="1:14" s="599" customFormat="1" ht="37.9" customHeight="1">
      <c r="A345" s="583"/>
      <c r="B345" s="455" t="s">
        <v>107</v>
      </c>
      <c r="C345" s="456" t="s">
        <v>378</v>
      </c>
      <c r="D345" s="457" t="s">
        <v>166</v>
      </c>
      <c r="E345" s="457" t="s">
        <v>104</v>
      </c>
      <c r="F345" s="458" t="s">
        <v>138</v>
      </c>
      <c r="G345" s="458" t="s">
        <v>97</v>
      </c>
      <c r="H345" s="458" t="s">
        <v>89</v>
      </c>
      <c r="I345" s="459" t="s">
        <v>382</v>
      </c>
      <c r="J345" s="457" t="s">
        <v>108</v>
      </c>
      <c r="K345" s="460">
        <v>135.4</v>
      </c>
      <c r="L345" s="460">
        <f t="shared" ref="L345:L346" si="114">M345-K345</f>
        <v>0</v>
      </c>
      <c r="M345" s="460">
        <v>135.4</v>
      </c>
      <c r="N345" s="460">
        <v>140.9</v>
      </c>
    </row>
    <row r="346" spans="1:14" s="599" customFormat="1" ht="37.5">
      <c r="A346" s="583"/>
      <c r="B346" s="455" t="s">
        <v>182</v>
      </c>
      <c r="C346" s="456" t="s">
        <v>378</v>
      </c>
      <c r="D346" s="457" t="s">
        <v>166</v>
      </c>
      <c r="E346" s="457" t="s">
        <v>104</v>
      </c>
      <c r="F346" s="458" t="s">
        <v>138</v>
      </c>
      <c r="G346" s="458" t="s">
        <v>97</v>
      </c>
      <c r="H346" s="458" t="s">
        <v>89</v>
      </c>
      <c r="I346" s="459" t="s">
        <v>382</v>
      </c>
      <c r="J346" s="457" t="s">
        <v>183</v>
      </c>
      <c r="K346" s="460">
        <v>27088.9</v>
      </c>
      <c r="L346" s="460">
        <f t="shared" si="114"/>
        <v>0</v>
      </c>
      <c r="M346" s="460">
        <v>27088.9</v>
      </c>
      <c r="N346" s="460">
        <v>28171.4</v>
      </c>
    </row>
    <row r="347" spans="1:14" s="599" customFormat="1" ht="93.75">
      <c r="A347" s="583"/>
      <c r="B347" s="455" t="s">
        <v>499</v>
      </c>
      <c r="C347" s="456" t="s">
        <v>378</v>
      </c>
      <c r="D347" s="457" t="s">
        <v>166</v>
      </c>
      <c r="E347" s="457" t="s">
        <v>104</v>
      </c>
      <c r="F347" s="458" t="s">
        <v>138</v>
      </c>
      <c r="G347" s="458" t="s">
        <v>97</v>
      </c>
      <c r="H347" s="458" t="s">
        <v>89</v>
      </c>
      <c r="I347" s="459" t="s">
        <v>383</v>
      </c>
      <c r="J347" s="457"/>
      <c r="K347" s="460">
        <f>SUM(K348:K349)</f>
        <v>467.40000000000003</v>
      </c>
      <c r="L347" s="460">
        <f>SUM(L348:L349)</f>
        <v>0</v>
      </c>
      <c r="M347" s="460">
        <f>SUM(M348:M349)</f>
        <v>467.40000000000003</v>
      </c>
      <c r="N347" s="460">
        <f>SUM(N348:N349)</f>
        <v>486.09999999999997</v>
      </c>
    </row>
    <row r="348" spans="1:14" s="599" customFormat="1" ht="36.6" customHeight="1">
      <c r="A348" s="583"/>
      <c r="B348" s="455" t="s">
        <v>107</v>
      </c>
      <c r="C348" s="456" t="s">
        <v>378</v>
      </c>
      <c r="D348" s="457" t="s">
        <v>166</v>
      </c>
      <c r="E348" s="457" t="s">
        <v>104</v>
      </c>
      <c r="F348" s="458" t="s">
        <v>138</v>
      </c>
      <c r="G348" s="458" t="s">
        <v>97</v>
      </c>
      <c r="H348" s="458" t="s">
        <v>89</v>
      </c>
      <c r="I348" s="459" t="s">
        <v>383</v>
      </c>
      <c r="J348" s="457" t="s">
        <v>108</v>
      </c>
      <c r="K348" s="460">
        <v>2.2999999999999998</v>
      </c>
      <c r="L348" s="460">
        <f t="shared" ref="L348:L349" si="115">M348-K348</f>
        <v>0</v>
      </c>
      <c r="M348" s="460">
        <v>2.2999999999999998</v>
      </c>
      <c r="N348" s="460">
        <v>2.4</v>
      </c>
    </row>
    <row r="349" spans="1:14" s="599" customFormat="1" ht="37.5">
      <c r="A349" s="583"/>
      <c r="B349" s="455" t="s">
        <v>182</v>
      </c>
      <c r="C349" s="456" t="s">
        <v>378</v>
      </c>
      <c r="D349" s="457" t="s">
        <v>166</v>
      </c>
      <c r="E349" s="457" t="s">
        <v>104</v>
      </c>
      <c r="F349" s="458" t="s">
        <v>138</v>
      </c>
      <c r="G349" s="458" t="s">
        <v>97</v>
      </c>
      <c r="H349" s="458" t="s">
        <v>89</v>
      </c>
      <c r="I349" s="459" t="s">
        <v>383</v>
      </c>
      <c r="J349" s="457" t="s">
        <v>183</v>
      </c>
      <c r="K349" s="460">
        <v>465.1</v>
      </c>
      <c r="L349" s="460">
        <f t="shared" si="115"/>
        <v>0</v>
      </c>
      <c r="M349" s="460">
        <v>465.1</v>
      </c>
      <c r="N349" s="460">
        <v>483.7</v>
      </c>
    </row>
    <row r="350" spans="1:14" s="599" customFormat="1" ht="131.25">
      <c r="A350" s="583"/>
      <c r="B350" s="455" t="s">
        <v>515</v>
      </c>
      <c r="C350" s="456" t="s">
        <v>378</v>
      </c>
      <c r="D350" s="457" t="s">
        <v>166</v>
      </c>
      <c r="E350" s="457" t="s">
        <v>104</v>
      </c>
      <c r="F350" s="458" t="s">
        <v>138</v>
      </c>
      <c r="G350" s="458" t="s">
        <v>97</v>
      </c>
      <c r="H350" s="458" t="s">
        <v>89</v>
      </c>
      <c r="I350" s="459" t="s">
        <v>384</v>
      </c>
      <c r="J350" s="457"/>
      <c r="K350" s="460">
        <f>SUM(K351:K352)</f>
        <v>512.70000000000005</v>
      </c>
      <c r="L350" s="460">
        <f>SUM(L351:L352)</f>
        <v>0</v>
      </c>
      <c r="M350" s="460">
        <f>SUM(M351:M352)</f>
        <v>512.70000000000005</v>
      </c>
      <c r="N350" s="460">
        <f>SUM(N351:N352)</f>
        <v>533.20000000000005</v>
      </c>
    </row>
    <row r="351" spans="1:14" s="599" customFormat="1" ht="37.15" customHeight="1">
      <c r="A351" s="583"/>
      <c r="B351" s="455" t="s">
        <v>107</v>
      </c>
      <c r="C351" s="456" t="s">
        <v>378</v>
      </c>
      <c r="D351" s="457" t="s">
        <v>166</v>
      </c>
      <c r="E351" s="457" t="s">
        <v>104</v>
      </c>
      <c r="F351" s="458" t="s">
        <v>138</v>
      </c>
      <c r="G351" s="458" t="s">
        <v>97</v>
      </c>
      <c r="H351" s="458" t="s">
        <v>89</v>
      </c>
      <c r="I351" s="459" t="s">
        <v>384</v>
      </c>
      <c r="J351" s="457" t="s">
        <v>108</v>
      </c>
      <c r="K351" s="460">
        <v>2.6</v>
      </c>
      <c r="L351" s="460">
        <f t="shared" ref="L351:L352" si="116">M351-K351</f>
        <v>0</v>
      </c>
      <c r="M351" s="460">
        <v>2.6</v>
      </c>
      <c r="N351" s="460">
        <v>2.7</v>
      </c>
    </row>
    <row r="352" spans="1:14" s="599" customFormat="1" ht="37.5">
      <c r="A352" s="583"/>
      <c r="B352" s="455" t="s">
        <v>182</v>
      </c>
      <c r="C352" s="456" t="s">
        <v>378</v>
      </c>
      <c r="D352" s="457" t="s">
        <v>166</v>
      </c>
      <c r="E352" s="457" t="s">
        <v>104</v>
      </c>
      <c r="F352" s="458" t="s">
        <v>138</v>
      </c>
      <c r="G352" s="458" t="s">
        <v>97</v>
      </c>
      <c r="H352" s="458" t="s">
        <v>89</v>
      </c>
      <c r="I352" s="459" t="s">
        <v>384</v>
      </c>
      <c r="J352" s="457" t="s">
        <v>183</v>
      </c>
      <c r="K352" s="460">
        <v>510.1</v>
      </c>
      <c r="L352" s="460">
        <f t="shared" si="116"/>
        <v>0</v>
      </c>
      <c r="M352" s="460">
        <v>510.1</v>
      </c>
      <c r="N352" s="460">
        <v>530.5</v>
      </c>
    </row>
    <row r="353" spans="1:16" s="597" customFormat="1" ht="79.5" customHeight="1">
      <c r="A353" s="583"/>
      <c r="B353" s="647" t="s">
        <v>393</v>
      </c>
      <c r="C353" s="456" t="s">
        <v>378</v>
      </c>
      <c r="D353" s="457" t="s">
        <v>166</v>
      </c>
      <c r="E353" s="457" t="s">
        <v>104</v>
      </c>
      <c r="F353" s="458" t="s">
        <v>138</v>
      </c>
      <c r="G353" s="458" t="s">
        <v>97</v>
      </c>
      <c r="H353" s="458" t="s">
        <v>91</v>
      </c>
      <c r="I353" s="459" t="s">
        <v>96</v>
      </c>
      <c r="J353" s="457"/>
      <c r="K353" s="460">
        <f>K354+K356</f>
        <v>236.2</v>
      </c>
      <c r="L353" s="460">
        <f>L354+L356</f>
        <v>0</v>
      </c>
      <c r="M353" s="460">
        <f>M354+M356</f>
        <v>236.2</v>
      </c>
      <c r="N353" s="460">
        <f>N354+N356</f>
        <v>236.2</v>
      </c>
      <c r="P353" s="644"/>
    </row>
    <row r="354" spans="1:16" s="597" customFormat="1" ht="194.25" customHeight="1">
      <c r="A354" s="583"/>
      <c r="B354" s="659" t="s">
        <v>505</v>
      </c>
      <c r="C354" s="456" t="s">
        <v>378</v>
      </c>
      <c r="D354" s="457" t="s">
        <v>166</v>
      </c>
      <c r="E354" s="457" t="s">
        <v>104</v>
      </c>
      <c r="F354" s="458" t="s">
        <v>138</v>
      </c>
      <c r="G354" s="458" t="s">
        <v>97</v>
      </c>
      <c r="H354" s="458" t="s">
        <v>91</v>
      </c>
      <c r="I354" s="459" t="s">
        <v>506</v>
      </c>
      <c r="J354" s="457"/>
      <c r="K354" s="460">
        <f>K355</f>
        <v>5.2</v>
      </c>
      <c r="L354" s="460">
        <f>L355</f>
        <v>0</v>
      </c>
      <c r="M354" s="460">
        <f>M355</f>
        <v>5.2</v>
      </c>
      <c r="N354" s="460">
        <f>N355</f>
        <v>5.2</v>
      </c>
      <c r="P354" s="644"/>
    </row>
    <row r="355" spans="1:16" s="597" customFormat="1" ht="36" customHeight="1">
      <c r="A355" s="583"/>
      <c r="B355" s="455" t="s">
        <v>182</v>
      </c>
      <c r="C355" s="456" t="s">
        <v>378</v>
      </c>
      <c r="D355" s="457" t="s">
        <v>166</v>
      </c>
      <c r="E355" s="457" t="s">
        <v>104</v>
      </c>
      <c r="F355" s="458" t="s">
        <v>138</v>
      </c>
      <c r="G355" s="458" t="s">
        <v>97</v>
      </c>
      <c r="H355" s="458" t="s">
        <v>91</v>
      </c>
      <c r="I355" s="459" t="s">
        <v>506</v>
      </c>
      <c r="J355" s="457" t="s">
        <v>183</v>
      </c>
      <c r="K355" s="460">
        <v>5.2</v>
      </c>
      <c r="L355" s="460">
        <f>M355-K355</f>
        <v>0</v>
      </c>
      <c r="M355" s="460">
        <v>5.2</v>
      </c>
      <c r="N355" s="460">
        <v>5.2</v>
      </c>
      <c r="P355" s="644"/>
    </row>
    <row r="356" spans="1:16" s="597" customFormat="1" ht="267.60000000000002" customHeight="1">
      <c r="A356" s="583"/>
      <c r="B356" s="659" t="s">
        <v>514</v>
      </c>
      <c r="C356" s="456" t="s">
        <v>378</v>
      </c>
      <c r="D356" s="457" t="s">
        <v>166</v>
      </c>
      <c r="E356" s="457" t="s">
        <v>104</v>
      </c>
      <c r="F356" s="458" t="s">
        <v>138</v>
      </c>
      <c r="G356" s="458" t="s">
        <v>97</v>
      </c>
      <c r="H356" s="458" t="s">
        <v>91</v>
      </c>
      <c r="I356" s="459" t="s">
        <v>507</v>
      </c>
      <c r="J356" s="457"/>
      <c r="K356" s="460">
        <f>K357</f>
        <v>231</v>
      </c>
      <c r="L356" s="460">
        <f>L357</f>
        <v>0</v>
      </c>
      <c r="M356" s="460">
        <f>M357</f>
        <v>231</v>
      </c>
      <c r="N356" s="460">
        <f>N357</f>
        <v>231</v>
      </c>
      <c r="P356" s="644"/>
    </row>
    <row r="357" spans="1:16" s="597" customFormat="1" ht="37.9" customHeight="1">
      <c r="A357" s="583"/>
      <c r="B357" s="455" t="s">
        <v>182</v>
      </c>
      <c r="C357" s="456" t="s">
        <v>378</v>
      </c>
      <c r="D357" s="457" t="s">
        <v>166</v>
      </c>
      <c r="E357" s="457" t="s">
        <v>104</v>
      </c>
      <c r="F357" s="458" t="s">
        <v>138</v>
      </c>
      <c r="G357" s="458" t="s">
        <v>97</v>
      </c>
      <c r="H357" s="458" t="s">
        <v>91</v>
      </c>
      <c r="I357" s="459" t="s">
        <v>507</v>
      </c>
      <c r="J357" s="457" t="s">
        <v>183</v>
      </c>
      <c r="K357" s="460">
        <v>231</v>
      </c>
      <c r="L357" s="460">
        <f>M357-K357</f>
        <v>0</v>
      </c>
      <c r="M357" s="460">
        <v>231</v>
      </c>
      <c r="N357" s="460">
        <v>231</v>
      </c>
      <c r="P357" s="644"/>
    </row>
    <row r="358" spans="1:16" s="598" customFormat="1" ht="16.899999999999999" customHeight="1">
      <c r="A358" s="583"/>
      <c r="B358" s="455" t="s">
        <v>385</v>
      </c>
      <c r="C358" s="456" t="s">
        <v>378</v>
      </c>
      <c r="D358" s="457" t="s">
        <v>166</v>
      </c>
      <c r="E358" s="457" t="s">
        <v>140</v>
      </c>
      <c r="F358" s="458"/>
      <c r="G358" s="458"/>
      <c r="H358" s="458"/>
      <c r="I358" s="459"/>
      <c r="J358" s="457"/>
      <c r="K358" s="460">
        <f t="shared" ref="K358:N360" si="117">K359</f>
        <v>6248.8</v>
      </c>
      <c r="L358" s="460">
        <f t="shared" si="117"/>
        <v>0</v>
      </c>
      <c r="M358" s="460">
        <f t="shared" si="117"/>
        <v>6248.8</v>
      </c>
      <c r="N358" s="460">
        <f t="shared" si="117"/>
        <v>6248.8</v>
      </c>
    </row>
    <row r="359" spans="1:16" s="576" customFormat="1" ht="56.25">
      <c r="A359" s="583"/>
      <c r="B359" s="647" t="s">
        <v>303</v>
      </c>
      <c r="C359" s="456" t="s">
        <v>378</v>
      </c>
      <c r="D359" s="457" t="s">
        <v>166</v>
      </c>
      <c r="E359" s="457" t="s">
        <v>140</v>
      </c>
      <c r="F359" s="458" t="s">
        <v>138</v>
      </c>
      <c r="G359" s="458" t="s">
        <v>94</v>
      </c>
      <c r="H359" s="458" t="s">
        <v>95</v>
      </c>
      <c r="I359" s="459" t="s">
        <v>96</v>
      </c>
      <c r="J359" s="457"/>
      <c r="K359" s="460">
        <f t="shared" si="117"/>
        <v>6248.8</v>
      </c>
      <c r="L359" s="460">
        <f t="shared" si="117"/>
        <v>0</v>
      </c>
      <c r="M359" s="460">
        <f t="shared" si="117"/>
        <v>6248.8</v>
      </c>
      <c r="N359" s="460">
        <f t="shared" si="117"/>
        <v>6248.8</v>
      </c>
    </row>
    <row r="360" spans="1:16" s="576" customFormat="1" ht="37.5">
      <c r="A360" s="583"/>
      <c r="B360" s="455" t="s">
        <v>455</v>
      </c>
      <c r="C360" s="456" t="s">
        <v>378</v>
      </c>
      <c r="D360" s="457" t="s">
        <v>166</v>
      </c>
      <c r="E360" s="457" t="s">
        <v>140</v>
      </c>
      <c r="F360" s="458" t="s">
        <v>138</v>
      </c>
      <c r="G360" s="458" t="s">
        <v>97</v>
      </c>
      <c r="H360" s="458" t="s">
        <v>95</v>
      </c>
      <c r="I360" s="459" t="s">
        <v>96</v>
      </c>
      <c r="J360" s="457"/>
      <c r="K360" s="460">
        <f t="shared" si="117"/>
        <v>6248.8</v>
      </c>
      <c r="L360" s="460">
        <f t="shared" si="117"/>
        <v>0</v>
      </c>
      <c r="M360" s="460">
        <f t="shared" si="117"/>
        <v>6248.8</v>
      </c>
      <c r="N360" s="460">
        <f t="shared" si="117"/>
        <v>6248.8</v>
      </c>
    </row>
    <row r="361" spans="1:16" s="599" customFormat="1" ht="37.5">
      <c r="A361" s="583"/>
      <c r="B361" s="455" t="s">
        <v>302</v>
      </c>
      <c r="C361" s="456" t="s">
        <v>378</v>
      </c>
      <c r="D361" s="457" t="s">
        <v>166</v>
      </c>
      <c r="E361" s="457" t="s">
        <v>140</v>
      </c>
      <c r="F361" s="458" t="s">
        <v>138</v>
      </c>
      <c r="G361" s="458" t="s">
        <v>97</v>
      </c>
      <c r="H361" s="458" t="s">
        <v>118</v>
      </c>
      <c r="I361" s="459" t="s">
        <v>96</v>
      </c>
      <c r="J361" s="457"/>
      <c r="K361" s="460">
        <f>K362+K365+K368</f>
        <v>6248.8</v>
      </c>
      <c r="L361" s="460">
        <f>L362+L365+L368</f>
        <v>0</v>
      </c>
      <c r="M361" s="460">
        <f>M362+M365+M368</f>
        <v>6248.8</v>
      </c>
      <c r="N361" s="460">
        <f>N362+N365+N368</f>
        <v>6248.8</v>
      </c>
    </row>
    <row r="362" spans="1:16" s="599" customFormat="1" ht="93.75">
      <c r="A362" s="583"/>
      <c r="B362" s="455" t="s">
        <v>304</v>
      </c>
      <c r="C362" s="456" t="s">
        <v>378</v>
      </c>
      <c r="D362" s="457" t="s">
        <v>166</v>
      </c>
      <c r="E362" s="457" t="s">
        <v>140</v>
      </c>
      <c r="F362" s="458" t="s">
        <v>138</v>
      </c>
      <c r="G362" s="458" t="s">
        <v>97</v>
      </c>
      <c r="H362" s="458" t="s">
        <v>118</v>
      </c>
      <c r="I362" s="459" t="s">
        <v>386</v>
      </c>
      <c r="J362" s="457"/>
      <c r="K362" s="460">
        <f>K363+K364</f>
        <v>4784.5</v>
      </c>
      <c r="L362" s="460">
        <f>L363+L364</f>
        <v>0</v>
      </c>
      <c r="M362" s="460">
        <f>M363+M364</f>
        <v>4784.5</v>
      </c>
      <c r="N362" s="460">
        <f>N363+N364</f>
        <v>4784.5</v>
      </c>
    </row>
    <row r="363" spans="1:16" s="599" customFormat="1" ht="90" customHeight="1">
      <c r="A363" s="583"/>
      <c r="B363" s="455" t="s">
        <v>101</v>
      </c>
      <c r="C363" s="456" t="s">
        <v>378</v>
      </c>
      <c r="D363" s="457" t="s">
        <v>166</v>
      </c>
      <c r="E363" s="457" t="s">
        <v>140</v>
      </c>
      <c r="F363" s="458" t="s">
        <v>138</v>
      </c>
      <c r="G363" s="458" t="s">
        <v>97</v>
      </c>
      <c r="H363" s="458" t="s">
        <v>118</v>
      </c>
      <c r="I363" s="459" t="s">
        <v>386</v>
      </c>
      <c r="J363" s="457" t="s">
        <v>102</v>
      </c>
      <c r="K363" s="460">
        <f>4413.5+21</f>
        <v>4434.5</v>
      </c>
      <c r="L363" s="460">
        <f t="shared" ref="L363:L364" si="118">M363-K363</f>
        <v>0</v>
      </c>
      <c r="M363" s="460">
        <f>4413.5+21</f>
        <v>4434.5</v>
      </c>
      <c r="N363" s="460">
        <f>4413.5+21</f>
        <v>4434.5</v>
      </c>
    </row>
    <row r="364" spans="1:16" s="599" customFormat="1" ht="32.450000000000003" customHeight="1">
      <c r="A364" s="583"/>
      <c r="B364" s="455" t="s">
        <v>107</v>
      </c>
      <c r="C364" s="456" t="s">
        <v>378</v>
      </c>
      <c r="D364" s="457" t="s">
        <v>166</v>
      </c>
      <c r="E364" s="457" t="s">
        <v>140</v>
      </c>
      <c r="F364" s="660" t="s">
        <v>138</v>
      </c>
      <c r="G364" s="660" t="s">
        <v>97</v>
      </c>
      <c r="H364" s="660" t="s">
        <v>118</v>
      </c>
      <c r="I364" s="661" t="s">
        <v>386</v>
      </c>
      <c r="J364" s="457" t="s">
        <v>108</v>
      </c>
      <c r="K364" s="460">
        <v>350</v>
      </c>
      <c r="L364" s="460">
        <f t="shared" si="118"/>
        <v>0</v>
      </c>
      <c r="M364" s="460">
        <v>350</v>
      </c>
      <c r="N364" s="460">
        <v>350</v>
      </c>
    </row>
    <row r="365" spans="1:16" s="599" customFormat="1" ht="56.25">
      <c r="A365" s="583"/>
      <c r="B365" s="58" t="s">
        <v>552</v>
      </c>
      <c r="C365" s="456" t="s">
        <v>378</v>
      </c>
      <c r="D365" s="457" t="s">
        <v>166</v>
      </c>
      <c r="E365" s="457" t="s">
        <v>140</v>
      </c>
      <c r="F365" s="458" t="s">
        <v>138</v>
      </c>
      <c r="G365" s="458" t="s">
        <v>97</v>
      </c>
      <c r="H365" s="458" t="s">
        <v>118</v>
      </c>
      <c r="I365" s="459" t="s">
        <v>387</v>
      </c>
      <c r="J365" s="457"/>
      <c r="K365" s="460">
        <f>K366+K367</f>
        <v>617.29999999999995</v>
      </c>
      <c r="L365" s="460">
        <f>L366+L367</f>
        <v>0</v>
      </c>
      <c r="M365" s="460">
        <f>M366+M367</f>
        <v>617.29999999999995</v>
      </c>
      <c r="N365" s="460">
        <f>N366+N367</f>
        <v>617.29999999999995</v>
      </c>
    </row>
    <row r="366" spans="1:16" s="599" customFormat="1" ht="87.6" customHeight="1">
      <c r="A366" s="583"/>
      <c r="B366" s="455" t="s">
        <v>101</v>
      </c>
      <c r="C366" s="456" t="s">
        <v>378</v>
      </c>
      <c r="D366" s="457" t="s">
        <v>166</v>
      </c>
      <c r="E366" s="457" t="s">
        <v>140</v>
      </c>
      <c r="F366" s="458" t="s">
        <v>138</v>
      </c>
      <c r="G366" s="458" t="s">
        <v>97</v>
      </c>
      <c r="H366" s="458" t="s">
        <v>118</v>
      </c>
      <c r="I366" s="459" t="s">
        <v>387</v>
      </c>
      <c r="J366" s="457" t="s">
        <v>102</v>
      </c>
      <c r="K366" s="460">
        <f>564.3+3</f>
        <v>567.29999999999995</v>
      </c>
      <c r="L366" s="460">
        <f t="shared" ref="L366:L367" si="119">M366-K366</f>
        <v>0</v>
      </c>
      <c r="M366" s="460">
        <f>564.3+3</f>
        <v>567.29999999999995</v>
      </c>
      <c r="N366" s="460">
        <f>564.3+3</f>
        <v>567.29999999999995</v>
      </c>
    </row>
    <row r="367" spans="1:16" s="599" customFormat="1" ht="34.15" customHeight="1">
      <c r="A367" s="583"/>
      <c r="B367" s="455" t="s">
        <v>107</v>
      </c>
      <c r="C367" s="456" t="s">
        <v>378</v>
      </c>
      <c r="D367" s="457" t="s">
        <v>166</v>
      </c>
      <c r="E367" s="457" t="s">
        <v>140</v>
      </c>
      <c r="F367" s="458" t="s">
        <v>138</v>
      </c>
      <c r="G367" s="458" t="s">
        <v>97</v>
      </c>
      <c r="H367" s="458" t="s">
        <v>118</v>
      </c>
      <c r="I367" s="459" t="s">
        <v>387</v>
      </c>
      <c r="J367" s="457" t="s">
        <v>108</v>
      </c>
      <c r="K367" s="460">
        <v>50</v>
      </c>
      <c r="L367" s="460">
        <f t="shared" si="119"/>
        <v>0</v>
      </c>
      <c r="M367" s="460">
        <v>50</v>
      </c>
      <c r="N367" s="460">
        <v>50</v>
      </c>
    </row>
    <row r="368" spans="1:16" s="599" customFormat="1" ht="18.75">
      <c r="A368" s="583"/>
      <c r="B368" s="455" t="s">
        <v>305</v>
      </c>
      <c r="C368" s="456" t="s">
        <v>378</v>
      </c>
      <c r="D368" s="457" t="s">
        <v>166</v>
      </c>
      <c r="E368" s="457" t="s">
        <v>140</v>
      </c>
      <c r="F368" s="458" t="s">
        <v>138</v>
      </c>
      <c r="G368" s="458" t="s">
        <v>97</v>
      </c>
      <c r="H368" s="458" t="s">
        <v>118</v>
      </c>
      <c r="I368" s="459" t="s">
        <v>388</v>
      </c>
      <c r="J368" s="457"/>
      <c r="K368" s="460">
        <f>K369+K370</f>
        <v>847</v>
      </c>
      <c r="L368" s="460">
        <f>L369+L370</f>
        <v>0</v>
      </c>
      <c r="M368" s="460">
        <f>M369+M370</f>
        <v>847</v>
      </c>
      <c r="N368" s="460">
        <f>N369+N370</f>
        <v>847</v>
      </c>
    </row>
    <row r="369" spans="1:14" s="599" customFormat="1" ht="88.15" customHeight="1">
      <c r="A369" s="583"/>
      <c r="B369" s="455" t="s">
        <v>101</v>
      </c>
      <c r="C369" s="456" t="s">
        <v>378</v>
      </c>
      <c r="D369" s="457" t="s">
        <v>166</v>
      </c>
      <c r="E369" s="457" t="s">
        <v>140</v>
      </c>
      <c r="F369" s="458" t="s">
        <v>138</v>
      </c>
      <c r="G369" s="458" t="s">
        <v>97</v>
      </c>
      <c r="H369" s="458" t="s">
        <v>118</v>
      </c>
      <c r="I369" s="459" t="s">
        <v>388</v>
      </c>
      <c r="J369" s="457" t="s">
        <v>102</v>
      </c>
      <c r="K369" s="460">
        <f>761+6</f>
        <v>767</v>
      </c>
      <c r="L369" s="460">
        <f t="shared" ref="L369:L370" si="120">M369-K369</f>
        <v>0</v>
      </c>
      <c r="M369" s="460">
        <f>761+6</f>
        <v>767</v>
      </c>
      <c r="N369" s="460">
        <f>761+6</f>
        <v>767</v>
      </c>
    </row>
    <row r="370" spans="1:14" s="599" customFormat="1" ht="31.9" customHeight="1">
      <c r="A370" s="583"/>
      <c r="B370" s="455" t="s">
        <v>107</v>
      </c>
      <c r="C370" s="456" t="s">
        <v>378</v>
      </c>
      <c r="D370" s="457" t="s">
        <v>166</v>
      </c>
      <c r="E370" s="457" t="s">
        <v>140</v>
      </c>
      <c r="F370" s="458" t="s">
        <v>138</v>
      </c>
      <c r="G370" s="458" t="s">
        <v>97</v>
      </c>
      <c r="H370" s="458" t="s">
        <v>118</v>
      </c>
      <c r="I370" s="459" t="s">
        <v>388</v>
      </c>
      <c r="J370" s="457" t="s">
        <v>108</v>
      </c>
      <c r="K370" s="460">
        <v>80</v>
      </c>
      <c r="L370" s="460">
        <f t="shared" si="120"/>
        <v>0</v>
      </c>
      <c r="M370" s="460">
        <v>80</v>
      </c>
      <c r="N370" s="460">
        <v>80</v>
      </c>
    </row>
    <row r="371" spans="1:14" s="599" customFormat="1" ht="18.75">
      <c r="A371" s="583"/>
      <c r="B371" s="455"/>
      <c r="C371" s="456"/>
      <c r="D371" s="457"/>
      <c r="E371" s="457"/>
      <c r="F371" s="458"/>
      <c r="G371" s="458"/>
      <c r="H371" s="458"/>
      <c r="I371" s="459"/>
      <c r="J371" s="457"/>
      <c r="K371" s="460"/>
      <c r="L371" s="460"/>
      <c r="M371" s="460"/>
      <c r="N371" s="460"/>
    </row>
    <row r="372" spans="1:14" s="599" customFormat="1" ht="18.75">
      <c r="A372" s="662">
        <v>10</v>
      </c>
      <c r="B372" s="663" t="s">
        <v>508</v>
      </c>
      <c r="C372" s="456"/>
      <c r="D372" s="457"/>
      <c r="E372" s="457"/>
      <c r="F372" s="458"/>
      <c r="G372" s="458"/>
      <c r="H372" s="458"/>
      <c r="I372" s="459"/>
      <c r="J372" s="457"/>
      <c r="K372" s="664">
        <f>K373</f>
        <v>42976.368999999999</v>
      </c>
      <c r="L372" s="664">
        <f>L373</f>
        <v>-22544.9</v>
      </c>
      <c r="M372" s="664">
        <f>M373</f>
        <v>20431.468999999997</v>
      </c>
      <c r="N372" s="664">
        <f>N373</f>
        <v>48725.8</v>
      </c>
    </row>
    <row r="373" spans="1:14" s="599" customFormat="1" ht="18.75">
      <c r="A373" s="665"/>
      <c r="B373" s="666" t="s">
        <v>508</v>
      </c>
      <c r="C373" s="456"/>
      <c r="D373" s="457"/>
      <c r="E373" s="457"/>
      <c r="F373" s="458"/>
      <c r="G373" s="458"/>
      <c r="H373" s="458"/>
      <c r="I373" s="459"/>
      <c r="J373" s="457"/>
      <c r="K373" s="460">
        <f>25033.4-6.2-4465.431-85.4+22500</f>
        <v>42976.368999999999</v>
      </c>
      <c r="L373" s="460">
        <f>M373-K373</f>
        <v>-22544.9</v>
      </c>
      <c r="M373" s="460">
        <f>25033.4-6.2-4465.431-85.4+22500-22500-44.9</f>
        <v>20431.468999999997</v>
      </c>
      <c r="N373" s="460">
        <f>48806.5-80.7-6816+6816</f>
        <v>48725.8</v>
      </c>
    </row>
    <row r="374" spans="1:14">
      <c r="K374" s="667"/>
      <c r="L374" s="667"/>
      <c r="M374" s="667"/>
      <c r="N374" s="667"/>
    </row>
    <row r="375" spans="1:14">
      <c r="K375" s="667"/>
      <c r="L375" s="667"/>
      <c r="M375" s="667"/>
      <c r="N375" s="667"/>
    </row>
    <row r="376" spans="1:14" s="21" customFormat="1" ht="18.75">
      <c r="A376" s="65" t="s">
        <v>544</v>
      </c>
      <c r="B376" s="23"/>
      <c r="C376" s="24"/>
      <c r="D376" s="24"/>
      <c r="E376" s="24"/>
      <c r="F376" s="25"/>
      <c r="G376" s="26"/>
      <c r="H376" s="22"/>
    </row>
    <row r="377" spans="1:14" s="21" customFormat="1" ht="18.75">
      <c r="A377" s="65" t="s">
        <v>545</v>
      </c>
      <c r="B377" s="23"/>
      <c r="C377" s="24"/>
      <c r="D377" s="24"/>
      <c r="E377" s="24"/>
      <c r="F377" s="25"/>
      <c r="G377" s="26"/>
      <c r="H377" s="22"/>
    </row>
    <row r="378" spans="1:14" s="21" customFormat="1" ht="18.75">
      <c r="A378" s="66" t="s">
        <v>546</v>
      </c>
      <c r="B378" s="23"/>
      <c r="D378" s="24"/>
      <c r="E378" s="24"/>
      <c r="F378" s="25"/>
      <c r="N378" s="20" t="s">
        <v>592</v>
      </c>
    </row>
    <row r="379" spans="1:14">
      <c r="L379" s="569"/>
    </row>
  </sheetData>
  <autoFilter ref="A1:N379"/>
  <mergeCells count="12">
    <mergeCell ref="K12:K13"/>
    <mergeCell ref="F12:I13"/>
    <mergeCell ref="J12:J13"/>
    <mergeCell ref="F14:I14"/>
    <mergeCell ref="A8:N8"/>
    <mergeCell ref="A12:A13"/>
    <mergeCell ref="B12:B13"/>
    <mergeCell ref="C12:C13"/>
    <mergeCell ref="D12:D13"/>
    <mergeCell ref="E12:E13"/>
    <mergeCell ref="N12:N13"/>
    <mergeCell ref="L12:M12"/>
  </mergeCells>
  <printOptions horizontalCentered="1"/>
  <pageMargins left="1.1811023622047245" right="0.39370078740157483" top="0.74803149606299213" bottom="0.74803149606299213" header="0" footer="0"/>
  <pageSetup paperSize="9" scale="62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22</vt:i4>
      </vt:variant>
    </vt:vector>
  </HeadingPairs>
  <TitlesOfParts>
    <vt:vector size="34" baseType="lpstr">
      <vt:lpstr>прил.1 (админ.)</vt:lpstr>
      <vt:lpstr>прил. 2 (поступл.19)</vt:lpstr>
      <vt:lpstr>прил.4 (пост.безв.19)</vt:lpstr>
      <vt:lpstr>прил 8 (Рз,ПР 19)</vt:lpstr>
      <vt:lpstr>прил 9 (Рз,ПР 20-21)</vt:lpstr>
      <vt:lpstr>прил 10 (ЦС,ВР 19)</vt:lpstr>
      <vt:lpstr>прил 11 (ЦС,ВР 20-21)</vt:lpstr>
      <vt:lpstr>прил12(ведом 19)</vt:lpstr>
      <vt:lpstr>прил13(ведом 20-21)</vt:lpstr>
      <vt:lpstr>прил.14 (Источники 19)</vt:lpstr>
      <vt:lpstr>прил.15 (Источники 20-21)</vt:lpstr>
      <vt:lpstr>прил.20мун.заим.19-21)</vt:lpstr>
      <vt:lpstr>'прил 10 (ЦС,ВР 19)'!Заголовки_для_печати</vt:lpstr>
      <vt:lpstr>'прил 11 (ЦС,ВР 20-21)'!Заголовки_для_печати</vt:lpstr>
      <vt:lpstr>'прил 8 (Рз,ПР 19)'!Заголовки_для_печати</vt:lpstr>
      <vt:lpstr>'прил 9 (Рз,ПР 20-21)'!Заголовки_для_печати</vt:lpstr>
      <vt:lpstr>'прил. 2 (поступл.19)'!Заголовки_для_печати</vt:lpstr>
      <vt:lpstr>'прил.1 (админ.)'!Заголовки_для_печати</vt:lpstr>
      <vt:lpstr>'прил.14 (Источники 19)'!Заголовки_для_печати</vt:lpstr>
      <vt:lpstr>'прил.15 (Источники 20-21)'!Заголовки_для_печати</vt:lpstr>
      <vt:lpstr>'прил.4 (пост.безв.19)'!Заголовки_для_печати</vt:lpstr>
      <vt:lpstr>'прил12(ведом 19)'!Заголовки_для_печати</vt:lpstr>
      <vt:lpstr>'прил13(ведом 20-21)'!Заголовки_для_печати</vt:lpstr>
      <vt:lpstr>'прил 10 (ЦС,ВР 19)'!Область_печати</vt:lpstr>
      <vt:lpstr>'прил 11 (ЦС,ВР 20-21)'!Область_печати</vt:lpstr>
      <vt:lpstr>'прил 8 (Рз,ПР 19)'!Область_печати</vt:lpstr>
      <vt:lpstr>'прил 9 (Рз,ПР 20-21)'!Область_печати</vt:lpstr>
      <vt:lpstr>'прил. 2 (поступл.19)'!Область_печати</vt:lpstr>
      <vt:lpstr>'прил.1 (админ.)'!Область_печати</vt:lpstr>
      <vt:lpstr>'прил.14 (Источники 19)'!Область_печати</vt:lpstr>
      <vt:lpstr>'прил.20мун.заим.19-21)'!Область_печати</vt:lpstr>
      <vt:lpstr>'прил.4 (пост.безв.19)'!Область_печати</vt:lpstr>
      <vt:lpstr>'прил12(ведом 19)'!Область_печати</vt:lpstr>
      <vt:lpstr>'прил13(ведом 20-21)'!Область_печати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2019-09-20T08:54:22Z</dcterms:modified>
</cp:coreProperties>
</file>